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4.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slicers/slicer2.xml" ContentType="application/vnd.ms-excel.slicer+xml"/>
  <Override PartName="/xl/comments2.xml" ContentType="application/vnd.openxmlformats-officedocument.spreadsheetml.comments+xml"/>
  <Override PartName="/xl/drawings/drawing5.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3.xml" ContentType="application/vnd.openxmlformats-officedocument.spreadsheetml.comment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drawings/drawing10.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slicers/slicer5.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pivotTables/pivotTable19.xml" ContentType="application/vnd.openxmlformats-officedocument.spreadsheetml.pivotTable+xml"/>
  <Override PartName="/xl/drawings/drawing13.xml" ContentType="application/vnd.openxmlformats-officedocument.drawing+xml"/>
  <Override PartName="/xl/slicers/slicer6.xml" ContentType="application/vnd.ms-excel.slicer+xml"/>
  <Override PartName="/xl/timelines/timeline1.xml" ContentType="application/vnd.ms-excel.timelin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timelines/timeline2.xml" ContentType="application/vnd.ms-excel.timelin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3.xml" ContentType="application/vnd.openxmlformats-officedocument.spreadsheetml.table+xml"/>
  <Override PartName="/xl/comments4.xml" ContentType="application/vnd.openxmlformats-officedocument.spreadsheetml.comments+xml"/>
  <Override PartName="/xl/pivotTables/pivotTable20.xml" ContentType="application/vnd.openxmlformats-officedocument.spreadsheetml.pivotTable+xml"/>
  <Override PartName="/xl/comments5.xml" ContentType="application/vnd.openxmlformats-officedocument.spreadsheetml.comments+xml"/>
  <Override PartName="/xl/drawings/drawing17.xml" ContentType="application/vnd.openxmlformats-officedocument.drawing+xml"/>
  <Override PartName="/xl/tables/table4.xml" ContentType="application/vnd.openxmlformats-officedocument.spreadsheetml.table+xml"/>
  <Override PartName="/xl/comments6.xml" ContentType="application/vnd.openxmlformats-officedocument.spreadsheetml.comments+xml"/>
  <Override PartName="/xl/tables/table5.xml" ContentType="application/vnd.openxmlformats-officedocument.spreadsheetml.table+xml"/>
  <Override PartName="/xl/drawings/drawing18.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9.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20.xml" ContentType="application/vnd.openxmlformats-officedocument.drawing+xml"/>
  <Override PartName="/xl/tables/table8.xml" ContentType="application/vnd.openxmlformats-officedocument.spreadsheetml.table+xml"/>
  <Override PartName="/xl/comments9.xml" ContentType="application/vnd.openxmlformats-officedocument.spreadsheetml.comments+xml"/>
  <Override PartName="/xl/drawings/drawing21.xml" ContentType="application/vnd.openxmlformats-officedocument.drawing+xml"/>
  <Override PartName="/xl/tables/table9.xml" ContentType="application/vnd.openxmlformats-officedocument.spreadsheetml.table+xml"/>
  <Override PartName="/xl/comments10.xml" ContentType="application/vnd.openxmlformats-officedocument.spreadsheetml.comments+xml"/>
  <Override PartName="/xl/drawings/drawing22.xml" ContentType="application/vnd.openxmlformats-officedocument.drawing+xml"/>
  <Override PartName="/xl/tables/table10.xml" ContentType="application/vnd.openxmlformats-officedocument.spreadsheetml.table+xml"/>
  <Override PartName="/xl/comments11.xml" ContentType="application/vnd.openxmlformats-officedocument.spreadsheetml.comments+xml"/>
  <Override PartName="/xl/drawings/drawing23.xml" ContentType="application/vnd.openxmlformats-officedocument.drawing+xml"/>
  <Override PartName="/xl/tables/table11.xml" ContentType="application/vnd.openxmlformats-officedocument.spreadsheetml.table+xml"/>
  <Override PartName="/xl/comments12.xml" ContentType="application/vnd.openxmlformats-officedocument.spreadsheetml.comments+xml"/>
  <Override PartName="/xl/drawings/drawing24.xml" ContentType="application/vnd.openxmlformats-officedocument.drawing+xml"/>
  <Override PartName="/xl/tables/table12.xml" ContentType="application/vnd.openxmlformats-officedocument.spreadsheetml.table+xml"/>
  <Override PartName="/xl/comments13.xml" ContentType="application/vnd.openxmlformats-officedocument.spreadsheetml.comments+xml"/>
  <Override PartName="/xl/drawings/drawing25.xml" ContentType="application/vnd.openxmlformats-officedocument.drawing+xml"/>
  <Override PartName="/xl/tables/table13.xml" ContentType="application/vnd.openxmlformats-officedocument.spreadsheetml.table+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ttps://cg72-my.sharepoint.com/personal/laurent_faverais-ext_sarthe_fr/Documents/MAPES/Templates/"/>
    </mc:Choice>
  </mc:AlternateContent>
  <xr:revisionPtr revIDLastSave="12" documentId="8_{E4B4F50E-C798-4123-B80F-67EA3A7A4C46}" xr6:coauthVersionLast="47" xr6:coauthVersionMax="47" xr10:uidLastSave="{58C3A684-B6E4-4EF5-B00F-8BE924C22439}"/>
  <bookViews>
    <workbookView xWindow="-120" yWindow="-120" windowWidth="29040" windowHeight="15840" tabRatio="865" firstSheet="3" activeTab="5" xr2:uid="{6E8E3861-4462-4E03-BC08-1AD3D0F1647A}"/>
  </bookViews>
  <sheets>
    <sheet name="Calculs_CABS" sheetId="52" state="hidden" r:id="rId1"/>
    <sheet name="CABS_CVC" sheetId="53" state="hidden" r:id="rId2"/>
    <sheet name="Liste_CABS" sheetId="54" state="hidden" r:id="rId3"/>
    <sheet name="Surface DEET" sheetId="51" r:id="rId4"/>
    <sheet name="DJU" sheetId="17" r:id="rId5"/>
    <sheet name="Site" sheetId="10" r:id="rId6"/>
    <sheet name="Synthèse" sheetId="21" r:id="rId7"/>
    <sheet name="Calcul_Bilan_Energie" sheetId="24" state="hidden" r:id="rId8"/>
    <sheet name="Choix DEET" sheetId="22" r:id="rId9"/>
    <sheet name="Suivi DEET" sheetId="20" r:id="rId10"/>
    <sheet name="CALCUL DEET" sheetId="14" r:id="rId11"/>
    <sheet name="Estimation_ECS" sheetId="43" state="hidden" r:id="rId12"/>
    <sheet name="Déclaration OPERAT" sheetId="44" r:id="rId13"/>
    <sheet name="Suivi Mensuel" sheetId="48" r:id="rId14"/>
    <sheet name="CalculSuiviMensuel" sheetId="49" state="hidden" r:id="rId15"/>
    <sheet name="Rigueur Climat." sheetId="34" state="hidden" r:id="rId16"/>
    <sheet name="Suivi Compteur" sheetId="39" r:id="rId17"/>
    <sheet name="Coût Energie" sheetId="27" r:id="rId18"/>
    <sheet name="Suivi Production" sheetId="26" state="hidden" r:id="rId19"/>
    <sheet name="Suivi Sous_compteur" sheetId="40" state="hidden" r:id="rId20"/>
    <sheet name="Controle_des_données" sheetId="11" state="hidden" r:id="rId21"/>
    <sheet name="Liste" sheetId="12" state="hidden" r:id="rId22"/>
    <sheet name="TCD_Conso" sheetId="55" state="hidden" r:id="rId23"/>
    <sheet name="Aide CME" sheetId="36" r:id="rId24"/>
    <sheet name="Compteur_1" sheetId="4" r:id="rId25"/>
    <sheet name="Ouverture" sheetId="42" state="hidden" r:id="rId26"/>
    <sheet name="Compteur_2" sheetId="1" r:id="rId27"/>
    <sheet name="Compteur_3" sheetId="2" r:id="rId28"/>
    <sheet name="Compteur_4" sheetId="3" r:id="rId29"/>
    <sheet name="Compteur_5" sheetId="28" r:id="rId30"/>
    <sheet name="Compteur_6" sheetId="8" r:id="rId31"/>
    <sheet name="Compteur_7" sheetId="15" r:id="rId32"/>
    <sheet name="Compteur_8" sheetId="16" r:id="rId33"/>
    <sheet name="ConversionCuveQuantité" sheetId="50" r:id="rId34"/>
    <sheet name="Notes_Versions" sheetId="32" state="hidden" r:id="rId35"/>
  </sheets>
  <definedNames>
    <definedName name="_xlnm._FilterDatabase" localSheetId="1" hidden="1">CABS_CVC!$A$3:$A$52</definedName>
    <definedName name="_xlcn.Tableau161" hidden="1">Tableau16[]</definedName>
    <definedName name="Bureau_services_Publics">Liste_CABS!$K$3:$K$6</definedName>
    <definedName name="Centre_Hospitalier">Liste_CABS!$H$3:$H$18</definedName>
    <definedName name="Chaleur">Liste!$U$3:$U$7</definedName>
    <definedName name="Chronologie_Dates">#N/A</definedName>
    <definedName name="Chronologie_Dates1">#N/A</definedName>
    <definedName name="Coeff_chauff">Controle_des_données!$B$34</definedName>
    <definedName name="Coeff_refroid">Controle_des_données!$B$35</definedName>
    <definedName name="Cogénération">Liste!$Z$3:$Z$7</definedName>
    <definedName name="Collecteurs_solaires">Liste!$AA$3:$AA$7</definedName>
    <definedName name="Combustibles" localSheetId="23">#REF!</definedName>
    <definedName name="Combustibles">Liste!$W$3:$W$17</definedName>
    <definedName name="Consommation">Liste!$R$3:$R$6</definedName>
    <definedName name="Cpt_Consommation">Liste!$T$16</definedName>
    <definedName name="Cpt_Index">Liste!$T$17</definedName>
    <definedName name="Eau">Liste!$X$3:$X$6</definedName>
    <definedName name="Electricité">Liste!$T$3:$T$7</definedName>
    <definedName name="Enseignement">Liste_CABS!$L$3:$L$16</definedName>
    <definedName name="Etablissement_Balneo">Liste_CABS!$I$3:$I$4</definedName>
    <definedName name="Etablissements_Médico_sociaux">Liste_CABS!$G$3:$G$15</definedName>
    <definedName name="_xlnm.Extract" localSheetId="1">CABS_CVC!#REF!</definedName>
    <definedName name="Liste_Type_compteur" localSheetId="23">#REF!</definedName>
    <definedName name="Liste_Type_compteur">Liste!$Q$3:$Q$5</definedName>
    <definedName name="Logistique">Liste_CABS!$J$3:$J$4</definedName>
    <definedName name="Photovolaïque">Liste!$Y$3:$Y$6</definedName>
    <definedName name="Process">Liste!$V$3:$V$4</definedName>
    <definedName name="Production">Liste!$S$3:$S$7</definedName>
    <definedName name="Salles_serveurs">Liste_CABS!$M$3:$M$4</definedName>
    <definedName name="Segment_Annee">#N/A</definedName>
    <definedName name="Segment_Dates__année">#N/A</definedName>
    <definedName name="Segment_Dates__mois">#N/A</definedName>
    <definedName name="Segment_Département1">#N/A</definedName>
    <definedName name="Segment_Nom">#N/A</definedName>
    <definedName name="Segment_Nom5">#N/A</definedName>
    <definedName name="Segment_Nom6">#N/A</definedName>
    <definedName name="Segment_Nom7">#N/A</definedName>
    <definedName name="Segment_Region1">#N/A</definedName>
    <definedName name="Sous_comptage">Liste!$AB$3:$AB$5</definedName>
    <definedName name="Sous_comptage_Chaleur">Liste!$AC$3:$AC$6</definedName>
    <definedName name="Sous_comptage_eau">Liste!$AE$3:$AE$7</definedName>
    <definedName name="Sous_comptage_elec">Liste!$AD$3:$AD$8</definedName>
    <definedName name="Str_TypeDonneesCpt1">Site!$H$38</definedName>
    <definedName name="Str_TypeDonneesCpt2">Site!$H$39</definedName>
    <definedName name="Str_TypeDonneesCpt3">Site!$H$40</definedName>
    <definedName name="Str_TypeDonneesCpt4">Site!$H$41</definedName>
    <definedName name="Str_TypeDonneesCpt5">Site!$H$42</definedName>
    <definedName name="Str_TypeDonneesCpt6">Site!$H$43</definedName>
    <definedName name="Str_TypeDonneesCpt7">Site!$H$44</definedName>
    <definedName name="Str_TypeDonneesCpt8">Site!$H$45</definedName>
    <definedName name="_xlnm.Print_Area" localSheetId="5">Site!$A:$J</definedName>
  </definedNames>
  <calcPr calcId="191029"/>
  <pivotCaches>
    <pivotCache cacheId="0" r:id="rId36"/>
    <pivotCache cacheId="1" r:id="rId37"/>
    <pivotCache cacheId="2" r:id="rId38"/>
    <pivotCache cacheId="3" r:id="rId39"/>
    <pivotCache cacheId="4" r:id="rId40"/>
    <pivotCache cacheId="5" r:id="rId41"/>
    <pivotCache cacheId="6" r:id="rId42"/>
    <pivotCache cacheId="7" r:id="rId43"/>
    <pivotCache cacheId="8" r:id="rId44"/>
    <pivotCache cacheId="9" r:id="rId45"/>
    <pivotCache cacheId="10" r:id="rId46"/>
    <pivotCache cacheId="11" r:id="rId47"/>
    <pivotCache cacheId="12" r:id="rId48"/>
    <pivotCache cacheId="13" r:id="rId49"/>
  </pivotCaches>
  <extLst>
    <ext xmlns:x14="http://schemas.microsoft.com/office/spreadsheetml/2009/9/main" uri="{876F7934-8845-4945-9796-88D515C7AA90}">
      <x14:pivotCaches>
        <pivotCache cacheId="14" r:id="rId50"/>
        <pivotCache cacheId="15" r:id="rId51"/>
        <pivotCache cacheId="16" r:id="rId52"/>
        <pivotCache cacheId="17" r:id="rId53"/>
        <pivotCache cacheId="18" r:id="rId54"/>
        <pivotCache cacheId="19" r:id="rId55"/>
        <pivotCache cacheId="20" r:id="rId56"/>
      </x14:pivotCaches>
    </ext>
    <ext xmlns:x14="http://schemas.microsoft.com/office/spreadsheetml/2009/9/main" uri="{BBE1A952-AA13-448e-AADC-164F8A28A991}">
      <x14:slicerCaches>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841E416B-1EF1-43b6-AB56-02D37102CBD5}">
      <x15:pivotCaches>
        <pivotCache cacheId="21" r:id="rId66"/>
        <pivotCache cacheId="22" r:id="rId67"/>
        <pivotCache cacheId="23" r:id="rId68"/>
      </x15:pivotCaches>
    </ext>
    <ext xmlns:x15="http://schemas.microsoft.com/office/spreadsheetml/2010/11/main" uri="{983426D0-5260-488c-9760-48F4B6AC55F4}">
      <x15:pivotTableReferences>
        <x15:pivotTableReference r:id="rId69"/>
        <x15:pivotTableReference r:id="rId70"/>
        <x15:pivotTableReference r:id="rId71"/>
      </x15:pivotTableReferences>
    </ext>
    <ext xmlns:x15="http://schemas.microsoft.com/office/spreadsheetml/2010/11/main" uri="{A2CB5862-8E78-49c6-8D9D-AF26E26ADB89}">
      <x15:timelineCachePivotCaches>
        <pivotCache cacheId="24" r:id="rId72"/>
        <pivotCache cacheId="25" r:id="rId73"/>
      </x15:timelineCachePivotCaches>
    </ext>
    <ext xmlns:x15="http://schemas.microsoft.com/office/spreadsheetml/2010/11/main" uri="{D0CA8CA8-9F24-4464-BF8E-62219DCF47F9}">
      <x15:timelineCacheRefs>
        <x15:timelineCacheRef r:id="rId74"/>
        <x15:timelineCacheRef r:id="rId75"/>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_concat_f148b151-7865-49f6-8190-93b92363fba8" name="Tab_concat" connection="Requête - Tab_concat"/>
          <x15:modelTable id="Tableau16" name="Tableau16" connection="Tableau16"/>
        </x15:modelTables>
        <x15:modelRelationships>
          <x15:modelRelationship fromTable="Tab_concat" fromColumn="Compteur" toTable="Tableau16" toColumn="Compteur/Livraison"/>
        </x15:modelRelationships>
        <x15:extLst>
          <ext xmlns:x16="http://schemas.microsoft.com/office/spreadsheetml/2014/11/main" uri="{9835A34E-60A6-4A7C-AAB8-D5F71C897F49}">
            <x16:modelTimeGroupings>
              <x16:modelTimeGrouping tableName="Tab_concat" columnName="Dates" columnId="Dates">
                <x16:calculatedTimeColumn columnName="Dates (année)" columnId="Dates (année)" contentType="years" isSelected="1"/>
                <x16:calculatedTimeColumn columnName="Dates (trimestre)" columnId="Dates (trimestre)" contentType="quarters" isSelected="1"/>
                <x16:calculatedTimeColumn columnName="Dates (index des mois)" columnId="Dates (index des mois)" contentType="monthsindex" isSelected="1"/>
                <x16:calculatedTimeColumn columnName="Dates (mois)" columnId="Dates (moi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63" i="10" l="1"/>
  <c r="G9" i="10" l="1"/>
  <c r="G10" i="10" s="1"/>
  <c r="G11" i="10" s="1"/>
  <c r="G12" i="10" s="1"/>
  <c r="G13" i="10" s="1"/>
  <c r="G14" i="10" s="1"/>
  <c r="G15" i="10" s="1"/>
  <c r="G16" i="10" s="1"/>
  <c r="G17" i="10" s="1"/>
  <c r="G18" i="10" s="1"/>
  <c r="G19" i="10" s="1"/>
  <c r="G20" i="10" s="1"/>
  <c r="G21" i="10" s="1"/>
  <c r="G22" i="10" s="1"/>
  <c r="G23" i="10" s="1"/>
  <c r="G24" i="10" s="1"/>
  <c r="G25" i="10" s="1"/>
  <c r="G26" i="10" s="1"/>
  <c r="G27" i="10" s="1"/>
  <c r="G28" i="10" s="1"/>
  <c r="F9" i="10"/>
  <c r="F10" i="10" s="1"/>
  <c r="F11" i="10" s="1"/>
  <c r="F12" i="10" s="1"/>
  <c r="F13" i="10" s="1"/>
  <c r="F14" i="10" s="1"/>
  <c r="F15" i="10" s="1"/>
  <c r="F16" i="10" s="1"/>
  <c r="F17" i="10" s="1"/>
  <c r="F18" i="10" s="1"/>
  <c r="F19" i="10" s="1"/>
  <c r="F20" i="10" s="1"/>
  <c r="F21" i="10" s="1"/>
  <c r="F22" i="10" s="1"/>
  <c r="F23" i="10" s="1"/>
  <c r="F24" i="10" s="1"/>
  <c r="F25" i="10" s="1"/>
  <c r="F26" i="10" s="1"/>
  <c r="F27" i="10" s="1"/>
  <c r="F28" i="10" s="1"/>
  <c r="A15" i="28"/>
  <c r="A19" i="8"/>
  <c r="A12" i="15"/>
  <c r="A6" i="16"/>
  <c r="A5" i="16"/>
  <c r="A66" i="16"/>
  <c r="A4" i="16"/>
  <c r="D30" i="50"/>
  <c r="D31" i="50"/>
  <c r="D2" i="50"/>
  <c r="D3" i="50"/>
  <c r="D4" i="50"/>
  <c r="D5" i="50"/>
  <c r="D6" i="50"/>
  <c r="D7" i="50"/>
  <c r="D8" i="50"/>
  <c r="D9" i="50"/>
  <c r="D10" i="50"/>
  <c r="D11" i="50"/>
  <c r="D12" i="50"/>
  <c r="D13" i="50"/>
  <c r="D14" i="50"/>
  <c r="D15" i="50"/>
  <c r="D16" i="50"/>
  <c r="D17" i="50"/>
  <c r="D18" i="50"/>
  <c r="D19" i="50"/>
  <c r="D20" i="50"/>
  <c r="D21" i="50"/>
  <c r="D22" i="50"/>
  <c r="D23" i="50"/>
  <c r="D24" i="50"/>
  <c r="D25" i="50"/>
  <c r="D26" i="50"/>
  <c r="D27" i="50"/>
  <c r="D28" i="50"/>
  <c r="D29"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D132" i="50"/>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E8" i="10"/>
  <c r="D9" i="10"/>
  <c r="D10" i="10"/>
  <c r="D11" i="10"/>
  <c r="D12" i="10"/>
  <c r="D13" i="10"/>
  <c r="D14" i="10"/>
  <c r="D15" i="10"/>
  <c r="D16" i="10"/>
  <c r="D17" i="10"/>
  <c r="D18" i="10"/>
  <c r="D19" i="10"/>
  <c r="D20" i="10"/>
  <c r="D21" i="10"/>
  <c r="D22" i="10"/>
  <c r="D23" i="10"/>
  <c r="D24" i="10"/>
  <c r="D25" i="10"/>
  <c r="D26" i="10"/>
  <c r="D27" i="10"/>
  <c r="D28" i="10"/>
  <c r="D8" i="10"/>
  <c r="C9" i="10"/>
  <c r="C10" i="10"/>
  <c r="C11" i="10"/>
  <c r="C12" i="10"/>
  <c r="C13" i="10"/>
  <c r="C14" i="10"/>
  <c r="C15" i="10"/>
  <c r="C16" i="10"/>
  <c r="C17" i="10"/>
  <c r="C18" i="10"/>
  <c r="C19" i="10"/>
  <c r="C20" i="10"/>
  <c r="C21" i="10"/>
  <c r="C22" i="10"/>
  <c r="C23" i="10"/>
  <c r="C24" i="10"/>
  <c r="C25" i="10"/>
  <c r="C26" i="10"/>
  <c r="C27" i="10"/>
  <c r="C28" i="10"/>
  <c r="C8" i="10"/>
  <c r="E9" i="10" l="1"/>
  <c r="E10" i="10"/>
  <c r="E11" i="10"/>
  <c r="E12" i="10"/>
  <c r="E13" i="10"/>
  <c r="E14" i="10"/>
  <c r="E15" i="10"/>
  <c r="E16" i="10"/>
  <c r="E17" i="10"/>
  <c r="E18" i="10"/>
  <c r="E19" i="10"/>
  <c r="E20" i="10"/>
  <c r="E21" i="10"/>
  <c r="E22" i="10"/>
  <c r="E23" i="10"/>
  <c r="E24" i="10"/>
  <c r="E25" i="10"/>
  <c r="E26" i="10"/>
  <c r="E27" i="10"/>
  <c r="E28" i="10"/>
  <c r="D4" i="44"/>
  <c r="AJ10" i="36"/>
  <c r="AB10" i="36"/>
  <c r="T10" i="36"/>
  <c r="L10" i="36"/>
  <c r="D10" i="36"/>
  <c r="Q31" i="24"/>
  <c r="M26" i="12"/>
  <c r="M27" i="12"/>
  <c r="M28" i="12"/>
  <c r="M29" i="12"/>
  <c r="M30" i="12"/>
  <c r="M31" i="12"/>
  <c r="M25" i="12"/>
  <c r="G40" i="14"/>
  <c r="H40" i="14"/>
  <c r="M40" i="14"/>
  <c r="J40" i="14"/>
  <c r="L40" i="14"/>
  <c r="E40" i="14"/>
  <c r="I40" i="14"/>
  <c r="N40" i="14"/>
  <c r="K40" i="14"/>
  <c r="O40" i="14"/>
  <c r="F40" i="14"/>
  <c r="AA9" i="36" l="1"/>
  <c r="Z9" i="36"/>
  <c r="Y9" i="36"/>
  <c r="X9" i="36"/>
  <c r="W9" i="36"/>
  <c r="A4" i="4" l="1"/>
  <c r="C2" i="49" l="1"/>
  <c r="F5" i="48" s="1"/>
  <c r="C1" i="49"/>
  <c r="B5" i="48" s="1"/>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1" i="15"/>
  <c r="A242" i="15"/>
  <c r="A243" i="15"/>
  <c r="A6" i="8"/>
  <c r="A7" i="8"/>
  <c r="A8" i="8"/>
  <c r="A9" i="8"/>
  <c r="A10" i="8"/>
  <c r="A11" i="8"/>
  <c r="A12" i="8"/>
  <c r="A13" i="8"/>
  <c r="A14" i="8"/>
  <c r="A15" i="8"/>
  <c r="A16" i="8"/>
  <c r="A17" i="8"/>
  <c r="A18"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5" i="8"/>
  <c r="A6" i="28"/>
  <c r="A7" i="28"/>
  <c r="A8" i="28"/>
  <c r="A9" i="28"/>
  <c r="A10" i="28"/>
  <c r="A11" i="28"/>
  <c r="A12" i="28"/>
  <c r="A13" i="28"/>
  <c r="A14"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5" i="28"/>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5" i="3"/>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5" i="2"/>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5" i="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5" i="4"/>
  <c r="A186" i="4" l="1"/>
  <c r="A187" i="4"/>
  <c r="A176" i="4"/>
  <c r="A177" i="4"/>
  <c r="A178" i="4"/>
  <c r="A179" i="4"/>
  <c r="A180" i="4"/>
  <c r="A181" i="4"/>
  <c r="A182" i="4"/>
  <c r="A183" i="4"/>
  <c r="A184" i="4"/>
  <c r="A185" i="4"/>
  <c r="A175" i="4"/>
  <c r="D5" i="22"/>
  <c r="D4" i="20"/>
  <c r="A193" i="4" l="1"/>
  <c r="A192" i="4"/>
  <c r="A191" i="4"/>
  <c r="A190" i="4"/>
  <c r="A189" i="4"/>
  <c r="A188" i="4"/>
  <c r="A195" i="4"/>
  <c r="A194" i="4"/>
  <c r="A196" i="4"/>
  <c r="B3" i="51"/>
  <c r="A9" i="51" s="1"/>
  <c r="F10" i="14"/>
  <c r="G10" i="14"/>
  <c r="H10" i="14"/>
  <c r="I10" i="14"/>
  <c r="J10" i="14"/>
  <c r="K10" i="14"/>
  <c r="L10" i="14"/>
  <c r="M10" i="14"/>
  <c r="N10" i="14"/>
  <c r="O10" i="14"/>
  <c r="E10" i="14"/>
  <c r="M32" i="14"/>
  <c r="M18" i="14"/>
  <c r="N32" i="14"/>
  <c r="N18" i="14"/>
  <c r="O32" i="14"/>
  <c r="O18" i="14"/>
  <c r="L32" i="14"/>
  <c r="L18" i="14"/>
  <c r="N91" i="14"/>
  <c r="O91" i="14"/>
  <c r="P91" i="14"/>
  <c r="B29" i="11" l="1"/>
  <c r="B28" i="11"/>
  <c r="B27" i="11"/>
  <c r="N2" i="24"/>
  <c r="A1" i="21" s="1"/>
  <c r="G6" i="12"/>
  <c r="G7" i="12"/>
  <c r="G8" i="12"/>
  <c r="G9" i="12"/>
  <c r="G10" i="12"/>
  <c r="G11" i="12"/>
  <c r="G12" i="12"/>
  <c r="G13" i="12"/>
  <c r="G14" i="12"/>
  <c r="G15" i="12"/>
  <c r="G16" i="12"/>
  <c r="G17" i="12"/>
  <c r="G18" i="12"/>
  <c r="G5" i="12"/>
  <c r="I7" i="11"/>
  <c r="I8" i="11"/>
  <c r="I9" i="11"/>
  <c r="I10" i="11"/>
  <c r="I11" i="11"/>
  <c r="I12" i="11"/>
  <c r="I13" i="11"/>
  <c r="I14" i="11"/>
  <c r="A4" i="8"/>
  <c r="E18" i="14"/>
  <c r="P17" i="24"/>
  <c r="P14" i="24"/>
  <c r="P16" i="24"/>
  <c r="P18" i="24"/>
  <c r="P15" i="24"/>
  <c r="P19" i="24" l="1"/>
  <c r="N6" i="24" a="1"/>
  <c r="N6" i="24" s="1"/>
  <c r="N7" i="24" a="1"/>
  <c r="N7" i="24" s="1"/>
  <c r="L13" i="50"/>
  <c r="G170" i="50"/>
  <c r="G169" i="50"/>
  <c r="G168" i="50"/>
  <c r="G167" i="50"/>
  <c r="G166" i="50"/>
  <c r="G165" i="50"/>
  <c r="G164" i="50"/>
  <c r="G163" i="50"/>
  <c r="G162" i="50"/>
  <c r="G161" i="50"/>
  <c r="G160" i="50"/>
  <c r="G159" i="50"/>
  <c r="G158" i="50"/>
  <c r="G157" i="50"/>
  <c r="G156" i="50"/>
  <c r="G155" i="50"/>
  <c r="G154" i="50"/>
  <c r="G153" i="50"/>
  <c r="G152" i="50"/>
  <c r="G151" i="50"/>
  <c r="G150" i="50"/>
  <c r="G149" i="50"/>
  <c r="G148" i="50"/>
  <c r="G147" i="50"/>
  <c r="G146" i="50"/>
  <c r="G145" i="50"/>
  <c r="G144" i="50"/>
  <c r="G143" i="50"/>
  <c r="G142" i="50"/>
  <c r="G141" i="50"/>
  <c r="G140" i="50"/>
  <c r="G139" i="50"/>
  <c r="G138" i="50"/>
  <c r="G137" i="50"/>
  <c r="G136" i="50"/>
  <c r="G135" i="50"/>
  <c r="G134" i="50"/>
  <c r="G133" i="50"/>
  <c r="G132" i="50"/>
  <c r="G131" i="50"/>
  <c r="G130" i="50"/>
  <c r="G129" i="50"/>
  <c r="G128" i="50"/>
  <c r="G127" i="50"/>
  <c r="G126" i="50"/>
  <c r="G125" i="50"/>
  <c r="G124" i="50"/>
  <c r="G123" i="50"/>
  <c r="G122" i="50"/>
  <c r="G121" i="50"/>
  <c r="G120" i="50"/>
  <c r="G119" i="50"/>
  <c r="G118" i="50"/>
  <c r="G117" i="50"/>
  <c r="G116" i="50"/>
  <c r="G115" i="50"/>
  <c r="G114" i="50"/>
  <c r="G113" i="50"/>
  <c r="G112" i="50"/>
  <c r="G111" i="50"/>
  <c r="G110" i="50"/>
  <c r="G109" i="50"/>
  <c r="G108" i="50"/>
  <c r="G107" i="50"/>
  <c r="G106" i="50"/>
  <c r="G105" i="50"/>
  <c r="G104" i="50"/>
  <c r="G103" i="50"/>
  <c r="G102" i="50"/>
  <c r="G101" i="50"/>
  <c r="G100" i="50"/>
  <c r="G99" i="50"/>
  <c r="G98" i="50"/>
  <c r="G97" i="50"/>
  <c r="G96" i="50"/>
  <c r="G95" i="50"/>
  <c r="G94" i="50"/>
  <c r="G93" i="50"/>
  <c r="G92" i="50"/>
  <c r="G91" i="50"/>
  <c r="G90" i="50"/>
  <c r="G89" i="50"/>
  <c r="G88" i="50"/>
  <c r="G87" i="50"/>
  <c r="G86" i="50"/>
  <c r="G85" i="50"/>
  <c r="G84" i="50"/>
  <c r="G83" i="50"/>
  <c r="G82" i="50"/>
  <c r="G81" i="50"/>
  <c r="G80" i="50"/>
  <c r="G79" i="50"/>
  <c r="G78" i="50"/>
  <c r="G77" i="50"/>
  <c r="G76" i="50"/>
  <c r="G75" i="50"/>
  <c r="G74" i="50"/>
  <c r="G73" i="50"/>
  <c r="G72" i="50"/>
  <c r="G71" i="50"/>
  <c r="G70" i="50"/>
  <c r="G69" i="50"/>
  <c r="G68" i="50"/>
  <c r="G67" i="50"/>
  <c r="G66" i="50"/>
  <c r="G65" i="50"/>
  <c r="G64" i="50"/>
  <c r="G63" i="50"/>
  <c r="G62" i="50"/>
  <c r="G61" i="50"/>
  <c r="G60" i="50"/>
  <c r="G59" i="50"/>
  <c r="G58" i="50"/>
  <c r="G57" i="50"/>
  <c r="G56" i="50"/>
  <c r="G55" i="50"/>
  <c r="G54" i="50"/>
  <c r="G53" i="50"/>
  <c r="G52" i="50"/>
  <c r="G51" i="50"/>
  <c r="G50" i="50"/>
  <c r="G49" i="50"/>
  <c r="G48" i="50"/>
  <c r="G47" i="50"/>
  <c r="G46" i="50"/>
  <c r="G45" i="50"/>
  <c r="G44" i="50"/>
  <c r="G43" i="50"/>
  <c r="G42" i="50"/>
  <c r="G41" i="50"/>
  <c r="G40" i="50"/>
  <c r="G39" i="50"/>
  <c r="G38" i="50"/>
  <c r="G37" i="50"/>
  <c r="G36" i="50"/>
  <c r="G35" i="50"/>
  <c r="G34" i="50"/>
  <c r="G33" i="50"/>
  <c r="G32" i="50"/>
  <c r="G31" i="50"/>
  <c r="G30" i="50"/>
  <c r="G29" i="50"/>
  <c r="G28" i="50"/>
  <c r="G27" i="50"/>
  <c r="G26" i="50"/>
  <c r="G25" i="50"/>
  <c r="G24" i="50"/>
  <c r="G23" i="50"/>
  <c r="G22" i="50"/>
  <c r="G21" i="50"/>
  <c r="G20" i="50"/>
  <c r="G19" i="50"/>
  <c r="G18" i="50"/>
  <c r="G17" i="50"/>
  <c r="G16" i="50"/>
  <c r="G15" i="50"/>
  <c r="G14" i="50"/>
  <c r="G13" i="50"/>
  <c r="G12" i="50"/>
  <c r="G11" i="50"/>
  <c r="G10" i="50"/>
  <c r="G9" i="50"/>
  <c r="G8" i="50"/>
  <c r="G7" i="50"/>
  <c r="G6" i="50"/>
  <c r="G5" i="50"/>
  <c r="G4" i="50"/>
  <c r="G3" i="50"/>
  <c r="G238" i="50"/>
  <c r="F238" i="50"/>
  <c r="A240" i="15" s="1"/>
  <c r="G237" i="50"/>
  <c r="F237" i="50"/>
  <c r="A239" i="15" s="1"/>
  <c r="G236" i="50"/>
  <c r="F236" i="50"/>
  <c r="A238" i="15" s="1"/>
  <c r="G235" i="50"/>
  <c r="F235" i="50"/>
  <c r="A237" i="15" s="1"/>
  <c r="G234" i="50"/>
  <c r="F234" i="50"/>
  <c r="A236" i="15" s="1"/>
  <c r="G233" i="50"/>
  <c r="F233" i="50"/>
  <c r="A235" i="15" s="1"/>
  <c r="G232" i="50"/>
  <c r="F232" i="50"/>
  <c r="A234" i="15" s="1"/>
  <c r="G231" i="50"/>
  <c r="F231" i="50"/>
  <c r="A233" i="15" s="1"/>
  <c r="G230" i="50"/>
  <c r="F230" i="50"/>
  <c r="A232" i="15" s="1"/>
  <c r="G229" i="50"/>
  <c r="F229" i="50"/>
  <c r="A231" i="15" s="1"/>
  <c r="G228" i="50"/>
  <c r="F228" i="50"/>
  <c r="A230" i="15" s="1"/>
  <c r="G227" i="50"/>
  <c r="F227" i="50"/>
  <c r="A229" i="15" s="1"/>
  <c r="G226" i="50"/>
  <c r="F226" i="50"/>
  <c r="A228" i="15" s="1"/>
  <c r="G225" i="50"/>
  <c r="F225" i="50"/>
  <c r="A227" i="15" s="1"/>
  <c r="G224" i="50"/>
  <c r="F224" i="50"/>
  <c r="A226" i="15" s="1"/>
  <c r="G223" i="50"/>
  <c r="F223" i="50"/>
  <c r="A225" i="15" s="1"/>
  <c r="G222" i="50"/>
  <c r="F222" i="50"/>
  <c r="A224" i="15" s="1"/>
  <c r="G221" i="50"/>
  <c r="F221" i="50"/>
  <c r="A223" i="15" s="1"/>
  <c r="G220" i="50"/>
  <c r="F220" i="50"/>
  <c r="A222" i="15" s="1"/>
  <c r="G219" i="50"/>
  <c r="F219" i="50"/>
  <c r="A221" i="15" s="1"/>
  <c r="G218" i="50"/>
  <c r="F218" i="50"/>
  <c r="A220" i="15" s="1"/>
  <c r="G217" i="50"/>
  <c r="F217" i="50"/>
  <c r="A219" i="15" s="1"/>
  <c r="G216" i="50"/>
  <c r="F216" i="50"/>
  <c r="A218" i="15" s="1"/>
  <c r="G215" i="50"/>
  <c r="F215" i="50"/>
  <c r="A217" i="15" s="1"/>
  <c r="G214" i="50"/>
  <c r="F214" i="50"/>
  <c r="A216" i="15" s="1"/>
  <c r="G213" i="50"/>
  <c r="F213" i="50"/>
  <c r="A215" i="15" s="1"/>
  <c r="G212" i="50"/>
  <c r="F212" i="50"/>
  <c r="A214" i="15" s="1"/>
  <c r="G211" i="50"/>
  <c r="F211" i="50"/>
  <c r="A213" i="15" s="1"/>
  <c r="G210" i="50"/>
  <c r="F210" i="50"/>
  <c r="A212" i="15" s="1"/>
  <c r="G209" i="50"/>
  <c r="F209" i="50"/>
  <c r="A211" i="15" s="1"/>
  <c r="G208" i="50"/>
  <c r="F208" i="50"/>
  <c r="A210" i="15" s="1"/>
  <c r="G207" i="50"/>
  <c r="F207" i="50"/>
  <c r="A209" i="15" s="1"/>
  <c r="G206" i="50"/>
  <c r="F206" i="50"/>
  <c r="A208" i="15" s="1"/>
  <c r="G205" i="50"/>
  <c r="F205" i="50"/>
  <c r="A207" i="15" s="1"/>
  <c r="G204" i="50"/>
  <c r="F204" i="50"/>
  <c r="A206" i="15" s="1"/>
  <c r="G203" i="50"/>
  <c r="F203" i="50"/>
  <c r="A205" i="15" s="1"/>
  <c r="G202" i="50"/>
  <c r="F202" i="50"/>
  <c r="A204" i="15" s="1"/>
  <c r="G201" i="50"/>
  <c r="F201" i="50"/>
  <c r="A203" i="15" s="1"/>
  <c r="G200" i="50"/>
  <c r="F200" i="50"/>
  <c r="A202" i="15" s="1"/>
  <c r="G199" i="50"/>
  <c r="F199" i="50"/>
  <c r="A201" i="15" s="1"/>
  <c r="G198" i="50"/>
  <c r="F198" i="50"/>
  <c r="A200" i="15" s="1"/>
  <c r="G197" i="50"/>
  <c r="F197" i="50"/>
  <c r="A199" i="15" s="1"/>
  <c r="G196" i="50"/>
  <c r="F196" i="50"/>
  <c r="A198" i="15" s="1"/>
  <c r="G195" i="50"/>
  <c r="F195" i="50"/>
  <c r="A197" i="15" s="1"/>
  <c r="G194" i="50"/>
  <c r="F194" i="50"/>
  <c r="A196" i="15" s="1"/>
  <c r="G193" i="50"/>
  <c r="F193" i="50"/>
  <c r="A195" i="15" s="1"/>
  <c r="G192" i="50"/>
  <c r="F192" i="50"/>
  <c r="A194" i="15" s="1"/>
  <c r="G191" i="50"/>
  <c r="F191" i="50"/>
  <c r="A193" i="15" s="1"/>
  <c r="G190" i="50"/>
  <c r="F190" i="50"/>
  <c r="A192" i="15" s="1"/>
  <c r="G189" i="50"/>
  <c r="F189" i="50"/>
  <c r="A191" i="15" s="1"/>
  <c r="G188" i="50"/>
  <c r="F188" i="50"/>
  <c r="A190" i="15" s="1"/>
  <c r="G187" i="50"/>
  <c r="F187" i="50"/>
  <c r="A189" i="15" s="1"/>
  <c r="G186" i="50"/>
  <c r="F186" i="50"/>
  <c r="A188" i="15" s="1"/>
  <c r="G185" i="50"/>
  <c r="F185" i="50"/>
  <c r="A187" i="15" s="1"/>
  <c r="G184" i="50"/>
  <c r="F184" i="50"/>
  <c r="A186" i="15" s="1"/>
  <c r="G183" i="50"/>
  <c r="F183" i="50"/>
  <c r="A185" i="15" s="1"/>
  <c r="G182" i="50"/>
  <c r="F182" i="50"/>
  <c r="A184" i="15" s="1"/>
  <c r="G181" i="50"/>
  <c r="F181" i="50"/>
  <c r="A183" i="15" s="1"/>
  <c r="G180" i="50"/>
  <c r="F180" i="50"/>
  <c r="A182" i="15" s="1"/>
  <c r="G179" i="50"/>
  <c r="F179" i="50"/>
  <c r="A181" i="15" s="1"/>
  <c r="G178" i="50"/>
  <c r="F178" i="50"/>
  <c r="A180" i="15" s="1"/>
  <c r="G177" i="50"/>
  <c r="F177" i="50"/>
  <c r="A179" i="15" s="1"/>
  <c r="G176" i="50"/>
  <c r="F176" i="50"/>
  <c r="A178" i="15" s="1"/>
  <c r="G175" i="50"/>
  <c r="F175" i="50"/>
  <c r="A177" i="15" s="1"/>
  <c r="G174" i="50"/>
  <c r="F174" i="50"/>
  <c r="A176" i="15" s="1"/>
  <c r="G173" i="50"/>
  <c r="F173" i="50"/>
  <c r="A175" i="15" s="1"/>
  <c r="G172" i="50"/>
  <c r="F172" i="50"/>
  <c r="A174" i="15" s="1"/>
  <c r="G171" i="50"/>
  <c r="F171" i="50"/>
  <c r="A173" i="15" s="1"/>
  <c r="F170" i="50"/>
  <c r="A172" i="15" s="1"/>
  <c r="F169" i="50"/>
  <c r="A171" i="15" s="1"/>
  <c r="F168" i="50"/>
  <c r="A170" i="15" s="1"/>
  <c r="F167" i="50"/>
  <c r="A169" i="15" s="1"/>
  <c r="F166" i="50"/>
  <c r="A168" i="15" s="1"/>
  <c r="F165" i="50"/>
  <c r="A167" i="15" s="1"/>
  <c r="F164" i="50"/>
  <c r="A166" i="15" s="1"/>
  <c r="F163" i="50"/>
  <c r="A165" i="15" s="1"/>
  <c r="F162" i="50"/>
  <c r="A164" i="15" s="1"/>
  <c r="F161" i="50"/>
  <c r="A163" i="15" s="1"/>
  <c r="F160" i="50"/>
  <c r="A162" i="15" s="1"/>
  <c r="F159" i="50"/>
  <c r="A161" i="15" s="1"/>
  <c r="F158" i="50"/>
  <c r="A160" i="15" s="1"/>
  <c r="F157" i="50"/>
  <c r="A159" i="15" s="1"/>
  <c r="F156" i="50"/>
  <c r="A158" i="15" s="1"/>
  <c r="F155" i="50"/>
  <c r="A157" i="15" s="1"/>
  <c r="F154" i="50"/>
  <c r="A156" i="15" s="1"/>
  <c r="F153" i="50"/>
  <c r="A155" i="15" s="1"/>
  <c r="F152" i="50"/>
  <c r="A154" i="15" s="1"/>
  <c r="F151" i="50"/>
  <c r="A153" i="15" s="1"/>
  <c r="F150" i="50"/>
  <c r="A152" i="15" s="1"/>
  <c r="F149" i="50"/>
  <c r="A151" i="15" s="1"/>
  <c r="F148" i="50"/>
  <c r="A150" i="15" s="1"/>
  <c r="F147" i="50"/>
  <c r="A149" i="15" s="1"/>
  <c r="F146" i="50"/>
  <c r="A148" i="15" s="1"/>
  <c r="F145" i="50"/>
  <c r="A147" i="15" s="1"/>
  <c r="F144" i="50"/>
  <c r="A146" i="15" s="1"/>
  <c r="F143" i="50"/>
  <c r="A145" i="15" s="1"/>
  <c r="F142" i="50"/>
  <c r="A144" i="15" s="1"/>
  <c r="F141" i="50"/>
  <c r="A143" i="15" s="1"/>
  <c r="F140" i="50"/>
  <c r="A142" i="15" s="1"/>
  <c r="F139" i="50"/>
  <c r="A141" i="15" s="1"/>
  <c r="F138" i="50"/>
  <c r="A140" i="15" s="1"/>
  <c r="F137" i="50"/>
  <c r="A139" i="15" s="1"/>
  <c r="F136" i="50"/>
  <c r="A138" i="15" s="1"/>
  <c r="F135" i="50"/>
  <c r="A137" i="15" s="1"/>
  <c r="F134" i="50"/>
  <c r="A136" i="15" s="1"/>
  <c r="F133" i="50"/>
  <c r="A135" i="15" s="1"/>
  <c r="F132" i="50"/>
  <c r="A134" i="15" s="1"/>
  <c r="F131" i="50"/>
  <c r="A133" i="15" s="1"/>
  <c r="F130" i="50"/>
  <c r="A132" i="15" s="1"/>
  <c r="F129" i="50"/>
  <c r="A131" i="15" s="1"/>
  <c r="F128" i="50"/>
  <c r="A130" i="15" s="1"/>
  <c r="F127" i="50"/>
  <c r="A129" i="15" s="1"/>
  <c r="F126" i="50"/>
  <c r="A128" i="15" s="1"/>
  <c r="F125" i="50"/>
  <c r="A127" i="15" s="1"/>
  <c r="F124" i="50"/>
  <c r="A126" i="15" s="1"/>
  <c r="F123" i="50"/>
  <c r="A125" i="15" s="1"/>
  <c r="F122" i="50"/>
  <c r="A124" i="15" s="1"/>
  <c r="F121" i="50"/>
  <c r="A123" i="15" s="1"/>
  <c r="F120" i="50"/>
  <c r="A122" i="15" s="1"/>
  <c r="F119" i="50"/>
  <c r="A121" i="15" s="1"/>
  <c r="F118" i="50"/>
  <c r="A120" i="15" s="1"/>
  <c r="F117" i="50"/>
  <c r="A119" i="15" s="1"/>
  <c r="F116" i="50"/>
  <c r="A118" i="15" s="1"/>
  <c r="F115" i="50"/>
  <c r="A117" i="15" s="1"/>
  <c r="F114" i="50"/>
  <c r="A116" i="15" s="1"/>
  <c r="F113" i="50"/>
  <c r="A115" i="15" s="1"/>
  <c r="F112" i="50"/>
  <c r="A114" i="15" s="1"/>
  <c r="F111" i="50"/>
  <c r="A113" i="15" s="1"/>
  <c r="F110" i="50"/>
  <c r="A112" i="15" s="1"/>
  <c r="F109" i="50"/>
  <c r="A111" i="15" s="1"/>
  <c r="F108" i="50"/>
  <c r="A110" i="15" s="1"/>
  <c r="F107" i="50"/>
  <c r="A109" i="15" s="1"/>
  <c r="F106" i="50"/>
  <c r="A108" i="15" s="1"/>
  <c r="F105" i="50"/>
  <c r="F104" i="50"/>
  <c r="F103" i="50"/>
  <c r="F102" i="50"/>
  <c r="F101" i="50"/>
  <c r="F100" i="50"/>
  <c r="F99" i="50"/>
  <c r="F98" i="50"/>
  <c r="F97" i="50"/>
  <c r="F96" i="50"/>
  <c r="F95" i="50"/>
  <c r="F94" i="50"/>
  <c r="F93" i="50"/>
  <c r="F92" i="50"/>
  <c r="F91" i="50"/>
  <c r="F90" i="50"/>
  <c r="F89" i="50"/>
  <c r="F88" i="50"/>
  <c r="F87" i="50"/>
  <c r="F86" i="50"/>
  <c r="F85" i="50"/>
  <c r="F84" i="50"/>
  <c r="F83" i="50"/>
  <c r="F82" i="50"/>
  <c r="F81" i="50"/>
  <c r="F80" i="50"/>
  <c r="F79" i="50"/>
  <c r="F78" i="50"/>
  <c r="F77" i="50"/>
  <c r="F76" i="50"/>
  <c r="F75" i="50"/>
  <c r="F74" i="50"/>
  <c r="F73" i="50"/>
  <c r="F72" i="50"/>
  <c r="F71" i="50"/>
  <c r="F70" i="50"/>
  <c r="F69" i="50"/>
  <c r="F68" i="50"/>
  <c r="F67" i="50"/>
  <c r="F66" i="50"/>
  <c r="F65" i="50"/>
  <c r="F64" i="50"/>
  <c r="F63" i="50"/>
  <c r="F62" i="50"/>
  <c r="F61" i="50"/>
  <c r="F60" i="50"/>
  <c r="F59" i="50"/>
  <c r="F58" i="50"/>
  <c r="F57" i="50"/>
  <c r="F56" i="50"/>
  <c r="F55" i="50"/>
  <c r="F54" i="50"/>
  <c r="F53" i="50"/>
  <c r="F52" i="50"/>
  <c r="F51" i="50"/>
  <c r="F50" i="50"/>
  <c r="F49" i="50"/>
  <c r="F48" i="50"/>
  <c r="F47" i="50"/>
  <c r="F46" i="50"/>
  <c r="F45" i="50"/>
  <c r="F44" i="50"/>
  <c r="F43" i="50"/>
  <c r="F42" i="50"/>
  <c r="F41" i="50"/>
  <c r="F40" i="50"/>
  <c r="F39" i="50"/>
  <c r="F38" i="50"/>
  <c r="F37" i="50"/>
  <c r="F36" i="50"/>
  <c r="F35" i="50"/>
  <c r="F34" i="50"/>
  <c r="F33" i="50"/>
  <c r="F32" i="50"/>
  <c r="F31" i="50"/>
  <c r="F30" i="50"/>
  <c r="F29" i="50"/>
  <c r="F28" i="50"/>
  <c r="A30" i="15" s="1"/>
  <c r="F27" i="50"/>
  <c r="A29" i="15" s="1"/>
  <c r="F26" i="50"/>
  <c r="A28" i="15" s="1"/>
  <c r="F25" i="50"/>
  <c r="A27" i="15" s="1"/>
  <c r="F24" i="50"/>
  <c r="A26" i="15" s="1"/>
  <c r="F23" i="50"/>
  <c r="A25" i="15" s="1"/>
  <c r="F22" i="50"/>
  <c r="A24" i="15" s="1"/>
  <c r="F21" i="50"/>
  <c r="A23" i="15" s="1"/>
  <c r="F20" i="50"/>
  <c r="A22" i="15" s="1"/>
  <c r="F19" i="50"/>
  <c r="A21" i="15" s="1"/>
  <c r="F18" i="50"/>
  <c r="A20" i="15" s="1"/>
  <c r="F17" i="50"/>
  <c r="A19" i="15" s="1"/>
  <c r="F16" i="50"/>
  <c r="A18" i="15" s="1"/>
  <c r="F15" i="50"/>
  <c r="A17" i="15" s="1"/>
  <c r="F14" i="50"/>
  <c r="A16" i="15" s="1"/>
  <c r="F13" i="50"/>
  <c r="A15" i="15" s="1"/>
  <c r="F12" i="50"/>
  <c r="A14" i="15" s="1"/>
  <c r="F11" i="50"/>
  <c r="A13" i="15" s="1"/>
  <c r="F10" i="50"/>
  <c r="F9" i="50"/>
  <c r="A11" i="15" s="1"/>
  <c r="F8" i="50"/>
  <c r="A10" i="15" s="1"/>
  <c r="F7" i="50"/>
  <c r="A9" i="15" s="1"/>
  <c r="F6" i="50"/>
  <c r="A8" i="15" s="1"/>
  <c r="F5" i="50"/>
  <c r="A7" i="15" s="1"/>
  <c r="F4" i="50"/>
  <c r="A6" i="15" s="1"/>
  <c r="F3" i="50"/>
  <c r="A5" i="15" s="1"/>
  <c r="L1" i="16"/>
  <c r="L1" i="15"/>
  <c r="L1" i="8"/>
  <c r="L1" i="28"/>
  <c r="L1" i="3"/>
  <c r="L1" i="2"/>
  <c r="L1" i="1"/>
  <c r="L1" i="4"/>
  <c r="A199" i="1" l="1"/>
  <c r="A62" i="15"/>
  <c r="E179" i="50"/>
  <c r="E199" i="50"/>
  <c r="E223" i="50"/>
  <c r="E116" i="50"/>
  <c r="A184" i="1"/>
  <c r="A47" i="15"/>
  <c r="E5" i="50"/>
  <c r="E13" i="50"/>
  <c r="E21" i="50"/>
  <c r="E109" i="50"/>
  <c r="E117" i="50"/>
  <c r="E125" i="50"/>
  <c r="E133" i="50"/>
  <c r="E141" i="50"/>
  <c r="E149" i="50"/>
  <c r="E157" i="50"/>
  <c r="E165" i="50"/>
  <c r="A175" i="1"/>
  <c r="A38" i="15"/>
  <c r="E195" i="50"/>
  <c r="E227" i="50"/>
  <c r="A208" i="1"/>
  <c r="A71" i="15"/>
  <c r="A169" i="1"/>
  <c r="A32" i="15"/>
  <c r="A177" i="1"/>
  <c r="A40" i="15"/>
  <c r="A185" i="1"/>
  <c r="A48" i="15"/>
  <c r="A193" i="1"/>
  <c r="A56" i="15"/>
  <c r="A201" i="1"/>
  <c r="A64" i="15"/>
  <c r="A209" i="1"/>
  <c r="A72" i="15"/>
  <c r="A217" i="1"/>
  <c r="A80" i="15"/>
  <c r="A225" i="1"/>
  <c r="A88" i="15"/>
  <c r="B232" i="1"/>
  <c r="A233" i="1" s="1"/>
  <c r="A96" i="15"/>
  <c r="B240" i="1"/>
  <c r="A241" i="1" s="1"/>
  <c r="A104" i="15"/>
  <c r="E172" i="50"/>
  <c r="E176" i="50"/>
  <c r="E180" i="50"/>
  <c r="E184" i="50"/>
  <c r="E188" i="50"/>
  <c r="E192" i="50"/>
  <c r="E196" i="50"/>
  <c r="E200" i="50"/>
  <c r="E204" i="50"/>
  <c r="E208" i="50"/>
  <c r="E212" i="50"/>
  <c r="E216" i="50"/>
  <c r="E220" i="50"/>
  <c r="E224" i="50"/>
  <c r="E228" i="50"/>
  <c r="E232" i="50"/>
  <c r="E236" i="50"/>
  <c r="E6" i="50"/>
  <c r="E14" i="50"/>
  <c r="E22" i="50"/>
  <c r="E110" i="50"/>
  <c r="E118" i="50"/>
  <c r="E126" i="50"/>
  <c r="E134" i="50"/>
  <c r="E142" i="50"/>
  <c r="E150" i="50"/>
  <c r="E158" i="50"/>
  <c r="E166" i="50"/>
  <c r="A215" i="1"/>
  <c r="A78" i="15"/>
  <c r="E203" i="50"/>
  <c r="E4" i="50"/>
  <c r="E140" i="50"/>
  <c r="A178" i="1"/>
  <c r="A41" i="15"/>
  <c r="A202" i="1"/>
  <c r="A65" i="15"/>
  <c r="A226" i="1"/>
  <c r="A89" i="15"/>
  <c r="E7" i="50"/>
  <c r="E15" i="50"/>
  <c r="C233" i="1"/>
  <c r="C241" i="1"/>
  <c r="E135" i="50"/>
  <c r="E143" i="50"/>
  <c r="E151" i="50"/>
  <c r="E159" i="50"/>
  <c r="E167" i="50"/>
  <c r="A207" i="1"/>
  <c r="A70" i="15"/>
  <c r="B230" i="1"/>
  <c r="A231" i="1" s="1"/>
  <c r="A94" i="15"/>
  <c r="B238" i="1"/>
  <c r="A239" i="1" s="1"/>
  <c r="A102" i="15"/>
  <c r="E171" i="50"/>
  <c r="E211" i="50"/>
  <c r="E231" i="50"/>
  <c r="E20" i="50"/>
  <c r="E124" i="50"/>
  <c r="E156" i="50"/>
  <c r="A192" i="1"/>
  <c r="A55" i="15"/>
  <c r="A216" i="1"/>
  <c r="A79" i="15"/>
  <c r="A170" i="1"/>
  <c r="A33" i="15"/>
  <c r="A186" i="1"/>
  <c r="A49" i="15"/>
  <c r="A194" i="1"/>
  <c r="A57" i="15"/>
  <c r="A210" i="1"/>
  <c r="A73" i="15"/>
  <c r="A218" i="1"/>
  <c r="A81" i="15"/>
  <c r="B233" i="1"/>
  <c r="A234" i="1" s="1"/>
  <c r="A97" i="15"/>
  <c r="B241" i="1"/>
  <c r="A242" i="1" s="1"/>
  <c r="A105" i="15"/>
  <c r="A171" i="1"/>
  <c r="A34" i="15"/>
  <c r="A179" i="1"/>
  <c r="A42" i="15"/>
  <c r="A187" i="1"/>
  <c r="A50" i="15"/>
  <c r="A195" i="1"/>
  <c r="A58" i="15"/>
  <c r="A203" i="1"/>
  <c r="A66" i="15"/>
  <c r="A211" i="1"/>
  <c r="A74" i="15"/>
  <c r="A219" i="1"/>
  <c r="A82" i="15"/>
  <c r="A227" i="1"/>
  <c r="A90" i="15"/>
  <c r="B234" i="1"/>
  <c r="A235" i="1" s="1"/>
  <c r="A98" i="15"/>
  <c r="B242" i="1"/>
  <c r="A243" i="1" s="1"/>
  <c r="A106" i="15"/>
  <c r="E173" i="50"/>
  <c r="E177" i="50"/>
  <c r="E181" i="50"/>
  <c r="E185" i="50"/>
  <c r="E189" i="50"/>
  <c r="E193" i="50"/>
  <c r="E197" i="50"/>
  <c r="E201" i="50"/>
  <c r="E205" i="50"/>
  <c r="E209" i="50"/>
  <c r="E213" i="50"/>
  <c r="E217" i="50"/>
  <c r="E221" i="50"/>
  <c r="E225" i="50"/>
  <c r="E229" i="50"/>
  <c r="E233" i="50"/>
  <c r="E237" i="50"/>
  <c r="E16" i="50"/>
  <c r="C234" i="1"/>
  <c r="C242" i="1"/>
  <c r="E112" i="50"/>
  <c r="E128" i="50"/>
  <c r="E136" i="50"/>
  <c r="E160" i="50"/>
  <c r="A183" i="1"/>
  <c r="A46" i="15"/>
  <c r="E215" i="50"/>
  <c r="E235" i="50"/>
  <c r="E28" i="50"/>
  <c r="E108" i="50"/>
  <c r="E148" i="50"/>
  <c r="A168" i="1"/>
  <c r="A31" i="15"/>
  <c r="A224" i="1"/>
  <c r="A87" i="15"/>
  <c r="A180" i="1"/>
  <c r="A43" i="15"/>
  <c r="A196" i="1"/>
  <c r="A59" i="15"/>
  <c r="A212" i="1"/>
  <c r="A75" i="15"/>
  <c r="A228" i="1"/>
  <c r="A91" i="15"/>
  <c r="B243" i="1"/>
  <c r="A107" i="15"/>
  <c r="E9" i="50"/>
  <c r="E17" i="50"/>
  <c r="E25" i="50"/>
  <c r="E113" i="50"/>
  <c r="E121" i="50"/>
  <c r="E129" i="50"/>
  <c r="E137" i="50"/>
  <c r="E145" i="50"/>
  <c r="E153" i="50"/>
  <c r="E161" i="50"/>
  <c r="E169" i="50"/>
  <c r="A191" i="1"/>
  <c r="A54" i="15"/>
  <c r="E175" i="50"/>
  <c r="E187" i="50"/>
  <c r="E219" i="50"/>
  <c r="E12" i="50"/>
  <c r="E132" i="50"/>
  <c r="E164" i="50"/>
  <c r="A176" i="1"/>
  <c r="A39" i="15"/>
  <c r="A200" i="1"/>
  <c r="A63" i="15"/>
  <c r="B231" i="1"/>
  <c r="A232" i="1" s="1"/>
  <c r="A95" i="15"/>
  <c r="B239" i="1"/>
  <c r="A240" i="1" s="1"/>
  <c r="A103" i="15"/>
  <c r="A172" i="1"/>
  <c r="A35" i="15"/>
  <c r="A188" i="1"/>
  <c r="A51" i="15"/>
  <c r="A204" i="1"/>
  <c r="A67" i="15"/>
  <c r="A220" i="1"/>
  <c r="A83" i="15"/>
  <c r="B235" i="1"/>
  <c r="A236" i="1" s="1"/>
  <c r="A99" i="15"/>
  <c r="A173" i="1"/>
  <c r="A36" i="15"/>
  <c r="A181" i="1"/>
  <c r="A44" i="15"/>
  <c r="A189" i="1"/>
  <c r="A52" i="15"/>
  <c r="A197" i="1"/>
  <c r="A60" i="15"/>
  <c r="A205" i="1"/>
  <c r="A68" i="15"/>
  <c r="A213" i="1"/>
  <c r="A76" i="15"/>
  <c r="A221" i="1"/>
  <c r="A84" i="15"/>
  <c r="B228" i="1"/>
  <c r="A229" i="1" s="1"/>
  <c r="A92" i="15"/>
  <c r="B236" i="1"/>
  <c r="A237" i="1" s="1"/>
  <c r="A100" i="15"/>
  <c r="E174" i="50"/>
  <c r="E178" i="50"/>
  <c r="E182" i="50"/>
  <c r="E186" i="50"/>
  <c r="E190" i="50"/>
  <c r="E194" i="50"/>
  <c r="E198" i="50"/>
  <c r="E202" i="50"/>
  <c r="E206" i="50"/>
  <c r="E210" i="50"/>
  <c r="E214" i="50"/>
  <c r="E218" i="50"/>
  <c r="E222" i="50"/>
  <c r="E226" i="50"/>
  <c r="E230" i="50"/>
  <c r="E234" i="50"/>
  <c r="E238" i="50"/>
  <c r="E10" i="50"/>
  <c r="E18" i="50"/>
  <c r="E26" i="50"/>
  <c r="E106" i="50"/>
  <c r="E114" i="50"/>
  <c r="E122" i="50"/>
  <c r="E130" i="50"/>
  <c r="E138" i="50"/>
  <c r="E146" i="50"/>
  <c r="E154" i="50"/>
  <c r="E162" i="50"/>
  <c r="E170" i="50"/>
  <c r="A223" i="1"/>
  <c r="A86" i="15"/>
  <c r="E207" i="50"/>
  <c r="A174" i="1"/>
  <c r="A37" i="15"/>
  <c r="A182" i="1"/>
  <c r="A45" i="15"/>
  <c r="A190" i="1"/>
  <c r="A53" i="15"/>
  <c r="A198" i="1"/>
  <c r="A61" i="15"/>
  <c r="A206" i="1"/>
  <c r="A69" i="15"/>
  <c r="A214" i="1"/>
  <c r="A77" i="15"/>
  <c r="A222" i="1"/>
  <c r="A85" i="15"/>
  <c r="B229" i="1"/>
  <c r="A230" i="1" s="1"/>
  <c r="A93" i="15"/>
  <c r="B237" i="1"/>
  <c r="A238" i="1" s="1"/>
  <c r="A101" i="15"/>
  <c r="E3" i="50"/>
  <c r="E11" i="50"/>
  <c r="E19" i="50"/>
  <c r="E27" i="50"/>
  <c r="E107" i="50"/>
  <c r="E115" i="50"/>
  <c r="E123" i="50"/>
  <c r="E131" i="50"/>
  <c r="E139" i="50"/>
  <c r="E147" i="50"/>
  <c r="E155" i="50"/>
  <c r="E163" i="50"/>
  <c r="E36" i="50"/>
  <c r="E44" i="50"/>
  <c r="E52" i="50"/>
  <c r="E60" i="50"/>
  <c r="E68" i="50"/>
  <c r="E76" i="50"/>
  <c r="E84" i="50"/>
  <c r="E92" i="50"/>
  <c r="C230" i="1"/>
  <c r="E100" i="50"/>
  <c r="C238" i="1"/>
  <c r="E29" i="50"/>
  <c r="E37" i="50"/>
  <c r="E45" i="50"/>
  <c r="E53" i="50"/>
  <c r="E61" i="50"/>
  <c r="E69" i="50"/>
  <c r="E77" i="50"/>
  <c r="E85" i="50"/>
  <c r="E93" i="50"/>
  <c r="C231" i="1"/>
  <c r="E101" i="50"/>
  <c r="C239" i="1"/>
  <c r="E30" i="50"/>
  <c r="E38" i="50"/>
  <c r="E46" i="50"/>
  <c r="E54" i="50"/>
  <c r="E62" i="50"/>
  <c r="E70" i="50"/>
  <c r="E78" i="50"/>
  <c r="E86" i="50"/>
  <c r="E94" i="50"/>
  <c r="C232" i="1"/>
  <c r="E102" i="50"/>
  <c r="C240" i="1"/>
  <c r="E39" i="50"/>
  <c r="E55" i="50"/>
  <c r="E63" i="50"/>
  <c r="E48" i="50"/>
  <c r="E80" i="50"/>
  <c r="E33" i="50"/>
  <c r="E41" i="50"/>
  <c r="E49" i="50"/>
  <c r="E57" i="50"/>
  <c r="E65" i="50"/>
  <c r="E73" i="50"/>
  <c r="E81" i="50"/>
  <c r="E89" i="50"/>
  <c r="E97" i="50"/>
  <c r="C235" i="1"/>
  <c r="E105" i="50"/>
  <c r="C243" i="1"/>
  <c r="E34" i="50"/>
  <c r="E42" i="50"/>
  <c r="E50" i="50"/>
  <c r="E58" i="50"/>
  <c r="E66" i="50"/>
  <c r="E74" i="50"/>
  <c r="E82" i="50"/>
  <c r="E90" i="50"/>
  <c r="C228" i="1"/>
  <c r="E98" i="50"/>
  <c r="C236" i="1"/>
  <c r="E35" i="50"/>
  <c r="E43" i="50"/>
  <c r="E51" i="50"/>
  <c r="E59" i="50"/>
  <c r="E67" i="50"/>
  <c r="E75" i="50"/>
  <c r="E83" i="50"/>
  <c r="E91" i="50"/>
  <c r="C229" i="1"/>
  <c r="E99" i="50"/>
  <c r="C237" i="1"/>
  <c r="E183" i="50"/>
  <c r="E191" i="50"/>
  <c r="E95" i="50"/>
  <c r="E56" i="50"/>
  <c r="E152" i="50"/>
  <c r="E47" i="50"/>
  <c r="E71" i="50"/>
  <c r="E111" i="50"/>
  <c r="E24" i="50"/>
  <c r="E72" i="50"/>
  <c r="E88" i="50"/>
  <c r="E168" i="50"/>
  <c r="E87" i="50"/>
  <c r="E104" i="50"/>
  <c r="E23" i="50"/>
  <c r="E103" i="50"/>
  <c r="E32" i="50"/>
  <c r="E120" i="50"/>
  <c r="E31" i="50"/>
  <c r="E79" i="50"/>
  <c r="E119" i="50"/>
  <c r="E8" i="50"/>
  <c r="E40" i="50"/>
  <c r="E64" i="50"/>
  <c r="E96" i="50"/>
  <c r="E127" i="50"/>
  <c r="E144" i="50"/>
  <c r="C51" i="10"/>
  <c r="B32" i="11" s="1"/>
  <c r="H32" i="14"/>
  <c r="N5" i="24" l="1" a="1"/>
  <c r="N5" i="24" s="1"/>
  <c r="H18" i="14"/>
  <c r="I32" i="14"/>
  <c r="I18" i="14"/>
  <c r="E32" i="14"/>
  <c r="J32" i="14"/>
  <c r="J18" i="14"/>
  <c r="F32" i="14"/>
  <c r="F18" i="14"/>
  <c r="K32" i="14"/>
  <c r="K18" i="14"/>
  <c r="G32" i="14"/>
  <c r="G18" i="14"/>
  <c r="E183" i="52"/>
  <c r="AI6" i="52"/>
  <c r="AI22" i="52" s="1"/>
  <c r="AH6" i="52"/>
  <c r="AH252" i="52" s="1"/>
  <c r="AG6" i="52"/>
  <c r="AG292" i="52" s="1"/>
  <c r="AF6" i="52"/>
  <c r="AF380" i="52" s="1"/>
  <c r="AE6" i="52"/>
  <c r="AE300" i="52" s="1"/>
  <c r="AD6" i="52"/>
  <c r="AD101" i="52" s="1"/>
  <c r="AC6" i="52"/>
  <c r="AC267" i="52" s="1"/>
  <c r="AB6" i="52"/>
  <c r="AB44" i="52" s="1"/>
  <c r="AA6" i="52"/>
  <c r="AA380" i="52" s="1"/>
  <c r="Z6" i="52"/>
  <c r="Z52" i="52" s="1"/>
  <c r="Y6" i="52"/>
  <c r="Y194" i="52" s="1"/>
  <c r="X6" i="52"/>
  <c r="X269" i="52" s="1"/>
  <c r="W6" i="52"/>
  <c r="W118" i="52" s="1"/>
  <c r="V6" i="52"/>
  <c r="V253" i="52" s="1"/>
  <c r="U6" i="52"/>
  <c r="U177" i="52" s="1"/>
  <c r="T6" i="52"/>
  <c r="T110" i="52" s="1"/>
  <c r="S6" i="52"/>
  <c r="S243" i="52" s="1"/>
  <c r="S246" i="52" s="1"/>
  <c r="R6" i="52"/>
  <c r="R51" i="52" s="1"/>
  <c r="Q6" i="52"/>
  <c r="Q339" i="52" s="1"/>
  <c r="P6" i="52"/>
  <c r="P300" i="52" s="1"/>
  <c r="O6" i="52"/>
  <c r="O379" i="52" s="1"/>
  <c r="N6" i="52"/>
  <c r="N315" i="52" s="1"/>
  <c r="M6" i="52"/>
  <c r="M251" i="52" s="1"/>
  <c r="L6" i="52"/>
  <c r="L284" i="52" s="1"/>
  <c r="K6" i="52"/>
  <c r="K119" i="52" s="1"/>
  <c r="J6" i="52"/>
  <c r="J356" i="52" s="1"/>
  <c r="I6" i="52"/>
  <c r="I83" i="52" s="1"/>
  <c r="H6" i="52"/>
  <c r="H261" i="52" s="1"/>
  <c r="G6" i="52"/>
  <c r="G355" i="52" s="1"/>
  <c r="F6" i="52"/>
  <c r="F252" i="52" s="1"/>
  <c r="V38" i="51" a="1"/>
  <c r="V38" i="51" s="1"/>
  <c r="U38" i="51" a="1"/>
  <c r="U38" i="51" s="1"/>
  <c r="S38" i="51" a="1"/>
  <c r="S38" i="51" s="1"/>
  <c r="R38" i="51" a="1"/>
  <c r="R38" i="51" s="1"/>
  <c r="P38" i="51" a="1"/>
  <c r="P38" i="51" s="1"/>
  <c r="O38" i="51" a="1"/>
  <c r="O38" i="51" s="1"/>
  <c r="N38" i="51" a="1"/>
  <c r="N38" i="51" s="1"/>
  <c r="M38" i="51" a="1"/>
  <c r="M38" i="51" s="1"/>
  <c r="L38" i="51" a="1"/>
  <c r="L38" i="51" s="1"/>
  <c r="K38" i="51" a="1"/>
  <c r="K38" i="51" s="1"/>
  <c r="V37" i="51" a="1"/>
  <c r="V37" i="51" s="1"/>
  <c r="U37" i="51" a="1"/>
  <c r="U37" i="51" s="1"/>
  <c r="S37" i="51" a="1"/>
  <c r="S37" i="51" s="1"/>
  <c r="R37" i="51" a="1"/>
  <c r="R37" i="51" s="1"/>
  <c r="P37" i="51" a="1"/>
  <c r="P37" i="51" s="1"/>
  <c r="O37" i="51" a="1"/>
  <c r="O37" i="51" s="1"/>
  <c r="N37" i="51" a="1"/>
  <c r="N37" i="51" s="1"/>
  <c r="M37" i="51" a="1"/>
  <c r="M37" i="51" s="1"/>
  <c r="L37" i="51" a="1"/>
  <c r="L37" i="51" s="1"/>
  <c r="K37" i="51" a="1"/>
  <c r="K37" i="51" s="1"/>
  <c r="V36" i="51" a="1"/>
  <c r="V36" i="51" s="1"/>
  <c r="U36" i="51" a="1"/>
  <c r="U36" i="51" s="1"/>
  <c r="S36" i="51" a="1"/>
  <c r="S36" i="51" s="1"/>
  <c r="R36" i="51" a="1"/>
  <c r="R36" i="51" s="1"/>
  <c r="P36" i="51" a="1"/>
  <c r="P36" i="51" s="1"/>
  <c r="O36" i="51" a="1"/>
  <c r="O36" i="51" s="1"/>
  <c r="N36" i="51" a="1"/>
  <c r="N36" i="51" s="1"/>
  <c r="M36" i="51" a="1"/>
  <c r="M36" i="51" s="1"/>
  <c r="L36" i="51" a="1"/>
  <c r="L36" i="51" s="1"/>
  <c r="K36" i="51" a="1"/>
  <c r="K36" i="51" s="1"/>
  <c r="V35" i="51" a="1"/>
  <c r="V35" i="51" s="1"/>
  <c r="U35" i="51" a="1"/>
  <c r="U35" i="51" s="1"/>
  <c r="S35" i="51" a="1"/>
  <c r="S35" i="51" s="1"/>
  <c r="R35" i="51" a="1"/>
  <c r="R35" i="51" s="1"/>
  <c r="P35" i="51" a="1"/>
  <c r="P35" i="51" s="1"/>
  <c r="O35" i="51" a="1"/>
  <c r="O35" i="51" s="1"/>
  <c r="N35" i="51" a="1"/>
  <c r="N35" i="51" s="1"/>
  <c r="M35" i="51" a="1"/>
  <c r="M35" i="51" s="1"/>
  <c r="L35" i="51" a="1"/>
  <c r="L35" i="51" s="1"/>
  <c r="K35" i="51" a="1"/>
  <c r="K35" i="51" s="1"/>
  <c r="V34" i="51" a="1"/>
  <c r="V34" i="51" s="1"/>
  <c r="U34" i="51" a="1"/>
  <c r="U34" i="51" s="1"/>
  <c r="S34" i="51" a="1"/>
  <c r="S34" i="51" s="1"/>
  <c r="R34" i="51" a="1"/>
  <c r="R34" i="51" s="1"/>
  <c r="P34" i="51" a="1"/>
  <c r="P34" i="51" s="1"/>
  <c r="O34" i="51" a="1"/>
  <c r="O34" i="51" s="1"/>
  <c r="N34" i="51" a="1"/>
  <c r="N34" i="51" s="1"/>
  <c r="M34" i="51" a="1"/>
  <c r="M34" i="51" s="1"/>
  <c r="L34" i="51" a="1"/>
  <c r="L34" i="51" s="1"/>
  <c r="K34" i="51" a="1"/>
  <c r="K34" i="51" s="1"/>
  <c r="V33" i="51" a="1"/>
  <c r="V33" i="51" s="1"/>
  <c r="U33" i="51" a="1"/>
  <c r="U33" i="51" s="1"/>
  <c r="S33" i="51" a="1"/>
  <c r="S33" i="51" s="1"/>
  <c r="R33" i="51" a="1"/>
  <c r="R33" i="51" s="1"/>
  <c r="P33" i="51" a="1"/>
  <c r="P33" i="51" s="1"/>
  <c r="O33" i="51" a="1"/>
  <c r="O33" i="51" s="1"/>
  <c r="N33" i="51" a="1"/>
  <c r="N33" i="51" s="1"/>
  <c r="M33" i="51" a="1"/>
  <c r="M33" i="51" s="1"/>
  <c r="L33" i="51" a="1"/>
  <c r="L33" i="51" s="1"/>
  <c r="K33" i="51" a="1"/>
  <c r="K33" i="51" s="1"/>
  <c r="V32" i="51" a="1"/>
  <c r="V32" i="51" s="1"/>
  <c r="U32" i="51" a="1"/>
  <c r="U32" i="51" s="1"/>
  <c r="S32" i="51" a="1"/>
  <c r="S32" i="51" s="1"/>
  <c r="R32" i="51" a="1"/>
  <c r="R32" i="51" s="1"/>
  <c r="P32" i="51" a="1"/>
  <c r="P32" i="51" s="1"/>
  <c r="O32" i="51" a="1"/>
  <c r="O32" i="51" s="1"/>
  <c r="N32" i="51" a="1"/>
  <c r="N32" i="51" s="1"/>
  <c r="M32" i="51" a="1"/>
  <c r="M32" i="51" s="1"/>
  <c r="L32" i="51" a="1"/>
  <c r="L32" i="51" s="1"/>
  <c r="K32" i="51" a="1"/>
  <c r="K32" i="51" s="1"/>
  <c r="V31" i="51" a="1"/>
  <c r="V31" i="51" s="1"/>
  <c r="U31" i="51" a="1"/>
  <c r="U31" i="51" s="1"/>
  <c r="S31" i="51" a="1"/>
  <c r="S31" i="51" s="1"/>
  <c r="R31" i="51" a="1"/>
  <c r="R31" i="51" s="1"/>
  <c r="P31" i="51" a="1"/>
  <c r="P31" i="51" s="1"/>
  <c r="O31" i="51" a="1"/>
  <c r="O31" i="51" s="1"/>
  <c r="N31" i="51" a="1"/>
  <c r="N31" i="51" s="1"/>
  <c r="M31" i="51" a="1"/>
  <c r="M31" i="51" s="1"/>
  <c r="L31" i="51" a="1"/>
  <c r="L31" i="51" s="1"/>
  <c r="K31" i="51" a="1"/>
  <c r="K31" i="51" s="1"/>
  <c r="V30" i="51" a="1"/>
  <c r="V30" i="51" s="1"/>
  <c r="U30" i="51" a="1"/>
  <c r="U30" i="51" s="1"/>
  <c r="S30" i="51" a="1"/>
  <c r="S30" i="51" s="1"/>
  <c r="R30" i="51" a="1"/>
  <c r="R30" i="51" s="1"/>
  <c r="P30" i="51" a="1"/>
  <c r="P30" i="51" s="1"/>
  <c r="O30" i="51" a="1"/>
  <c r="O30" i="51" s="1"/>
  <c r="N30" i="51" a="1"/>
  <c r="N30" i="51" s="1"/>
  <c r="M30" i="51" a="1"/>
  <c r="M30" i="51" s="1"/>
  <c r="L30" i="51" a="1"/>
  <c r="L30" i="51" s="1"/>
  <c r="K30" i="51" a="1"/>
  <c r="K30" i="51" s="1"/>
  <c r="V29" i="51" a="1"/>
  <c r="V29" i="51" s="1"/>
  <c r="U29" i="51" a="1"/>
  <c r="U29" i="51" s="1"/>
  <c r="S29" i="51" a="1"/>
  <c r="S29" i="51" s="1"/>
  <c r="R29" i="51" a="1"/>
  <c r="R29" i="51" s="1"/>
  <c r="P29" i="51" a="1"/>
  <c r="P29" i="51" s="1"/>
  <c r="O29" i="51" a="1"/>
  <c r="O29" i="51" s="1"/>
  <c r="N29" i="51" a="1"/>
  <c r="N29" i="51" s="1"/>
  <c r="M29" i="51" a="1"/>
  <c r="M29" i="51" s="1"/>
  <c r="L29" i="51" a="1"/>
  <c r="L29" i="51" s="1"/>
  <c r="K29" i="51" a="1"/>
  <c r="K29" i="51" s="1"/>
  <c r="V28" i="51" a="1"/>
  <c r="V28" i="51" s="1"/>
  <c r="U28" i="51" a="1"/>
  <c r="U28" i="51" s="1"/>
  <c r="S28" i="51" a="1"/>
  <c r="S28" i="51" s="1"/>
  <c r="R28" i="51" a="1"/>
  <c r="R28" i="51" s="1"/>
  <c r="P28" i="51" a="1"/>
  <c r="P28" i="51" s="1"/>
  <c r="O28" i="51" a="1"/>
  <c r="O28" i="51" s="1"/>
  <c r="N28" i="51" a="1"/>
  <c r="N28" i="51" s="1"/>
  <c r="M28" i="51" a="1"/>
  <c r="M28" i="51" s="1"/>
  <c r="L28" i="51" a="1"/>
  <c r="L28" i="51" s="1"/>
  <c r="K28" i="51" a="1"/>
  <c r="K28" i="51" s="1"/>
  <c r="V27" i="51" a="1"/>
  <c r="V27" i="51" s="1"/>
  <c r="U27" i="51" a="1"/>
  <c r="U27" i="51" s="1"/>
  <c r="S27" i="51" a="1"/>
  <c r="S27" i="51" s="1"/>
  <c r="R27" i="51" a="1"/>
  <c r="R27" i="51" s="1"/>
  <c r="P27" i="51" a="1"/>
  <c r="P27" i="51" s="1"/>
  <c r="O27" i="51" a="1"/>
  <c r="O27" i="51" s="1"/>
  <c r="N27" i="51" a="1"/>
  <c r="N27" i="51" s="1"/>
  <c r="M27" i="51" a="1"/>
  <c r="M27" i="51" s="1"/>
  <c r="L27" i="51" a="1"/>
  <c r="L27" i="51" s="1"/>
  <c r="K27" i="51" a="1"/>
  <c r="K27" i="51" s="1"/>
  <c r="V26" i="51" a="1"/>
  <c r="V26" i="51" s="1"/>
  <c r="U26" i="51" a="1"/>
  <c r="U26" i="51" s="1"/>
  <c r="S26" i="51" a="1"/>
  <c r="S26" i="51" s="1"/>
  <c r="R26" i="51" a="1"/>
  <c r="R26" i="51" s="1"/>
  <c r="P26" i="51" a="1"/>
  <c r="P26" i="51" s="1"/>
  <c r="O26" i="51" a="1"/>
  <c r="O26" i="51" s="1"/>
  <c r="N26" i="51" a="1"/>
  <c r="N26" i="51" s="1"/>
  <c r="M26" i="51" a="1"/>
  <c r="M26" i="51" s="1"/>
  <c r="L26" i="51" a="1"/>
  <c r="L26" i="51" s="1"/>
  <c r="K26" i="51" a="1"/>
  <c r="K26" i="51" s="1"/>
  <c r="V25" i="51" a="1"/>
  <c r="V25" i="51" s="1"/>
  <c r="U25" i="51" a="1"/>
  <c r="U25" i="51" s="1"/>
  <c r="S25" i="51" a="1"/>
  <c r="S25" i="51" s="1"/>
  <c r="R25" i="51" a="1"/>
  <c r="R25" i="51" s="1"/>
  <c r="P25" i="51" a="1"/>
  <c r="P25" i="51" s="1"/>
  <c r="O25" i="51" a="1"/>
  <c r="O25" i="51" s="1"/>
  <c r="N25" i="51" a="1"/>
  <c r="N25" i="51" s="1"/>
  <c r="M25" i="51" a="1"/>
  <c r="M25" i="51" s="1"/>
  <c r="L25" i="51" a="1"/>
  <c r="L25" i="51" s="1"/>
  <c r="K25" i="51" a="1"/>
  <c r="K25" i="51" s="1"/>
  <c r="V24" i="51" a="1"/>
  <c r="V24" i="51" s="1"/>
  <c r="U24" i="51" a="1"/>
  <c r="U24" i="51" s="1"/>
  <c r="S24" i="51" a="1"/>
  <c r="S24" i="51" s="1"/>
  <c r="R24" i="51" a="1"/>
  <c r="R24" i="51" s="1"/>
  <c r="P24" i="51" a="1"/>
  <c r="P24" i="51" s="1"/>
  <c r="O24" i="51" a="1"/>
  <c r="O24" i="51" s="1"/>
  <c r="N24" i="51" a="1"/>
  <c r="N24" i="51" s="1"/>
  <c r="L24" i="51" a="1"/>
  <c r="L24" i="51" s="1"/>
  <c r="V23" i="51" a="1"/>
  <c r="V23" i="51" s="1"/>
  <c r="U23" i="51" a="1"/>
  <c r="U23" i="51" s="1"/>
  <c r="S23" i="51" a="1"/>
  <c r="S23" i="51" s="1"/>
  <c r="R23" i="51" a="1"/>
  <c r="R23" i="51" s="1"/>
  <c r="P23" i="51" a="1"/>
  <c r="P23" i="51" s="1"/>
  <c r="O23" i="51" a="1"/>
  <c r="O23" i="51" s="1"/>
  <c r="N23" i="51" a="1"/>
  <c r="N23" i="51" s="1"/>
  <c r="M23" i="51" a="1"/>
  <c r="M23" i="51" s="1"/>
  <c r="L23" i="51" a="1"/>
  <c r="L23" i="51" s="1"/>
  <c r="K23" i="51" a="1"/>
  <c r="K23" i="51" s="1"/>
  <c r="V22" i="51" a="1"/>
  <c r="V22" i="51" s="1"/>
  <c r="U22" i="51" a="1"/>
  <c r="U22" i="51" s="1"/>
  <c r="S22" i="51" a="1"/>
  <c r="S22" i="51" s="1"/>
  <c r="R22" i="51" a="1"/>
  <c r="R22" i="51" s="1"/>
  <c r="P22" i="51" a="1"/>
  <c r="P22" i="51" s="1"/>
  <c r="O22" i="51" a="1"/>
  <c r="O22" i="51" s="1"/>
  <c r="N22" i="51" a="1"/>
  <c r="N22" i="51" s="1"/>
  <c r="L22" i="51" a="1"/>
  <c r="L22" i="51" s="1"/>
  <c r="V21" i="51" a="1"/>
  <c r="V21" i="51" s="1"/>
  <c r="U21" i="51" a="1"/>
  <c r="U21" i="51" s="1"/>
  <c r="S21" i="51" a="1"/>
  <c r="S21" i="51" s="1"/>
  <c r="R21" i="51" a="1"/>
  <c r="R21" i="51" s="1"/>
  <c r="P21" i="51" a="1"/>
  <c r="P21" i="51" s="1"/>
  <c r="O21" i="51" a="1"/>
  <c r="O21" i="51" s="1"/>
  <c r="N21" i="51" a="1"/>
  <c r="N21" i="51" s="1"/>
  <c r="L21" i="51" a="1"/>
  <c r="L21" i="51" s="1"/>
  <c r="V20" i="51" a="1"/>
  <c r="V20" i="51" s="1"/>
  <c r="U20" i="51" a="1"/>
  <c r="U20" i="51" s="1"/>
  <c r="S20" i="51" a="1"/>
  <c r="S20" i="51" s="1"/>
  <c r="R20" i="51" a="1"/>
  <c r="R20" i="51" s="1"/>
  <c r="P20" i="51" a="1"/>
  <c r="P20" i="51" s="1"/>
  <c r="O20" i="51" a="1"/>
  <c r="O20" i="51" s="1"/>
  <c r="N20" i="51" a="1"/>
  <c r="N20" i="51" s="1"/>
  <c r="L20" i="51" a="1"/>
  <c r="L20" i="51" s="1"/>
  <c r="V19" i="51" a="1"/>
  <c r="V19" i="51" s="1"/>
  <c r="U19" i="51" a="1"/>
  <c r="U19" i="51" s="1"/>
  <c r="S19" i="51" a="1"/>
  <c r="S19" i="51" s="1"/>
  <c r="R19" i="51" a="1"/>
  <c r="R19" i="51" s="1"/>
  <c r="P19" i="51" a="1"/>
  <c r="P19" i="51" s="1"/>
  <c r="O19" i="51" a="1"/>
  <c r="O19" i="51" s="1"/>
  <c r="N19" i="51" a="1"/>
  <c r="N19" i="51" s="1"/>
  <c r="L19" i="51" a="1"/>
  <c r="L19" i="51" s="1"/>
  <c r="V18" i="51" a="1"/>
  <c r="V18" i="51" s="1"/>
  <c r="U18" i="51" a="1"/>
  <c r="U18" i="51" s="1"/>
  <c r="S18" i="51" a="1"/>
  <c r="S18" i="51" s="1"/>
  <c r="R18" i="51" a="1"/>
  <c r="R18" i="51" s="1"/>
  <c r="P18" i="51" a="1"/>
  <c r="P18" i="51" s="1"/>
  <c r="O18" i="51" a="1"/>
  <c r="O18" i="51" s="1"/>
  <c r="N18" i="51" a="1"/>
  <c r="N18" i="51" s="1"/>
  <c r="L18" i="51" a="1"/>
  <c r="L18" i="51" s="1"/>
  <c r="V17" i="51" a="1"/>
  <c r="V17" i="51" s="1"/>
  <c r="U17" i="51" a="1"/>
  <c r="U17" i="51" s="1"/>
  <c r="S17" i="51" a="1"/>
  <c r="S17" i="51" s="1"/>
  <c r="R17" i="51" a="1"/>
  <c r="R17" i="51" s="1"/>
  <c r="P17" i="51" a="1"/>
  <c r="P17" i="51" s="1"/>
  <c r="O17" i="51" a="1"/>
  <c r="O17" i="51" s="1"/>
  <c r="N17" i="51" a="1"/>
  <c r="N17" i="51" s="1"/>
  <c r="L17" i="51" a="1"/>
  <c r="L17" i="51" s="1"/>
  <c r="V16" i="51" a="1"/>
  <c r="V16" i="51" s="1"/>
  <c r="U16" i="51" a="1"/>
  <c r="U16" i="51" s="1"/>
  <c r="S16" i="51" a="1"/>
  <c r="S16" i="51" s="1"/>
  <c r="R16" i="51" a="1"/>
  <c r="R16" i="51" s="1"/>
  <c r="P16" i="51" a="1"/>
  <c r="P16" i="51" s="1"/>
  <c r="O16" i="51" a="1"/>
  <c r="O16" i="51" s="1"/>
  <c r="N16" i="51" a="1"/>
  <c r="N16" i="51" s="1"/>
  <c r="L16" i="51" a="1"/>
  <c r="L16" i="51" s="1"/>
  <c r="V15" i="51" a="1"/>
  <c r="V15" i="51" s="1"/>
  <c r="U15" i="51" a="1"/>
  <c r="U15" i="51" s="1"/>
  <c r="S15" i="51" a="1"/>
  <c r="S15" i="51" s="1"/>
  <c r="R15" i="51" a="1"/>
  <c r="R15" i="51" s="1"/>
  <c r="P15" i="51" a="1"/>
  <c r="P15" i="51" s="1"/>
  <c r="O15" i="51" a="1"/>
  <c r="O15" i="51" s="1"/>
  <c r="N15" i="51" a="1"/>
  <c r="N15" i="51" s="1"/>
  <c r="L15" i="51" a="1"/>
  <c r="L15" i="51" s="1"/>
  <c r="V14" i="51" a="1"/>
  <c r="V14" i="51" s="1"/>
  <c r="U14" i="51" a="1"/>
  <c r="U14" i="51" s="1"/>
  <c r="S14" i="51" a="1"/>
  <c r="S14" i="51" s="1"/>
  <c r="R14" i="51" a="1"/>
  <c r="R14" i="51" s="1"/>
  <c r="P14" i="51" a="1"/>
  <c r="P14" i="51" s="1"/>
  <c r="O14" i="51" a="1"/>
  <c r="O14" i="51" s="1"/>
  <c r="N14" i="51" a="1"/>
  <c r="N14" i="51" s="1"/>
  <c r="L14" i="51" a="1"/>
  <c r="L14" i="51" s="1"/>
  <c r="V13" i="51" a="1"/>
  <c r="V13" i="51" s="1"/>
  <c r="U13" i="51" a="1"/>
  <c r="U13" i="51" s="1"/>
  <c r="S13" i="51" a="1"/>
  <c r="S13" i="51" s="1"/>
  <c r="R13" i="51" a="1"/>
  <c r="R13" i="51" s="1"/>
  <c r="P13" i="51" a="1"/>
  <c r="P13" i="51" s="1"/>
  <c r="O13" i="51" a="1"/>
  <c r="O13" i="51" s="1"/>
  <c r="N13" i="51" a="1"/>
  <c r="N13" i="51" s="1"/>
  <c r="L13" i="51" a="1"/>
  <c r="L13" i="51" s="1"/>
  <c r="V12" i="51" a="1"/>
  <c r="V12" i="51" s="1"/>
  <c r="U12" i="51" a="1"/>
  <c r="U12" i="51" s="1"/>
  <c r="S12" i="51" a="1"/>
  <c r="S12" i="51" s="1"/>
  <c r="R12" i="51" a="1"/>
  <c r="R12" i="51" s="1"/>
  <c r="P12" i="51" a="1"/>
  <c r="P12" i="51" s="1"/>
  <c r="O12" i="51" a="1"/>
  <c r="O12" i="51" s="1"/>
  <c r="N12" i="51" a="1"/>
  <c r="N12" i="51" s="1"/>
  <c r="L12" i="51" a="1"/>
  <c r="L12" i="51" s="1"/>
  <c r="V11" i="51" a="1"/>
  <c r="V11" i="51" s="1"/>
  <c r="U11" i="51" a="1"/>
  <c r="U11" i="51" s="1"/>
  <c r="S11" i="51" a="1"/>
  <c r="S11" i="51" s="1"/>
  <c r="R11" i="51" a="1"/>
  <c r="R11" i="51" s="1"/>
  <c r="P11" i="51" a="1"/>
  <c r="P11" i="51" s="1"/>
  <c r="O11" i="51" a="1"/>
  <c r="O11" i="51" s="1"/>
  <c r="N11" i="51" a="1"/>
  <c r="N11" i="51" s="1"/>
  <c r="L11" i="51" a="1"/>
  <c r="L11" i="51" s="1"/>
  <c r="V10" i="51" a="1"/>
  <c r="V10" i="51" s="1"/>
  <c r="U10" i="51" a="1"/>
  <c r="U10" i="51" s="1"/>
  <c r="S10" i="51" a="1"/>
  <c r="S10" i="51" s="1"/>
  <c r="R10" i="51" a="1"/>
  <c r="R10" i="51" s="1"/>
  <c r="P10" i="51" a="1"/>
  <c r="P10" i="51" s="1"/>
  <c r="O10" i="51" a="1"/>
  <c r="O10" i="51" s="1"/>
  <c r="N10" i="51" a="1"/>
  <c r="N10" i="51" s="1"/>
  <c r="L10" i="51" a="1"/>
  <c r="L10" i="51" s="1"/>
  <c r="V9" i="51" a="1"/>
  <c r="V9" i="51" s="1"/>
  <c r="U9" i="51" a="1"/>
  <c r="U9" i="51" s="1"/>
  <c r="S9" i="51" a="1"/>
  <c r="S9" i="51" s="1"/>
  <c r="R9" i="51" a="1"/>
  <c r="R9" i="51" s="1"/>
  <c r="P9" i="51" a="1"/>
  <c r="P9" i="51" s="1"/>
  <c r="O9" i="51" a="1"/>
  <c r="O9" i="51" s="1"/>
  <c r="N9" i="51" a="1"/>
  <c r="N9" i="51" s="1"/>
  <c r="L9" i="51" a="1"/>
  <c r="L9" i="51" s="1"/>
  <c r="F6" i="51"/>
  <c r="W12" i="14"/>
  <c r="E28" i="14"/>
  <c r="G51" i="49"/>
  <c r="N16" i="24"/>
  <c r="L21" i="43"/>
  <c r="G13" i="14"/>
  <c r="R22" i="43"/>
  <c r="V14" i="14"/>
  <c r="N20" i="14"/>
  <c r="C21" i="43"/>
  <c r="S22" i="43"/>
  <c r="V10" i="14"/>
  <c r="R43" i="43"/>
  <c r="E55" i="14"/>
  <c r="G61" i="49"/>
  <c r="O24" i="24"/>
  <c r="G18" i="49"/>
  <c r="F42" i="43"/>
  <c r="L25" i="14"/>
  <c r="Q21" i="43"/>
  <c r="G25" i="14"/>
  <c r="F29" i="43"/>
  <c r="G21" i="49"/>
  <c r="I68" i="14"/>
  <c r="G16" i="49"/>
  <c r="P68" i="14"/>
  <c r="P70" i="14"/>
  <c r="E28" i="43"/>
  <c r="G29" i="14"/>
  <c r="D22" i="43"/>
  <c r="F35" i="43"/>
  <c r="W26" i="14"/>
  <c r="G58" i="49"/>
  <c r="M41" i="43"/>
  <c r="G5" i="49"/>
  <c r="M12" i="14"/>
  <c r="J70" i="14"/>
  <c r="O17" i="24"/>
  <c r="H35" i="43"/>
  <c r="V27" i="14"/>
  <c r="F27" i="14"/>
  <c r="W22" i="43"/>
  <c r="K63" i="14"/>
  <c r="T35" i="43"/>
  <c r="H13" i="14"/>
  <c r="E70" i="14"/>
  <c r="W21" i="14"/>
  <c r="I41" i="43"/>
  <c r="I21" i="43"/>
  <c r="O41" i="43"/>
  <c r="G48" i="49"/>
  <c r="J63" i="14"/>
  <c r="I63" i="14"/>
  <c r="Q43" i="43"/>
  <c r="F21" i="43"/>
  <c r="M55" i="14"/>
  <c r="L26" i="14"/>
  <c r="M10" i="24"/>
  <c r="N55" i="14"/>
  <c r="O42" i="43"/>
  <c r="G44" i="49"/>
  <c r="K34" i="43"/>
  <c r="S29" i="43"/>
  <c r="L41" i="43"/>
  <c r="G22" i="49"/>
  <c r="L34" i="43"/>
  <c r="I56" i="14"/>
  <c r="L68" i="14"/>
  <c r="G24" i="49"/>
  <c r="I13" i="14"/>
  <c r="J68" i="14"/>
  <c r="L27" i="14"/>
  <c r="G12" i="49"/>
  <c r="O43" i="43"/>
  <c r="G57" i="49"/>
  <c r="M42" i="43"/>
  <c r="E29" i="43"/>
  <c r="G10" i="49"/>
  <c r="G42" i="49"/>
  <c r="N13" i="14"/>
  <c r="D28" i="43"/>
  <c r="V34" i="43"/>
  <c r="J43" i="43"/>
  <c r="P69" i="14"/>
  <c r="O12" i="14"/>
  <c r="G50" i="49"/>
  <c r="G34" i="43"/>
  <c r="T29" i="43"/>
  <c r="G11" i="49"/>
  <c r="K22" i="43"/>
  <c r="V12" i="14"/>
  <c r="C43" i="43"/>
  <c r="I28" i="43"/>
  <c r="F12" i="14"/>
  <c r="K43" i="43"/>
  <c r="V19" i="14"/>
  <c r="H42" i="43"/>
  <c r="H29" i="43"/>
  <c r="I29" i="14"/>
  <c r="G27" i="14"/>
  <c r="G29" i="43"/>
  <c r="E29" i="14"/>
  <c r="T43" i="43"/>
  <c r="N29" i="43"/>
  <c r="M21" i="43"/>
  <c r="V16" i="14"/>
  <c r="G15" i="49"/>
  <c r="E22" i="43"/>
  <c r="F29" i="14"/>
  <c r="N26" i="14"/>
  <c r="V22" i="43"/>
  <c r="G25" i="49"/>
  <c r="I29" i="43"/>
  <c r="J72" i="14"/>
  <c r="M22" i="43"/>
  <c r="D29" i="43"/>
  <c r="G7" i="49"/>
  <c r="W28" i="43"/>
  <c r="G27" i="49"/>
  <c r="K69" i="14"/>
  <c r="W25" i="14"/>
  <c r="N25" i="24"/>
  <c r="L29" i="43"/>
  <c r="W8" i="14"/>
  <c r="K55" i="14"/>
  <c r="Q35" i="43"/>
  <c r="F43" i="43"/>
  <c r="S34" i="43"/>
  <c r="V15" i="14"/>
  <c r="G26" i="14"/>
  <c r="G70" i="14"/>
  <c r="V25" i="14"/>
  <c r="E12" i="14"/>
  <c r="D21" i="43"/>
  <c r="D63" i="14"/>
  <c r="S42" i="43"/>
  <c r="G54" i="49"/>
  <c r="W13" i="14"/>
  <c r="O56" i="14"/>
  <c r="W42" i="43"/>
  <c r="K25" i="14"/>
  <c r="T34" i="43"/>
  <c r="L55" i="14"/>
  <c r="L70" i="14"/>
  <c r="L22" i="43"/>
  <c r="G41" i="43"/>
  <c r="G8" i="49"/>
  <c r="G56" i="49"/>
  <c r="E63" i="14"/>
  <c r="M69" i="14"/>
  <c r="W19" i="14"/>
  <c r="N29" i="14"/>
  <c r="M68" i="14"/>
  <c r="P21" i="43"/>
  <c r="F56" i="14"/>
  <c r="H43" i="43"/>
  <c r="G72" i="14"/>
  <c r="C34" i="43"/>
  <c r="D71" i="14"/>
  <c r="V23" i="14"/>
  <c r="W18" i="14"/>
  <c r="G56" i="14"/>
  <c r="G40" i="49"/>
  <c r="O28" i="14"/>
  <c r="V11" i="14"/>
  <c r="N15" i="24"/>
  <c r="G41" i="49"/>
  <c r="P34" i="43"/>
  <c r="G38" i="49"/>
  <c r="S43" i="43"/>
  <c r="R34" i="43"/>
  <c r="O29" i="14"/>
  <c r="I72" i="14"/>
  <c r="H69" i="14"/>
  <c r="E72" i="14"/>
  <c r="N28" i="43"/>
  <c r="S35" i="43"/>
  <c r="M26" i="14"/>
  <c r="M35" i="43"/>
  <c r="G35" i="43"/>
  <c r="L13" i="14"/>
  <c r="L20" i="14"/>
  <c r="F70" i="14"/>
  <c r="N12" i="14"/>
  <c r="V8" i="14"/>
  <c r="D55" i="14"/>
  <c r="R21" i="43"/>
  <c r="C22" i="43"/>
  <c r="V22" i="14"/>
  <c r="R42" i="43"/>
  <c r="K13" i="14"/>
  <c r="L43" i="43"/>
  <c r="W20" i="14"/>
  <c r="L69" i="14"/>
  <c r="H27" i="14"/>
  <c r="J34" i="43"/>
  <c r="V29" i="43"/>
  <c r="G26" i="49"/>
  <c r="K41" i="43"/>
  <c r="G59" i="49"/>
  <c r="Q42" i="43"/>
  <c r="P56" i="14"/>
  <c r="H28" i="14"/>
  <c r="N72" i="14"/>
  <c r="O63" i="14"/>
  <c r="H29" i="14"/>
  <c r="R29" i="43"/>
  <c r="O69" i="14"/>
  <c r="E25" i="14"/>
  <c r="J28" i="14"/>
  <c r="F63" i="14"/>
  <c r="H68" i="14"/>
  <c r="N27" i="14"/>
  <c r="L71" i="14"/>
  <c r="J27" i="14"/>
  <c r="Q29" i="43"/>
  <c r="H34" i="43"/>
  <c r="G46" i="49"/>
  <c r="N42" i="43"/>
  <c r="L12" i="14"/>
  <c r="T28" i="43"/>
  <c r="K21" i="43"/>
  <c r="K72" i="14"/>
  <c r="U22" i="43"/>
  <c r="O20" i="14"/>
  <c r="U41" i="43"/>
  <c r="N22" i="43"/>
  <c r="P35" i="43"/>
  <c r="N34" i="43"/>
  <c r="E21" i="43"/>
  <c r="J23" i="39" a="1"/>
  <c r="G13" i="49"/>
  <c r="L56" i="14"/>
  <c r="U35" i="43"/>
  <c r="H26" i="14"/>
  <c r="K20" i="14"/>
  <c r="W10" i="14"/>
  <c r="H22" i="43"/>
  <c r="U28" i="43"/>
  <c r="G42" i="43"/>
  <c r="J22" i="43"/>
  <c r="E35" i="43"/>
  <c r="D72" i="14"/>
  <c r="C28" i="43"/>
  <c r="N68" i="14"/>
  <c r="T22" i="43"/>
  <c r="H41" i="43"/>
  <c r="H55" i="14"/>
  <c r="O22" i="43"/>
  <c r="W21" i="43"/>
  <c r="N43" i="43"/>
  <c r="J71" i="14"/>
  <c r="L72" i="14"/>
  <c r="G28" i="14"/>
  <c r="L28" i="14"/>
  <c r="I34" i="43"/>
  <c r="F26" i="14"/>
  <c r="L29" i="14"/>
  <c r="V28" i="43"/>
  <c r="G43" i="43"/>
  <c r="G52" i="49"/>
  <c r="C41" i="43"/>
  <c r="W9" i="14"/>
  <c r="F28" i="43"/>
  <c r="F69" i="14"/>
  <c r="E26" i="14"/>
  <c r="N25" i="14"/>
  <c r="G69" i="14"/>
  <c r="D42" i="43"/>
  <c r="G43" i="49"/>
  <c r="G9" i="49"/>
  <c r="P41" i="43"/>
  <c r="G14" i="49"/>
  <c r="R28" i="43"/>
  <c r="M28" i="43"/>
  <c r="P63" i="14"/>
  <c r="O27" i="14"/>
  <c r="H25" i="14"/>
  <c r="H20" i="14"/>
  <c r="K28" i="14"/>
  <c r="Q34" i="43"/>
  <c r="M43" i="43"/>
  <c r="K29" i="14"/>
  <c r="N71" i="14"/>
  <c r="M56" i="14"/>
  <c r="V42" i="43"/>
  <c r="Q28" i="43"/>
  <c r="O13" i="14"/>
  <c r="V20" i="14"/>
  <c r="N35" i="43"/>
  <c r="W23" i="14"/>
  <c r="O16" i="24"/>
  <c r="P22" i="43"/>
  <c r="V41" i="43"/>
  <c r="K35" i="43"/>
  <c r="O71" i="14"/>
  <c r="S21" i="43"/>
  <c r="G53" i="49"/>
  <c r="S28" i="43"/>
  <c r="K26" i="14"/>
  <c r="D41" i="43"/>
  <c r="E71" i="14"/>
  <c r="R41" i="43"/>
  <c r="I71" i="14"/>
  <c r="O72" i="14"/>
  <c r="J20" i="14"/>
  <c r="H71" i="14"/>
  <c r="J28" i="43"/>
  <c r="E43" i="43"/>
  <c r="G55" i="14"/>
  <c r="G45" i="49"/>
  <c r="N28" i="14"/>
  <c r="F71" i="14"/>
  <c r="I28" i="14"/>
  <c r="M27" i="14"/>
  <c r="U29" i="43"/>
  <c r="H72" i="14"/>
  <c r="M28" i="14"/>
  <c r="S41" i="43"/>
  <c r="V35" i="43"/>
  <c r="M71" i="14"/>
  <c r="M13" i="14"/>
  <c r="F22" i="43"/>
  <c r="U42" i="43"/>
  <c r="H70" i="14"/>
  <c r="V24" i="14"/>
  <c r="W41" i="43"/>
  <c r="O68" i="14"/>
  <c r="V13" i="14"/>
  <c r="G39" i="49"/>
  <c r="N70" i="14"/>
  <c r="P42" i="43"/>
  <c r="G49" i="49"/>
  <c r="V17" i="14"/>
  <c r="K27" i="14"/>
  <c r="W43" i="43"/>
  <c r="W16" i="14"/>
  <c r="D34" i="43"/>
  <c r="M34" i="43"/>
  <c r="G71" i="14"/>
  <c r="N63" i="14"/>
  <c r="G60" i="49"/>
  <c r="J12" i="14"/>
  <c r="T42" i="43"/>
  <c r="F28" i="14"/>
  <c r="H21" i="43"/>
  <c r="N18" i="24"/>
  <c r="I55" i="14"/>
  <c r="W27" i="14"/>
  <c r="H28" i="43"/>
  <c r="W15" i="14"/>
  <c r="J69" i="14"/>
  <c r="N56" i="14"/>
  <c r="M29" i="14"/>
  <c r="E68" i="14"/>
  <c r="T41" i="43"/>
  <c r="W35" i="43"/>
  <c r="P55" i="14"/>
  <c r="U21" i="43"/>
  <c r="V26" i="14"/>
  <c r="O70" i="14"/>
  <c r="G21" i="43"/>
  <c r="P28" i="43"/>
  <c r="W24" i="14"/>
  <c r="O15" i="24"/>
  <c r="O25" i="14"/>
  <c r="F20" i="14"/>
  <c r="G17" i="49"/>
  <c r="J25" i="14"/>
  <c r="W17" i="14"/>
  <c r="H63" i="14"/>
  <c r="O25" i="24"/>
  <c r="L42" i="43"/>
  <c r="N41" i="43"/>
  <c r="V18" i="14"/>
  <c r="G4" i="49"/>
  <c r="V21" i="14"/>
  <c r="H12" i="14"/>
  <c r="G19" i="49"/>
  <c r="J41" i="43"/>
  <c r="J55" i="14"/>
  <c r="K29" i="43"/>
  <c r="W34" i="43"/>
  <c r="P29" i="43"/>
  <c r="J35" i="43"/>
  <c r="E56" i="14"/>
  <c r="J29" i="43"/>
  <c r="G23" i="49"/>
  <c r="O28" i="43"/>
  <c r="R35" i="43"/>
  <c r="G28" i="43"/>
  <c r="G12" i="14"/>
  <c r="K12" i="14"/>
  <c r="J42" i="43"/>
  <c r="I70" i="14"/>
  <c r="W29" i="43"/>
  <c r="L35" i="43"/>
  <c r="F41" i="43"/>
  <c r="I22" i="43"/>
  <c r="P43" i="43"/>
  <c r="Q22" i="43"/>
  <c r="N17" i="24"/>
  <c r="M25" i="14"/>
  <c r="F25" i="14"/>
  <c r="G6" i="49"/>
  <c r="D69" i="14"/>
  <c r="G20" i="49"/>
  <c r="N14" i="24"/>
  <c r="J26" i="14"/>
  <c r="L63" i="14"/>
  <c r="M29" i="43"/>
  <c r="I42" i="43"/>
  <c r="E13" i="14"/>
  <c r="O26" i="14"/>
  <c r="K56" i="14"/>
  <c r="W14" i="14"/>
  <c r="G55" i="49"/>
  <c r="D56" i="14"/>
  <c r="O21" i="43"/>
  <c r="U43" i="43"/>
  <c r="E41" i="43"/>
  <c r="O34" i="43"/>
  <c r="I35" i="43"/>
  <c r="K71" i="14"/>
  <c r="V9" i="14"/>
  <c r="T21" i="43"/>
  <c r="O55" i="14"/>
  <c r="M70" i="14"/>
  <c r="W11" i="14"/>
  <c r="N24" i="24"/>
  <c r="K68" i="14"/>
  <c r="I27" i="14"/>
  <c r="J21" i="43"/>
  <c r="L28" i="43"/>
  <c r="C35" i="43"/>
  <c r="E69" i="14"/>
  <c r="U34" i="43"/>
  <c r="O29" i="43"/>
  <c r="C29" i="43"/>
  <c r="J56" i="14"/>
  <c r="F13" i="14"/>
  <c r="D35" i="43"/>
  <c r="D43" i="43"/>
  <c r="I69" i="14"/>
  <c r="Q41" i="43"/>
  <c r="D70" i="14"/>
  <c r="G20" i="14"/>
  <c r="O14" i="24"/>
  <c r="N69" i="14"/>
  <c r="G22" i="43"/>
  <c r="G63" i="14"/>
  <c r="F68" i="14"/>
  <c r="F55" i="14"/>
  <c r="J13" i="14"/>
  <c r="O35" i="43"/>
  <c r="I12" i="14"/>
  <c r="E42" i="43"/>
  <c r="V21" i="43"/>
  <c r="W22" i="14"/>
  <c r="J29" i="14"/>
  <c r="N21" i="43"/>
  <c r="K70" i="14"/>
  <c r="G47" i="49"/>
  <c r="I25" i="14"/>
  <c r="C42" i="43"/>
  <c r="P72" i="14"/>
  <c r="E34" i="43"/>
  <c r="F72" i="14"/>
  <c r="I20" i="14"/>
  <c r="V43" i="43"/>
  <c r="F34" i="43"/>
  <c r="I43" i="43"/>
  <c r="D68" i="14"/>
  <c r="K28" i="43"/>
  <c r="P71" i="14"/>
  <c r="H56" i="14"/>
  <c r="M20" i="14"/>
  <c r="O18" i="24"/>
  <c r="I26" i="14"/>
  <c r="E27" i="14"/>
  <c r="E20" i="14"/>
  <c r="M72" i="14"/>
  <c r="M11" i="24"/>
  <c r="G68" i="14"/>
  <c r="K42" i="43"/>
  <c r="M63" i="14"/>
  <c r="D57" i="14" l="1"/>
  <c r="T36" i="43"/>
  <c r="V36" i="43"/>
  <c r="V23" i="43"/>
  <c r="W23" i="43"/>
  <c r="W7" i="14"/>
  <c r="H3" i="14" s="1"/>
  <c r="V7" i="14"/>
  <c r="N20" i="24" s="1"/>
  <c r="J23" i="39"/>
  <c r="J24" i="39" s="1"/>
  <c r="T23" i="43"/>
  <c r="S23" i="43"/>
  <c r="U36" i="43"/>
  <c r="W36" i="43"/>
  <c r="S36" i="43"/>
  <c r="U23" i="43"/>
  <c r="N4" i="24" a="1"/>
  <c r="N4" i="24" s="1"/>
  <c r="N3" i="24" a="1"/>
  <c r="N3" i="24" s="1"/>
  <c r="H236" i="52"/>
  <c r="Y90" i="52"/>
  <c r="AA76" i="52"/>
  <c r="L275" i="52"/>
  <c r="Z90" i="52"/>
  <c r="V100" i="52"/>
  <c r="M141" i="52"/>
  <c r="U253" i="52"/>
  <c r="Y269" i="52"/>
  <c r="AG28" i="52"/>
  <c r="AH154" i="52"/>
  <c r="G393" i="52"/>
  <c r="U331" i="52"/>
  <c r="G29" i="52"/>
  <c r="U29" i="52"/>
  <c r="M162" i="52"/>
  <c r="U161" i="52"/>
  <c r="M35" i="52"/>
  <c r="AI59" i="52"/>
  <c r="AI212" i="52"/>
  <c r="AI76" i="52"/>
  <c r="M253" i="52"/>
  <c r="G15" i="52"/>
  <c r="G339" i="52"/>
  <c r="L21" i="52"/>
  <c r="H339" i="52"/>
  <c r="G118" i="52"/>
  <c r="L134" i="52"/>
  <c r="M28" i="52"/>
  <c r="H154" i="52"/>
  <c r="G340" i="52"/>
  <c r="AH393" i="52"/>
  <c r="F43" i="52"/>
  <c r="AI100" i="52"/>
  <c r="M275" i="52"/>
  <c r="U111" i="52"/>
  <c r="S277" i="52"/>
  <c r="L14" i="52"/>
  <c r="H44" i="52"/>
  <c r="AG111" i="52"/>
  <c r="AA193" i="52"/>
  <c r="M284" i="52"/>
  <c r="P89" i="52"/>
  <c r="P253" i="52"/>
  <c r="P37" i="52"/>
  <c r="F170" i="52"/>
  <c r="AA7" i="52" a="1"/>
  <c r="AA7" i="52" s="1"/>
  <c r="J30" i="51" s="1"/>
  <c r="I30" i="51" s="1"/>
  <c r="X30" i="51" s="1"/>
  <c r="G177" i="52"/>
  <c r="AI7" i="52" a="1"/>
  <c r="AI7" i="52" s="1"/>
  <c r="J38" i="51" s="1"/>
  <c r="I38" i="51" s="1"/>
  <c r="X38" i="51" s="1"/>
  <c r="AI43" i="52"/>
  <c r="AI110" i="52"/>
  <c r="AI177" i="52"/>
  <c r="Q277" i="52"/>
  <c r="AI13" i="52"/>
  <c r="G44" i="52"/>
  <c r="M14" i="52"/>
  <c r="U59" i="52"/>
  <c r="AA112" i="52"/>
  <c r="Z212" i="52"/>
  <c r="S284" i="52"/>
  <c r="T316" i="52"/>
  <c r="AI118" i="52"/>
  <c r="H76" i="52"/>
  <c r="G235" i="52"/>
  <c r="G238" i="52" s="1"/>
  <c r="H323" i="52"/>
  <c r="M21" i="52"/>
  <c r="V76" i="52"/>
  <c r="AI235" i="52"/>
  <c r="AI238" i="52" s="1"/>
  <c r="M331" i="52"/>
  <c r="AC52" i="52"/>
  <c r="AC372" i="52"/>
  <c r="AC28" i="52"/>
  <c r="AC37" i="52"/>
  <c r="AC58" i="52"/>
  <c r="AC89" i="52"/>
  <c r="O111" i="52"/>
  <c r="O134" i="52"/>
  <c r="AC154" i="52"/>
  <c r="O171" i="52"/>
  <c r="AC212" i="52"/>
  <c r="AD28" i="52"/>
  <c r="AD58" i="52"/>
  <c r="AC134" i="52"/>
  <c r="AE28" i="52"/>
  <c r="O59" i="52"/>
  <c r="O135" i="52"/>
  <c r="AC253" i="52"/>
  <c r="O284" i="52"/>
  <c r="O394" i="52"/>
  <c r="P59" i="52"/>
  <c r="AC14" i="52"/>
  <c r="O82" i="52"/>
  <c r="O261" i="52"/>
  <c r="AC284" i="52"/>
  <c r="T141" i="52"/>
  <c r="O178" i="52"/>
  <c r="Q15" i="52"/>
  <c r="AI44" i="52"/>
  <c r="AC82" i="52"/>
  <c r="P126" i="52"/>
  <c r="F163" i="52"/>
  <c r="AC243" i="52"/>
  <c r="AC246" i="52" s="1"/>
  <c r="U292" i="52"/>
  <c r="V35" i="52"/>
  <c r="G66" i="52"/>
  <c r="G102" i="52"/>
  <c r="R147" i="52"/>
  <c r="AH243" i="52"/>
  <c r="AH246" i="52" s="1"/>
  <c r="U300" i="52"/>
  <c r="U51" i="52"/>
  <c r="AC83" i="52"/>
  <c r="AI126" i="52"/>
  <c r="U163" i="52"/>
  <c r="AC193" i="52"/>
  <c r="AI243" i="52"/>
  <c r="AI246" i="52" s="1"/>
  <c r="Q356" i="52"/>
  <c r="O36" i="52"/>
  <c r="AC66" i="52"/>
  <c r="AI102" i="52"/>
  <c r="AC307" i="52"/>
  <c r="AC7" i="52" a="1"/>
  <c r="AC7" i="52" s="1"/>
  <c r="J32" i="51" s="1"/>
  <c r="I32" i="51" s="1"/>
  <c r="X32" i="51" s="1"/>
  <c r="U21" i="52"/>
  <c r="M37" i="52"/>
  <c r="O52" i="52"/>
  <c r="AD66" i="52"/>
  <c r="G89" i="52"/>
  <c r="U110" i="52"/>
  <c r="U127" i="52"/>
  <c r="F154" i="52"/>
  <c r="AD169" i="52"/>
  <c r="O194" i="52"/>
  <c r="Q251" i="52"/>
  <c r="O275" i="52"/>
  <c r="AD307" i="52"/>
  <c r="AC371" i="52"/>
  <c r="AD37" i="52"/>
  <c r="AC76" i="52"/>
  <c r="AC155" i="52"/>
  <c r="AC177" i="52"/>
  <c r="O14" i="52"/>
  <c r="AC90" i="52"/>
  <c r="AC135" i="52"/>
  <c r="AD177" i="52"/>
  <c r="O235" i="52"/>
  <c r="O238" i="52" s="1"/>
  <c r="AC259" i="52"/>
  <c r="P82" i="52"/>
  <c r="O162" i="52"/>
  <c r="P261" i="52"/>
  <c r="AC291" i="52"/>
  <c r="O15" i="52"/>
  <c r="Q44" i="52"/>
  <c r="U65" i="52"/>
  <c r="T82" i="52"/>
  <c r="AE101" i="52"/>
  <c r="O125" i="52"/>
  <c r="U141" i="52"/>
  <c r="U162" i="52"/>
  <c r="Q243" i="52"/>
  <c r="Q246" i="52" s="1"/>
  <c r="U261" i="52"/>
  <c r="AI291" i="52"/>
  <c r="AI347" i="52"/>
  <c r="O35" i="52"/>
  <c r="AI65" i="52"/>
  <c r="AF101" i="52"/>
  <c r="Q147" i="52"/>
  <c r="AC185" i="52"/>
  <c r="AC188" i="52" s="1"/>
  <c r="O267" i="52"/>
  <c r="AC355" i="52"/>
  <c r="O51" i="52"/>
  <c r="G83" i="52"/>
  <c r="AC126" i="52"/>
  <c r="G163" i="52"/>
  <c r="P356" i="52"/>
  <c r="AE35" i="52"/>
  <c r="O66" i="52"/>
  <c r="H102" i="52"/>
  <c r="U147" i="52"/>
  <c r="O307" i="52"/>
  <c r="T21" i="52"/>
  <c r="H52" i="52"/>
  <c r="AI83" i="52"/>
  <c r="F127" i="52"/>
  <c r="AE153" i="52"/>
  <c r="AC163" i="52"/>
  <c r="AI193" i="52"/>
  <c r="T244" i="52"/>
  <c r="Q364" i="52"/>
  <c r="AE7" i="52" a="1"/>
  <c r="AE7" i="52" s="1"/>
  <c r="J34" i="51" s="1"/>
  <c r="I34" i="51" s="1"/>
  <c r="X34" i="51" s="1"/>
  <c r="L28" i="52"/>
  <c r="O37" i="52"/>
  <c r="U52" i="52"/>
  <c r="AI66" i="52"/>
  <c r="H89" i="52"/>
  <c r="AC110" i="52"/>
  <c r="G133" i="52"/>
  <c r="G154" i="52"/>
  <c r="AE169" i="52"/>
  <c r="Y212" i="52"/>
  <c r="L253" i="52"/>
  <c r="AC276" i="52"/>
  <c r="AC315" i="52"/>
  <c r="AG371" i="52"/>
  <c r="Y118" i="52"/>
  <c r="AA14" i="52"/>
  <c r="K276" i="52"/>
  <c r="AD14" i="52"/>
  <c r="Z21" i="52"/>
  <c r="AF28" i="52"/>
  <c r="AC35" i="52"/>
  <c r="AE37" i="52"/>
  <c r="O44" i="52"/>
  <c r="P52" i="52"/>
  <c r="AC59" i="52"/>
  <c r="AE66" i="52"/>
  <c r="S82" i="52"/>
  <c r="Q89" i="52"/>
  <c r="U100" i="52"/>
  <c r="L102" i="52"/>
  <c r="P111" i="52"/>
  <c r="G119" i="52"/>
  <c r="O127" i="52"/>
  <c r="AD134" i="52"/>
  <c r="T147" i="52"/>
  <c r="AE154" i="52"/>
  <c r="H163" i="52"/>
  <c r="AI170" i="52"/>
  <c r="AC178" i="52"/>
  <c r="M194" i="52"/>
  <c r="M235" i="52"/>
  <c r="M238" i="52" s="1"/>
  <c r="M244" i="52"/>
  <c r="K259" i="52"/>
  <c r="G267" i="52"/>
  <c r="U276" i="52"/>
  <c r="AE291" i="52"/>
  <c r="S316" i="52"/>
  <c r="P339" i="52"/>
  <c r="U364" i="52"/>
  <c r="X134" i="52"/>
  <c r="K52" i="52"/>
  <c r="K100" i="52"/>
  <c r="K194" i="52"/>
  <c r="Y261" i="52"/>
  <c r="AA394" i="52"/>
  <c r="Y21" i="52"/>
  <c r="M13" i="52"/>
  <c r="AD21" i="52"/>
  <c r="AD59" i="52"/>
  <c r="Z89" i="52"/>
  <c r="M102" i="52"/>
  <c r="L119" i="52"/>
  <c r="M259" i="52"/>
  <c r="Z339" i="52"/>
  <c r="O13" i="52"/>
  <c r="M15" i="52"/>
  <c r="AI21" i="52"/>
  <c r="AI28" i="52"/>
  <c r="G36" i="52"/>
  <c r="G43" i="52"/>
  <c r="AC44" i="52"/>
  <c r="Y52" i="52"/>
  <c r="AE59" i="52"/>
  <c r="G76" i="52"/>
  <c r="U82" i="52"/>
  <c r="AA89" i="52"/>
  <c r="Y100" i="52"/>
  <c r="O102" i="52"/>
  <c r="AC111" i="52"/>
  <c r="L125" i="52"/>
  <c r="AC127" i="52"/>
  <c r="P135" i="52"/>
  <c r="Y147" i="52"/>
  <c r="O155" i="52"/>
  <c r="Z163" i="52"/>
  <c r="Z171" i="52"/>
  <c r="G185" i="52"/>
  <c r="G188" i="52" s="1"/>
  <c r="Q194" i="52"/>
  <c r="AC235" i="52"/>
  <c r="AC238" i="52" s="1"/>
  <c r="P251" i="52"/>
  <c r="Y259" i="52"/>
  <c r="AA267" i="52"/>
  <c r="P277" i="52"/>
  <c r="T292" i="52"/>
  <c r="AA316" i="52"/>
  <c r="AA339" i="52"/>
  <c r="AE371" i="52"/>
  <c r="J35" i="52"/>
  <c r="AA118" i="52"/>
  <c r="Y170" i="52"/>
  <c r="Z35" i="52"/>
  <c r="L100" i="52"/>
  <c r="AA13" i="52"/>
  <c r="K22" i="52"/>
  <c r="K43" i="52"/>
  <c r="AA100" i="52"/>
  <c r="Y102" i="52"/>
  <c r="AD111" i="52"/>
  <c r="AH127" i="52"/>
  <c r="AA147" i="52"/>
  <c r="AA171" i="52"/>
  <c r="Z185" i="52"/>
  <c r="Z188" i="52" s="1"/>
  <c r="AH194" i="52"/>
  <c r="Z259" i="52"/>
  <c r="K268" i="52"/>
  <c r="AC13" i="52"/>
  <c r="P15" i="52"/>
  <c r="U22" i="52"/>
  <c r="O29" i="52"/>
  <c r="P36" i="52"/>
  <c r="L43" i="52"/>
  <c r="G51" i="52"/>
  <c r="AI52" i="52"/>
  <c r="M65" i="52"/>
  <c r="U76" i="52"/>
  <c r="AI82" i="52"/>
  <c r="AI89" i="52"/>
  <c r="AC100" i="52"/>
  <c r="Z102" i="52"/>
  <c r="AE111" i="52"/>
  <c r="U125" i="52"/>
  <c r="AI127" i="52"/>
  <c r="AD135" i="52"/>
  <c r="K153" i="52"/>
  <c r="T161" i="52"/>
  <c r="AI163" i="52"/>
  <c r="AC171" i="52"/>
  <c r="AA185" i="52"/>
  <c r="AA188" i="52" s="1"/>
  <c r="AD203" i="52"/>
  <c r="G236" i="52"/>
  <c r="U251" i="52"/>
  <c r="AA259" i="52"/>
  <c r="L268" i="52"/>
  <c r="R277" i="52"/>
  <c r="Y299" i="52"/>
  <c r="O323" i="52"/>
  <c r="AE340" i="52"/>
  <c r="AI371" i="52"/>
  <c r="Y51" i="52"/>
  <c r="K44" i="52"/>
  <c r="M127" i="52"/>
  <c r="F14" i="52"/>
  <c r="AC15" i="52"/>
  <c r="Z22" i="52"/>
  <c r="AC29" i="52"/>
  <c r="AC36" i="52"/>
  <c r="O43" i="52"/>
  <c r="Q51" i="52"/>
  <c r="O58" i="52"/>
  <c r="Z65" i="52"/>
  <c r="W76" i="52"/>
  <c r="O83" i="52"/>
  <c r="G90" i="52"/>
  <c r="K101" i="52"/>
  <c r="O110" i="52"/>
  <c r="O112" i="52"/>
  <c r="AC125" i="52"/>
  <c r="K133" i="52"/>
  <c r="G141" i="52"/>
  <c r="M153" i="52"/>
  <c r="AA161" i="52"/>
  <c r="M169" i="52"/>
  <c r="K177" i="52"/>
  <c r="G193" i="52"/>
  <c r="O211" i="52"/>
  <c r="M236" i="52"/>
  <c r="G252" i="52"/>
  <c r="AD259" i="52"/>
  <c r="V269" i="52"/>
  <c r="U277" i="52"/>
  <c r="V300" i="52"/>
  <c r="O324" i="52"/>
  <c r="Q348" i="52"/>
  <c r="G380" i="52"/>
  <c r="Y110" i="52"/>
  <c r="Y331" i="52"/>
  <c r="Y134" i="52"/>
  <c r="M315" i="52"/>
  <c r="Z170" i="52"/>
  <c r="G14" i="52"/>
  <c r="AE15" i="52"/>
  <c r="AC22" i="52"/>
  <c r="G35" i="52"/>
  <c r="AI36" i="52"/>
  <c r="AA43" i="52"/>
  <c r="T58" i="52"/>
  <c r="AA65" i="52"/>
  <c r="X76" i="52"/>
  <c r="U83" i="52"/>
  <c r="H90" i="52"/>
  <c r="M101" i="52"/>
  <c r="S110" i="52"/>
  <c r="Q112" i="52"/>
  <c r="AI125" i="52"/>
  <c r="M133" i="52"/>
  <c r="H141" i="52"/>
  <c r="U153" i="52"/>
  <c r="AI161" i="52"/>
  <c r="AA169" i="52"/>
  <c r="M177" i="52"/>
  <c r="K193" i="52"/>
  <c r="Y211" i="52"/>
  <c r="U236" i="52"/>
  <c r="AG252" i="52"/>
  <c r="AA260" i="52"/>
  <c r="W269" i="52"/>
  <c r="O283" i="52"/>
  <c r="AC300" i="52"/>
  <c r="AC324" i="52"/>
  <c r="V348" i="52"/>
  <c r="Q380" i="52"/>
  <c r="M44" i="52"/>
  <c r="K102" i="52"/>
  <c r="Y178" i="52"/>
  <c r="L194" i="52"/>
  <c r="L244" i="52"/>
  <c r="Z261" i="52"/>
  <c r="Y22" i="52"/>
  <c r="Z36" i="52"/>
  <c r="M43" i="52"/>
  <c r="M58" i="52"/>
  <c r="F90" i="52"/>
  <c r="AA125" i="52"/>
  <c r="F141" i="52"/>
  <c r="L153" i="52"/>
  <c r="L169" i="52"/>
  <c r="M211" i="52"/>
  <c r="M268" i="52"/>
  <c r="M324" i="52"/>
  <c r="H14" i="52"/>
  <c r="K21" i="52"/>
  <c r="I35" i="52"/>
  <c r="K37" i="52"/>
  <c r="AC43" i="52"/>
  <c r="T51" i="52"/>
  <c r="U58" i="52"/>
  <c r="AE65" i="52"/>
  <c r="Z76" i="52"/>
  <c r="Z83" i="52"/>
  <c r="K90" i="52"/>
  <c r="O101" i="52"/>
  <c r="U112" i="52"/>
  <c r="K126" i="52"/>
  <c r="O133" i="52"/>
  <c r="K141" i="52"/>
  <c r="AA153" i="52"/>
  <c r="L162" i="52"/>
  <c r="AC169" i="52"/>
  <c r="O193" i="52"/>
  <c r="V212" i="52"/>
  <c r="G261" i="52"/>
  <c r="AE283" i="52"/>
  <c r="L307" i="52"/>
  <c r="AD324" i="52"/>
  <c r="AC380" i="52"/>
  <c r="AB316" i="52"/>
  <c r="R308" i="52"/>
  <c r="R21" i="52"/>
  <c r="R14" i="52"/>
  <c r="AB110" i="52"/>
  <c r="AB170" i="52"/>
  <c r="AB161" i="52"/>
  <c r="F380" i="52"/>
  <c r="F259" i="52"/>
  <c r="F153" i="52"/>
  <c r="F111" i="52"/>
  <c r="F65" i="52"/>
  <c r="F58" i="52"/>
  <c r="T89" i="52"/>
  <c r="T35" i="52"/>
  <c r="T7" i="52" a="1"/>
  <c r="T7" i="52" s="1"/>
  <c r="J23" i="51" s="1"/>
  <c r="I23" i="51" s="1"/>
  <c r="X23" i="51" s="1"/>
  <c r="T101" i="52"/>
  <c r="T36" i="52"/>
  <c r="T13" i="52"/>
  <c r="T235" i="52"/>
  <c r="T238" i="52" s="1"/>
  <c r="AH162" i="52"/>
  <c r="AH379" i="52"/>
  <c r="AH299" i="52"/>
  <c r="AH275" i="52"/>
  <c r="AH111" i="52"/>
  <c r="F13" i="52"/>
  <c r="F37" i="52"/>
  <c r="N52" i="52"/>
  <c r="V58" i="52"/>
  <c r="AF59" i="52"/>
  <c r="AB100" i="52"/>
  <c r="H119" i="52"/>
  <c r="AB127" i="52"/>
  <c r="AB147" i="52"/>
  <c r="F171" i="52"/>
  <c r="AF185" i="52"/>
  <c r="AF188" i="52" s="1"/>
  <c r="F251" i="52"/>
  <c r="N253" i="52"/>
  <c r="AB267" i="52"/>
  <c r="N283" i="52"/>
  <c r="AB307" i="52"/>
  <c r="S356" i="52"/>
  <c r="V380" i="52"/>
  <c r="G112" i="52"/>
  <c r="G52" i="52"/>
  <c r="G291" i="52"/>
  <c r="G259" i="52"/>
  <c r="G153" i="52"/>
  <c r="G111" i="52"/>
  <c r="G65" i="52"/>
  <c r="G58" i="52"/>
  <c r="G269" i="52"/>
  <c r="G212" i="52"/>
  <c r="G59" i="52"/>
  <c r="U269" i="52"/>
  <c r="U212" i="52"/>
  <c r="U89" i="52"/>
  <c r="U35" i="52"/>
  <c r="U28" i="52"/>
  <c r="U14" i="52"/>
  <c r="U323" i="52"/>
  <c r="U260" i="52"/>
  <c r="U118" i="52"/>
  <c r="U90" i="52"/>
  <c r="U36" i="52"/>
  <c r="U15" i="52"/>
  <c r="U13" i="52"/>
  <c r="U363" i="52"/>
  <c r="U308" i="52"/>
  <c r="U252" i="52"/>
  <c r="U235" i="52"/>
  <c r="U238" i="52" s="1"/>
  <c r="U193" i="52"/>
  <c r="U44" i="52"/>
  <c r="U43" i="52"/>
  <c r="AI275" i="52"/>
  <c r="AI141" i="52"/>
  <c r="AI277" i="52"/>
  <c r="AI111" i="52"/>
  <c r="AI51" i="52"/>
  <c r="AI284" i="52"/>
  <c r="AI155" i="52"/>
  <c r="AI356" i="52"/>
  <c r="AI340" i="52"/>
  <c r="AI268" i="52"/>
  <c r="AI253" i="52"/>
  <c r="G13" i="52"/>
  <c r="N14" i="52"/>
  <c r="AA21" i="52"/>
  <c r="G28" i="52"/>
  <c r="V29" i="52"/>
  <c r="AB35" i="52"/>
  <c r="H37" i="52"/>
  <c r="AA58" i="52"/>
  <c r="AG59" i="52"/>
  <c r="U66" i="52"/>
  <c r="Y76" i="52"/>
  <c r="AH82" i="52"/>
  <c r="AA90" i="52"/>
  <c r="U102" i="52"/>
  <c r="M111" i="52"/>
  <c r="R112" i="52"/>
  <c r="F126" i="52"/>
  <c r="AA134" i="52"/>
  <c r="N141" i="52"/>
  <c r="AI147" i="52"/>
  <c r="G162" i="52"/>
  <c r="H169" i="52"/>
  <c r="F178" i="52"/>
  <c r="AH185" i="52"/>
  <c r="AH188" i="52" s="1"/>
  <c r="AA212" i="52"/>
  <c r="AI236" i="52"/>
  <c r="F260" i="52"/>
  <c r="AI267" i="52"/>
  <c r="N275" i="52"/>
  <c r="F292" i="52"/>
  <c r="N324" i="52"/>
  <c r="AI339" i="52"/>
  <c r="U356" i="52"/>
  <c r="AB260" i="52"/>
  <c r="AB393" i="52"/>
  <c r="AB347" i="52"/>
  <c r="AB291" i="52"/>
  <c r="AB235" i="52"/>
  <c r="AB238" i="52" s="1"/>
  <c r="AB135" i="52"/>
  <c r="AB37" i="52"/>
  <c r="AB29" i="52"/>
  <c r="AB102" i="52"/>
  <c r="AB244" i="52"/>
  <c r="AB299" i="52"/>
  <c r="N13" i="52"/>
  <c r="AB14" i="52"/>
  <c r="AH15" i="52"/>
  <c r="AH29" i="52"/>
  <c r="AH35" i="52"/>
  <c r="N37" i="52"/>
  <c r="N65" i="52"/>
  <c r="AB76" i="52"/>
  <c r="H83" i="52"/>
  <c r="AG90" i="52"/>
  <c r="T119" i="52"/>
  <c r="S126" i="52"/>
  <c r="V141" i="52"/>
  <c r="N155" i="52"/>
  <c r="AB171" i="52"/>
  <c r="Z178" i="52"/>
  <c r="T203" i="52"/>
  <c r="N243" i="52"/>
  <c r="N246" i="52" s="1"/>
  <c r="AH283" i="52"/>
  <c r="AF340" i="52"/>
  <c r="N299" i="52"/>
  <c r="N364" i="52"/>
  <c r="N267" i="52"/>
  <c r="N171" i="52"/>
  <c r="N83" i="52"/>
  <c r="N82" i="52"/>
  <c r="N66" i="52"/>
  <c r="N347" i="52"/>
  <c r="N100" i="52"/>
  <c r="N393" i="52"/>
  <c r="N379" i="52"/>
  <c r="N260" i="52"/>
  <c r="N169" i="52"/>
  <c r="N154" i="52"/>
  <c r="N22" i="52"/>
  <c r="N21" i="52"/>
  <c r="N185" i="52"/>
  <c r="N188" i="52" s="1"/>
  <c r="N259" i="52"/>
  <c r="N394" i="52"/>
  <c r="AB59" i="52"/>
  <c r="AB65" i="52"/>
  <c r="AB300" i="52"/>
  <c r="N35" i="52"/>
  <c r="AB36" i="52"/>
  <c r="N127" i="52"/>
  <c r="AF355" i="52"/>
  <c r="AF252" i="52"/>
  <c r="AF194" i="52"/>
  <c r="AF119" i="52"/>
  <c r="AF277" i="52"/>
  <c r="AF162" i="52"/>
  <c r="AF372" i="52"/>
  <c r="AF275" i="52"/>
  <c r="AB269" i="52"/>
  <c r="AG364" i="52"/>
  <c r="AG162" i="52"/>
  <c r="AG275" i="52"/>
  <c r="AG211" i="52"/>
  <c r="AG22" i="52"/>
  <c r="AB82" i="52"/>
  <c r="N236" i="52"/>
  <c r="H259" i="52"/>
  <c r="H153" i="52"/>
  <c r="H185" i="52"/>
  <c r="H188" i="52" s="1"/>
  <c r="H118" i="52"/>
  <c r="H82" i="52"/>
  <c r="H308" i="52"/>
  <c r="H260" i="52"/>
  <c r="H252" i="52"/>
  <c r="V260" i="52"/>
  <c r="V118" i="52"/>
  <c r="V90" i="52"/>
  <c r="V36" i="52"/>
  <c r="V13" i="52"/>
  <c r="V252" i="52"/>
  <c r="V193" i="52"/>
  <c r="V133" i="52"/>
  <c r="V43" i="52"/>
  <c r="V177" i="52"/>
  <c r="V277" i="52"/>
  <c r="H13" i="52"/>
  <c r="AF15" i="52"/>
  <c r="H28" i="52"/>
  <c r="AB66" i="52"/>
  <c r="AB90" i="52"/>
  <c r="N111" i="52"/>
  <c r="S253" i="52"/>
  <c r="AG15" i="52"/>
  <c r="R119" i="52"/>
  <c r="H203" i="52"/>
  <c r="AG283" i="52"/>
  <c r="T364" i="52"/>
  <c r="K291" i="52"/>
  <c r="K185" i="52"/>
  <c r="K188" i="52" s="1"/>
  <c r="K243" i="52"/>
  <c r="K246" i="52" s="1"/>
  <c r="K76" i="52"/>
  <c r="K66" i="52"/>
  <c r="K267" i="52"/>
  <c r="Y252" i="52"/>
  <c r="Y43" i="52"/>
  <c r="Y332" i="52"/>
  <c r="Y177" i="52"/>
  <c r="Y44" i="52"/>
  <c r="Y127" i="52"/>
  <c r="Y37" i="52"/>
  <c r="AI15" i="52"/>
  <c r="G22" i="52"/>
  <c r="AI29" i="52"/>
  <c r="AI35" i="52"/>
  <c r="N51" i="52"/>
  <c r="AI58" i="52"/>
  <c r="T65" i="52"/>
  <c r="AB89" i="52"/>
  <c r="AI90" i="52"/>
  <c r="N101" i="52"/>
  <c r="G110" i="52"/>
  <c r="R111" i="52"/>
  <c r="Y112" i="52"/>
  <c r="U119" i="52"/>
  <c r="U126" i="52"/>
  <c r="H133" i="52"/>
  <c r="G147" i="52"/>
  <c r="N153" i="52"/>
  <c r="AB169" i="52"/>
  <c r="U203" i="52"/>
  <c r="L235" i="52"/>
  <c r="L238" i="52" s="1"/>
  <c r="V251" i="52"/>
  <c r="U268" i="52"/>
  <c r="L276" i="52"/>
  <c r="U299" i="52"/>
  <c r="AI324" i="52"/>
  <c r="AG340" i="52"/>
  <c r="AF364" i="52"/>
  <c r="Y387" i="52"/>
  <c r="L90" i="52"/>
  <c r="L315" i="52"/>
  <c r="L283" i="52"/>
  <c r="L286" i="52" s="1"/>
  <c r="L111" i="52"/>
  <c r="L65" i="52"/>
  <c r="L58" i="52"/>
  <c r="L243" i="52"/>
  <c r="L246" i="52" s="1"/>
  <c r="L82" i="52"/>
  <c r="L66" i="52"/>
  <c r="L59" i="52"/>
  <c r="L267" i="52"/>
  <c r="L171" i="52"/>
  <c r="L126" i="52"/>
  <c r="Z277" i="52"/>
  <c r="Z193" i="52"/>
  <c r="Z169" i="52"/>
  <c r="Z154" i="52"/>
  <c r="Z127" i="52"/>
  <c r="Z37" i="52"/>
  <c r="Z135" i="52"/>
  <c r="Z29" i="52"/>
  <c r="Z331" i="52"/>
  <c r="Z194" i="52"/>
  <c r="F21" i="52"/>
  <c r="N59" i="52"/>
  <c r="AG66" i="52"/>
  <c r="F100" i="52"/>
  <c r="H110" i="52"/>
  <c r="AH119" i="52"/>
  <c r="H147" i="52"/>
  <c r="T155" i="52"/>
  <c r="AH171" i="52"/>
  <c r="V203" i="52"/>
  <c r="AH251" i="52"/>
  <c r="V268" i="52"/>
  <c r="H316" i="52"/>
  <c r="Z371" i="52"/>
  <c r="AB155" i="52"/>
  <c r="AB83" i="52"/>
  <c r="N133" i="52"/>
  <c r="AB7" i="52" a="1"/>
  <c r="AB7" i="52" s="1"/>
  <c r="J31" i="51" s="1"/>
  <c r="I31" i="51" s="1"/>
  <c r="X31" i="51" s="1"/>
  <c r="N15" i="52"/>
  <c r="N58" i="52"/>
  <c r="AB22" i="52"/>
  <c r="AB118" i="52"/>
  <c r="N44" i="52"/>
  <c r="N112" i="52"/>
  <c r="AB125" i="52"/>
  <c r="AB185" i="52"/>
  <c r="AB188" i="52" s="1"/>
  <c r="S36" i="52"/>
  <c r="S21" i="52"/>
  <c r="S89" i="52"/>
  <c r="S35" i="52"/>
  <c r="S15" i="52"/>
  <c r="S29" i="52"/>
  <c r="AB154" i="52"/>
  <c r="AF291" i="52"/>
  <c r="AB21" i="52"/>
  <c r="S43" i="52"/>
  <c r="AB58" i="52"/>
  <c r="V89" i="52"/>
  <c r="S112" i="52"/>
  <c r="AB134" i="52"/>
  <c r="H162" i="52"/>
  <c r="AB380" i="52"/>
  <c r="AG29" i="52"/>
  <c r="T43" i="52"/>
  <c r="T112" i="52"/>
  <c r="H155" i="52"/>
  <c r="V275" i="52"/>
  <c r="M243" i="52"/>
  <c r="M246" i="52" s="1"/>
  <c r="M185" i="52"/>
  <c r="M188" i="52" s="1"/>
  <c r="M59" i="52"/>
  <c r="M364" i="52"/>
  <c r="M267" i="52"/>
  <c r="M212" i="52"/>
  <c r="M171" i="52"/>
  <c r="M161" i="52"/>
  <c r="M126" i="52"/>
  <c r="M83" i="52"/>
  <c r="M76" i="52"/>
  <c r="M347" i="52"/>
  <c r="M100" i="52"/>
  <c r="M90" i="52"/>
  <c r="M393" i="52"/>
  <c r="AA177" i="52"/>
  <c r="AA127" i="52"/>
  <c r="AA44" i="52"/>
  <c r="AA15" i="52"/>
  <c r="AA393" i="52"/>
  <c r="AA308" i="52"/>
  <c r="AA235" i="52"/>
  <c r="AA238" i="52" s="1"/>
  <c r="AA135" i="52"/>
  <c r="AA29" i="52"/>
  <c r="AA194" i="52"/>
  <c r="AA141" i="52"/>
  <c r="AA102" i="52"/>
  <c r="AA244" i="52"/>
  <c r="AB13" i="52"/>
  <c r="AI14" i="52"/>
  <c r="G21" i="52"/>
  <c r="L22" i="52"/>
  <c r="H35" i="52"/>
  <c r="H36" i="52"/>
  <c r="F44" i="52"/>
  <c r="AG52" i="52"/>
  <c r="Y65" i="52"/>
  <c r="AH66" i="52"/>
  <c r="G82" i="52"/>
  <c r="V83" i="52"/>
  <c r="AH89" i="52"/>
  <c r="G100" i="52"/>
  <c r="V111" i="52"/>
  <c r="AI112" i="52"/>
  <c r="AI119" i="52"/>
  <c r="AH126" i="52"/>
  <c r="L133" i="52"/>
  <c r="Y135" i="52"/>
  <c r="M147" i="52"/>
  <c r="V153" i="52"/>
  <c r="AA155" i="52"/>
  <c r="AI162" i="52"/>
  <c r="AI171" i="52"/>
  <c r="F185" i="52"/>
  <c r="F188" i="52" s="1"/>
  <c r="AB193" i="52"/>
  <c r="Z203" i="52"/>
  <c r="U243" i="52"/>
  <c r="U246" i="52" s="1"/>
  <c r="AI251" i="52"/>
  <c r="L259" i="52"/>
  <c r="R261" i="52"/>
  <c r="AA268" i="52"/>
  <c r="AB276" i="52"/>
  <c r="N284" i="52"/>
  <c r="R300" i="52"/>
  <c r="N316" i="52"/>
  <c r="N318" i="52" s="1"/>
  <c r="R331" i="52"/>
  <c r="L393" i="52"/>
  <c r="Q14" i="52"/>
  <c r="O28" i="52"/>
  <c r="AC51" i="52"/>
  <c r="AD119" i="52"/>
  <c r="Q133" i="52"/>
  <c r="AC299" i="52"/>
  <c r="Q323" i="52"/>
  <c r="AC331" i="52"/>
  <c r="O22" i="52"/>
  <c r="P28" i="52"/>
  <c r="AC101" i="52"/>
  <c r="AE119" i="52"/>
  <c r="AC141" i="52"/>
  <c r="O154" i="52"/>
  <c r="O169" i="52"/>
  <c r="AD194" i="52"/>
  <c r="AC244" i="52"/>
  <c r="O269" i="52"/>
  <c r="P22" i="52"/>
  <c r="O76" i="52"/>
  <c r="O100" i="52"/>
  <c r="AC102" i="52"/>
  <c r="O126" i="52"/>
  <c r="AC133" i="52"/>
  <c r="O161" i="52"/>
  <c r="AC323" i="52"/>
  <c r="AC332" i="52"/>
  <c r="J393" i="52"/>
  <c r="J380" i="52"/>
  <c r="J339" i="52"/>
  <c r="J364" i="52"/>
  <c r="J387" i="52"/>
  <c r="J348" i="52"/>
  <c r="J347" i="52"/>
  <c r="J277" i="52"/>
  <c r="J276" i="52"/>
  <c r="J372" i="52"/>
  <c r="J292" i="52"/>
  <c r="J243" i="52"/>
  <c r="J246" i="52" s="1"/>
  <c r="J193" i="52"/>
  <c r="J177" i="52"/>
  <c r="J323" i="52"/>
  <c r="J253" i="52"/>
  <c r="J332" i="52"/>
  <c r="J275" i="52"/>
  <c r="J244" i="52"/>
  <c r="J300" i="52"/>
  <c r="J379" i="52"/>
  <c r="J331" i="52"/>
  <c r="J211" i="52"/>
  <c r="J324" i="52"/>
  <c r="J269" i="52"/>
  <c r="J251" i="52"/>
  <c r="J394" i="52"/>
  <c r="J162" i="52"/>
  <c r="J100" i="52"/>
  <c r="J236" i="52"/>
  <c r="J111" i="52"/>
  <c r="J58" i="52"/>
  <c r="J14" i="52"/>
  <c r="J284" i="52"/>
  <c r="J283" i="52"/>
  <c r="J171" i="52"/>
  <c r="J153" i="52"/>
  <c r="J13" i="52"/>
  <c r="J316" i="52"/>
  <c r="J261" i="52"/>
  <c r="J252" i="52"/>
  <c r="J235" i="52"/>
  <c r="J238" i="52" s="1"/>
  <c r="J163" i="52"/>
  <c r="J147" i="52"/>
  <c r="J59" i="52"/>
  <c r="J15" i="52"/>
  <c r="J308" i="52"/>
  <c r="J259" i="52"/>
  <c r="J268" i="52"/>
  <c r="J161" i="52"/>
  <c r="J82" i="52"/>
  <c r="J118" i="52"/>
  <c r="J110" i="52"/>
  <c r="J89" i="52"/>
  <c r="J36" i="52"/>
  <c r="J307" i="52"/>
  <c r="J170" i="52"/>
  <c r="J340" i="52"/>
  <c r="J212" i="52"/>
  <c r="J125" i="52"/>
  <c r="J28" i="52"/>
  <c r="J299" i="52"/>
  <c r="J203" i="52"/>
  <c r="J355" i="52"/>
  <c r="J291" i="52"/>
  <c r="J135" i="52"/>
  <c r="J112" i="52"/>
  <c r="J51" i="52"/>
  <c r="J102" i="52"/>
  <c r="J83" i="52"/>
  <c r="J21" i="52"/>
  <c r="J178" i="52"/>
  <c r="J363" i="52"/>
  <c r="J134" i="52"/>
  <c r="J133" i="52"/>
  <c r="J44" i="52"/>
  <c r="J76" i="52"/>
  <c r="J371" i="52"/>
  <c r="J260" i="52"/>
  <c r="J169" i="52"/>
  <c r="J119" i="52"/>
  <c r="J29" i="52"/>
  <c r="J194" i="52"/>
  <c r="J315" i="52"/>
  <c r="J101" i="52"/>
  <c r="J43" i="52"/>
  <c r="J155" i="52"/>
  <c r="J141" i="52"/>
  <c r="J127" i="52"/>
  <c r="J267" i="52"/>
  <c r="J185" i="52"/>
  <c r="J188" i="52" s="1"/>
  <c r="J154" i="52"/>
  <c r="J66" i="52"/>
  <c r="J65" i="52"/>
  <c r="J126" i="52"/>
  <c r="J90" i="52"/>
  <c r="J37" i="52"/>
  <c r="X393" i="52"/>
  <c r="X380" i="52"/>
  <c r="X339" i="52"/>
  <c r="X356" i="52"/>
  <c r="X355" i="52"/>
  <c r="X308" i="52"/>
  <c r="X307" i="52"/>
  <c r="X300" i="52"/>
  <c r="X324" i="52"/>
  <c r="X372" i="52"/>
  <c r="X332" i="52"/>
  <c r="X316" i="52"/>
  <c r="X315" i="52"/>
  <c r="X299" i="52"/>
  <c r="X243" i="52"/>
  <c r="X246" i="52" s="1"/>
  <c r="X193" i="52"/>
  <c r="X177" i="52"/>
  <c r="X253" i="52"/>
  <c r="X394" i="52"/>
  <c r="X291" i="52"/>
  <c r="X194" i="52"/>
  <c r="X348" i="52"/>
  <c r="X364" i="52"/>
  <c r="X268" i="52"/>
  <c r="X260" i="52"/>
  <c r="X244" i="52"/>
  <c r="X284" i="52"/>
  <c r="X261" i="52"/>
  <c r="X259" i="52"/>
  <c r="X235" i="52"/>
  <c r="X238" i="52" s="1"/>
  <c r="X178" i="52"/>
  <c r="X127" i="52"/>
  <c r="X126" i="52"/>
  <c r="X125" i="52"/>
  <c r="X169" i="52"/>
  <c r="X161" i="52"/>
  <c r="X100" i="52"/>
  <c r="X283" i="52"/>
  <c r="X267" i="52"/>
  <c r="X111" i="52"/>
  <c r="X58" i="52"/>
  <c r="X14" i="52"/>
  <c r="X340" i="52"/>
  <c r="X323" i="52"/>
  <c r="X135" i="52"/>
  <c r="X371" i="52"/>
  <c r="X185" i="52"/>
  <c r="X188" i="52" s="1"/>
  <c r="X13" i="52"/>
  <c r="X7" i="52" a="1"/>
  <c r="X7" i="52" s="1"/>
  <c r="J27" i="51" s="1"/>
  <c r="I27" i="51" s="1"/>
  <c r="X27" i="51" s="1"/>
  <c r="X171" i="52"/>
  <c r="X147" i="52"/>
  <c r="X90" i="52"/>
  <c r="X89" i="52"/>
  <c r="X44" i="52"/>
  <c r="X43" i="52"/>
  <c r="X35" i="52"/>
  <c r="X101" i="52"/>
  <c r="X15" i="52"/>
  <c r="X236" i="52"/>
  <c r="X379" i="52"/>
  <c r="X275" i="52"/>
  <c r="X154" i="52"/>
  <c r="X141" i="52"/>
  <c r="X59" i="52"/>
  <c r="X363" i="52"/>
  <c r="X252" i="52"/>
  <c r="X251" i="52"/>
  <c r="X162" i="52"/>
  <c r="X153" i="52"/>
  <c r="X133" i="52"/>
  <c r="X119" i="52"/>
  <c r="X66" i="52"/>
  <c r="X292" i="52"/>
  <c r="X82" i="52"/>
  <c r="X387" i="52"/>
  <c r="X276" i="52"/>
  <c r="X65" i="52"/>
  <c r="X83" i="52"/>
  <c r="X29" i="52"/>
  <c r="X211" i="52"/>
  <c r="X37" i="52"/>
  <c r="X36" i="52"/>
  <c r="X347" i="52"/>
  <c r="X170" i="52"/>
  <c r="X163" i="52"/>
  <c r="X52" i="52"/>
  <c r="X51" i="52"/>
  <c r="X110" i="52"/>
  <c r="X277" i="52"/>
  <c r="X155" i="52"/>
  <c r="X22" i="52"/>
  <c r="X212" i="52"/>
  <c r="X203" i="52"/>
  <c r="X21" i="52"/>
  <c r="X331" i="52"/>
  <c r="X112" i="52"/>
  <c r="X28" i="52"/>
  <c r="J52" i="52"/>
  <c r="W102" i="52"/>
  <c r="I394" i="52"/>
  <c r="I364" i="52"/>
  <c r="I315" i="52"/>
  <c r="I356" i="52"/>
  <c r="I355" i="52"/>
  <c r="I308" i="52"/>
  <c r="I307" i="52"/>
  <c r="I393" i="52"/>
  <c r="I387" i="52"/>
  <c r="I380" i="52"/>
  <c r="I324" i="52"/>
  <c r="I348" i="52"/>
  <c r="I340" i="52"/>
  <c r="I316" i="52"/>
  <c r="I291" i="52"/>
  <c r="I292" i="52"/>
  <c r="I275" i="52"/>
  <c r="I284" i="52"/>
  <c r="I276" i="52"/>
  <c r="I372" i="52"/>
  <c r="I243" i="52"/>
  <c r="I246" i="52" s="1"/>
  <c r="I193" i="52"/>
  <c r="I177" i="52"/>
  <c r="I283" i="52"/>
  <c r="I277" i="52"/>
  <c r="I268" i="52"/>
  <c r="I260" i="52"/>
  <c r="I203" i="52"/>
  <c r="I171" i="52"/>
  <c r="I332" i="52"/>
  <c r="I300" i="52"/>
  <c r="I251" i="52"/>
  <c r="I133" i="52"/>
  <c r="I371" i="52"/>
  <c r="I331" i="52"/>
  <c r="I299" i="52"/>
  <c r="I161" i="52"/>
  <c r="I127" i="52"/>
  <c r="I126" i="52"/>
  <c r="I125" i="52"/>
  <c r="I269" i="52"/>
  <c r="I211" i="52"/>
  <c r="I112" i="52"/>
  <c r="I339" i="52"/>
  <c r="I162" i="52"/>
  <c r="I100" i="52"/>
  <c r="I36" i="52"/>
  <c r="I253" i="52"/>
  <c r="I111" i="52"/>
  <c r="I244" i="52"/>
  <c r="I153" i="52"/>
  <c r="I58" i="52"/>
  <c r="I14" i="52"/>
  <c r="I13" i="52"/>
  <c r="I363" i="52"/>
  <c r="I141" i="52"/>
  <c r="I118" i="52"/>
  <c r="I90" i="52"/>
  <c r="I89" i="52"/>
  <c r="I44" i="52"/>
  <c r="I43" i="52"/>
  <c r="I267" i="52"/>
  <c r="I347" i="52"/>
  <c r="I147" i="52"/>
  <c r="I82" i="52"/>
  <c r="I15" i="52"/>
  <c r="I212" i="52"/>
  <c r="I28" i="52"/>
  <c r="I379" i="52"/>
  <c r="I110" i="52"/>
  <c r="I194" i="52"/>
  <c r="I185" i="52"/>
  <c r="I188" i="52" s="1"/>
  <c r="I178" i="52"/>
  <c r="I169" i="52"/>
  <c r="I163" i="52"/>
  <c r="I155" i="52"/>
  <c r="I323" i="52"/>
  <c r="I22" i="52"/>
  <c r="I252" i="52"/>
  <c r="I170" i="52"/>
  <c r="I59" i="52"/>
  <c r="I37" i="52"/>
  <c r="I259" i="52"/>
  <c r="I134" i="52"/>
  <c r="I235" i="52"/>
  <c r="I238" i="52" s="1"/>
  <c r="I119" i="52"/>
  <c r="I29" i="52"/>
  <c r="I21" i="52"/>
  <c r="I236" i="52"/>
  <c r="I135" i="52"/>
  <c r="I261" i="52"/>
  <c r="I102" i="52"/>
  <c r="I101" i="52"/>
  <c r="I76" i="52"/>
  <c r="I154" i="52"/>
  <c r="I66" i="52"/>
  <c r="I65" i="52"/>
  <c r="W394" i="52"/>
  <c r="W364" i="52"/>
  <c r="W315" i="52"/>
  <c r="W363" i="52"/>
  <c r="W356" i="52"/>
  <c r="W355" i="52"/>
  <c r="W347" i="52"/>
  <c r="W292" i="52"/>
  <c r="W291" i="52"/>
  <c r="W380" i="52"/>
  <c r="W307" i="52"/>
  <c r="W277" i="52"/>
  <c r="W276" i="52"/>
  <c r="W275" i="52"/>
  <c r="W308" i="52"/>
  <c r="W339" i="52"/>
  <c r="W299" i="52"/>
  <c r="W243" i="52"/>
  <c r="W246" i="52" s="1"/>
  <c r="W193" i="52"/>
  <c r="W177" i="52"/>
  <c r="W371" i="52"/>
  <c r="W324" i="52"/>
  <c r="W170" i="52"/>
  <c r="W348" i="52"/>
  <c r="W203" i="52"/>
  <c r="W171" i="52"/>
  <c r="W133" i="52"/>
  <c r="W194" i="52"/>
  <c r="W155" i="52"/>
  <c r="W284" i="52"/>
  <c r="W261" i="52"/>
  <c r="W259" i="52"/>
  <c r="W235" i="52"/>
  <c r="W238" i="52" s="1"/>
  <c r="W178" i="52"/>
  <c r="W127" i="52"/>
  <c r="W126" i="52"/>
  <c r="W125" i="52"/>
  <c r="W112" i="52"/>
  <c r="W253" i="52"/>
  <c r="W169" i="52"/>
  <c r="W161" i="52"/>
  <c r="W100" i="52"/>
  <c r="W36" i="52"/>
  <c r="W379" i="52"/>
  <c r="W211" i="52"/>
  <c r="W154" i="52"/>
  <c r="W110" i="52"/>
  <c r="W66" i="52"/>
  <c r="W65" i="52"/>
  <c r="W22" i="52"/>
  <c r="W21" i="52"/>
  <c r="W393" i="52"/>
  <c r="W340" i="52"/>
  <c r="W323" i="52"/>
  <c r="W135" i="52"/>
  <c r="W283" i="52"/>
  <c r="W153" i="52"/>
  <c r="W185" i="52"/>
  <c r="W188" i="52" s="1"/>
  <c r="W163" i="52"/>
  <c r="W134" i="52"/>
  <c r="W52" i="52"/>
  <c r="W37" i="52"/>
  <c r="W162" i="52"/>
  <c r="W119" i="52"/>
  <c r="W120" i="52" s="1"/>
  <c r="W260" i="52"/>
  <c r="W244" i="52"/>
  <c r="W111" i="52"/>
  <c r="W35" i="52"/>
  <c r="W372" i="52"/>
  <c r="W141" i="52"/>
  <c r="W59" i="52"/>
  <c r="W300" i="52"/>
  <c r="W252" i="52"/>
  <c r="W251" i="52"/>
  <c r="W101" i="52"/>
  <c r="W331" i="52"/>
  <c r="W267" i="52"/>
  <c r="W316" i="52"/>
  <c r="W29" i="52"/>
  <c r="W13" i="52"/>
  <c r="W387" i="52"/>
  <c r="W43" i="52"/>
  <c r="W332" i="52"/>
  <c r="W58" i="52"/>
  <c r="W90" i="52"/>
  <c r="W15" i="52"/>
  <c r="W89" i="52"/>
  <c r="W268" i="52"/>
  <c r="W83" i="52"/>
  <c r="W51" i="52"/>
  <c r="W82" i="52"/>
  <c r="W14" i="52"/>
  <c r="W7" i="52" a="1"/>
  <c r="W7" i="52" s="1"/>
  <c r="J26" i="51" s="1"/>
  <c r="I26" i="51" s="1"/>
  <c r="X26" i="51" s="1"/>
  <c r="W212" i="52"/>
  <c r="W147" i="52"/>
  <c r="W44" i="52"/>
  <c r="W28" i="52"/>
  <c r="I52" i="52"/>
  <c r="I51" i="52"/>
  <c r="X102" i="52"/>
  <c r="X118" i="52"/>
  <c r="J22" i="52"/>
  <c r="W236" i="52"/>
  <c r="AE194" i="52"/>
  <c r="P371" i="52"/>
  <c r="P308" i="52"/>
  <c r="P332" i="52"/>
  <c r="P331" i="52"/>
  <c r="P379" i="52"/>
  <c r="P323" i="52"/>
  <c r="P364" i="52"/>
  <c r="P269" i="52"/>
  <c r="P380" i="52"/>
  <c r="P236" i="52"/>
  <c r="P162" i="52"/>
  <c r="P340" i="52"/>
  <c r="P268" i="52"/>
  <c r="P267" i="52"/>
  <c r="P185" i="52"/>
  <c r="P188" i="52" s="1"/>
  <c r="P171" i="52"/>
  <c r="P235" i="52"/>
  <c r="P238" i="52" s="1"/>
  <c r="P355" i="52"/>
  <c r="P316" i="52"/>
  <c r="P393" i="52"/>
  <c r="P387" i="52"/>
  <c r="P284" i="52"/>
  <c r="P276" i="52"/>
  <c r="P163" i="52"/>
  <c r="P127" i="52"/>
  <c r="P244" i="52"/>
  <c r="P177" i="52"/>
  <c r="P147" i="52"/>
  <c r="P372" i="52"/>
  <c r="P292" i="52"/>
  <c r="P203" i="52"/>
  <c r="P118" i="52"/>
  <c r="P347" i="52"/>
  <c r="P212" i="52"/>
  <c r="P153" i="52"/>
  <c r="P90" i="52"/>
  <c r="P291" i="52"/>
  <c r="P259" i="52"/>
  <c r="P243" i="52"/>
  <c r="P246" i="52" s="1"/>
  <c r="P141" i="52"/>
  <c r="P100" i="52"/>
  <c r="P44" i="52"/>
  <c r="P43" i="52"/>
  <c r="P307" i="52"/>
  <c r="P260" i="52"/>
  <c r="P169" i="52"/>
  <c r="P194" i="52"/>
  <c r="P133" i="52"/>
  <c r="P119" i="52"/>
  <c r="P299" i="52"/>
  <c r="P302" i="52" s="1"/>
  <c r="P112" i="52"/>
  <c r="P51" i="52"/>
  <c r="P275" i="52"/>
  <c r="P178" i="52"/>
  <c r="P170" i="52"/>
  <c r="P76" i="52"/>
  <c r="P102" i="52"/>
  <c r="P58" i="52"/>
  <c r="P21" i="52"/>
  <c r="P315" i="52"/>
  <c r="P283" i="52"/>
  <c r="P193" i="52"/>
  <c r="P155" i="52"/>
  <c r="P83" i="52"/>
  <c r="P65" i="52"/>
  <c r="P13" i="52"/>
  <c r="P154" i="52"/>
  <c r="P134" i="52"/>
  <c r="P348" i="52"/>
  <c r="P35" i="52"/>
  <c r="P14" i="52"/>
  <c r="AD371" i="52"/>
  <c r="AD308" i="52"/>
  <c r="AD372" i="52"/>
  <c r="AD332" i="52"/>
  <c r="AD331" i="52"/>
  <c r="AD393" i="52"/>
  <c r="AD387" i="52"/>
  <c r="AD380" i="52"/>
  <c r="AD348" i="52"/>
  <c r="AD339" i="52"/>
  <c r="AD299" i="52"/>
  <c r="AD269" i="52"/>
  <c r="AD394" i="52"/>
  <c r="AD356" i="52"/>
  <c r="AD236" i="52"/>
  <c r="AD162" i="52"/>
  <c r="AD364" i="52"/>
  <c r="AD277" i="52"/>
  <c r="AD185" i="52"/>
  <c r="AD188" i="52" s="1"/>
  <c r="AD171" i="52"/>
  <c r="AD363" i="52"/>
  <c r="AD212" i="52"/>
  <c r="AD178" i="52"/>
  <c r="AD235" i="52"/>
  <c r="AD238" i="52" s="1"/>
  <c r="AD127" i="52"/>
  <c r="AD379" i="52"/>
  <c r="AD283" i="52"/>
  <c r="AD211" i="52"/>
  <c r="AD251" i="52"/>
  <c r="AD170" i="52"/>
  <c r="AD118" i="52"/>
  <c r="AD316" i="52"/>
  <c r="AD193" i="52"/>
  <c r="AD163" i="52"/>
  <c r="AD147" i="52"/>
  <c r="AD90" i="52"/>
  <c r="AD267" i="52"/>
  <c r="AD153" i="52"/>
  <c r="AD89" i="52"/>
  <c r="AD355" i="52"/>
  <c r="AD276" i="52"/>
  <c r="AD275" i="52"/>
  <c r="AD44" i="52"/>
  <c r="AD43" i="52"/>
  <c r="AD260" i="52"/>
  <c r="AD102" i="52"/>
  <c r="AD300" i="52"/>
  <c r="AD252" i="52"/>
  <c r="AD244" i="52"/>
  <c r="AD82" i="52"/>
  <c r="AD161" i="52"/>
  <c r="AD112" i="52"/>
  <c r="AD51" i="52"/>
  <c r="AD323" i="52"/>
  <c r="AD292" i="52"/>
  <c r="AD243" i="52"/>
  <c r="AD246" i="52" s="1"/>
  <c r="AD29" i="52"/>
  <c r="AD125" i="52"/>
  <c r="AD36" i="52"/>
  <c r="AD284" i="52"/>
  <c r="AD261" i="52"/>
  <c r="AD110" i="52"/>
  <c r="AD100" i="52"/>
  <c r="AD268" i="52"/>
  <c r="AD83" i="52"/>
  <c r="AD65" i="52"/>
  <c r="AD13" i="52"/>
  <c r="R15" i="52"/>
  <c r="R58" i="52"/>
  <c r="AD76" i="52"/>
  <c r="AF111" i="52"/>
  <c r="P125" i="52"/>
  <c r="AD133" i="52"/>
  <c r="AG134" i="52"/>
  <c r="R163" i="52"/>
  <c r="P211" i="52"/>
  <c r="AG243" i="52"/>
  <c r="AG246" i="52" s="1"/>
  <c r="AF259" i="52"/>
  <c r="Q261" i="52"/>
  <c r="AF283" i="52"/>
  <c r="P324" i="52"/>
  <c r="Q363" i="52"/>
  <c r="Q387" i="52"/>
  <c r="Q394" i="52"/>
  <c r="Q332" i="52"/>
  <c r="Q379" i="52"/>
  <c r="Q292" i="52"/>
  <c r="Q340" i="52"/>
  <c r="Q342" i="52" s="1"/>
  <c r="Q331" i="52"/>
  <c r="Q316" i="52"/>
  <c r="Q393" i="52"/>
  <c r="Q371" i="52"/>
  <c r="Q300" i="52"/>
  <c r="Q259" i="52"/>
  <c r="Q268" i="52"/>
  <c r="Q267" i="52"/>
  <c r="Q185" i="52"/>
  <c r="Q188" i="52" s="1"/>
  <c r="Q171" i="52"/>
  <c r="Q235" i="52"/>
  <c r="Q238" i="52" s="1"/>
  <c r="Q355" i="52"/>
  <c r="Q308" i="52"/>
  <c r="Q253" i="52"/>
  <c r="Q284" i="52"/>
  <c r="Q276" i="52"/>
  <c r="Q372" i="52"/>
  <c r="Q299" i="52"/>
  <c r="Q291" i="52"/>
  <c r="Q169" i="52"/>
  <c r="Q155" i="52"/>
  <c r="Q154" i="52"/>
  <c r="Q153" i="52"/>
  <c r="Q203" i="52"/>
  <c r="Q118" i="52"/>
  <c r="Q347" i="52"/>
  <c r="Q212" i="52"/>
  <c r="Q275" i="52"/>
  <c r="Q252" i="52"/>
  <c r="Q141" i="52"/>
  <c r="Q52" i="52"/>
  <c r="Q307" i="52"/>
  <c r="Q260" i="52"/>
  <c r="Q163" i="52"/>
  <c r="Q101" i="52"/>
  <c r="Q83" i="52"/>
  <c r="Q82" i="52"/>
  <c r="Q37" i="52"/>
  <c r="Q36" i="52"/>
  <c r="Q35" i="52"/>
  <c r="Q324" i="52"/>
  <c r="Q110" i="52"/>
  <c r="Q66" i="52"/>
  <c r="Q65" i="52"/>
  <c r="Q269" i="52"/>
  <c r="Q102" i="52"/>
  <c r="Q100" i="52"/>
  <c r="Q58" i="52"/>
  <c r="Q43" i="52"/>
  <c r="Q21" i="52"/>
  <c r="Q22" i="52"/>
  <c r="Q90" i="52"/>
  <c r="Q315" i="52"/>
  <c r="Q283" i="52"/>
  <c r="Q193" i="52"/>
  <c r="Q13" i="52"/>
  <c r="Q178" i="52"/>
  <c r="Q177" i="52"/>
  <c r="Q170" i="52"/>
  <c r="Q134" i="52"/>
  <c r="Q76" i="52"/>
  <c r="Q127" i="52"/>
  <c r="Q126" i="52"/>
  <c r="Q111" i="52"/>
  <c r="Q59" i="52"/>
  <c r="AE13" i="52"/>
  <c r="Q125" i="52"/>
  <c r="AE133" i="52"/>
  <c r="AE82" i="52"/>
  <c r="R125" i="52"/>
  <c r="AF133" i="52"/>
  <c r="AE178" i="52"/>
  <c r="AE203" i="52"/>
  <c r="R211" i="52"/>
  <c r="R332" i="52"/>
  <c r="S393" i="52"/>
  <c r="S380" i="52"/>
  <c r="S331" i="52"/>
  <c r="S324" i="52"/>
  <c r="S323" i="52"/>
  <c r="S291" i="52"/>
  <c r="S394" i="52"/>
  <c r="S300" i="52"/>
  <c r="S347" i="52"/>
  <c r="S379" i="52"/>
  <c r="S170" i="52"/>
  <c r="S283" i="52"/>
  <c r="S269" i="52"/>
  <c r="S261" i="52"/>
  <c r="S260" i="52"/>
  <c r="S259" i="52"/>
  <c r="S212" i="52"/>
  <c r="S372" i="52"/>
  <c r="S299" i="52"/>
  <c r="S185" i="52"/>
  <c r="S188" i="52" s="1"/>
  <c r="S169" i="52"/>
  <c r="S387" i="52"/>
  <c r="S340" i="52"/>
  <c r="S339" i="52"/>
  <c r="S315" i="52"/>
  <c r="S307" i="52"/>
  <c r="S267" i="52"/>
  <c r="S147" i="52"/>
  <c r="S135" i="52"/>
  <c r="S275" i="52"/>
  <c r="S268" i="52"/>
  <c r="S252" i="52"/>
  <c r="S153" i="52"/>
  <c r="S141" i="52"/>
  <c r="S194" i="52"/>
  <c r="S348" i="52"/>
  <c r="S171" i="52"/>
  <c r="S154" i="52"/>
  <c r="S134" i="52"/>
  <c r="S133" i="52"/>
  <c r="S102" i="52"/>
  <c r="S51" i="52"/>
  <c r="S177" i="52"/>
  <c r="S363" i="52"/>
  <c r="S251" i="52"/>
  <c r="S76" i="52"/>
  <c r="S28" i="52"/>
  <c r="S364" i="52"/>
  <c r="S111" i="52"/>
  <c r="S59" i="52"/>
  <c r="S58" i="52"/>
  <c r="S203" i="52"/>
  <c r="S193" i="52"/>
  <c r="S178" i="52"/>
  <c r="S155" i="52"/>
  <c r="S65" i="52"/>
  <c r="S52" i="52"/>
  <c r="S44" i="52"/>
  <c r="S37" i="52"/>
  <c r="S14" i="52"/>
  <c r="S355" i="52"/>
  <c r="S127" i="52"/>
  <c r="S83" i="52"/>
  <c r="S22" i="52"/>
  <c r="S90" i="52"/>
  <c r="S163" i="52"/>
  <c r="S292" i="52"/>
  <c r="S244" i="52"/>
  <c r="S162" i="52"/>
  <c r="S119" i="52"/>
  <c r="S101" i="52"/>
  <c r="AG393" i="52"/>
  <c r="AG380" i="52"/>
  <c r="AG331" i="52"/>
  <c r="AG379" i="52"/>
  <c r="AG291" i="52"/>
  <c r="AG294" i="52" s="1"/>
  <c r="AG324" i="52"/>
  <c r="AG323" i="52"/>
  <c r="AG387" i="52"/>
  <c r="AG316" i="52"/>
  <c r="AG394" i="52"/>
  <c r="AG268" i="52"/>
  <c r="AG170" i="52"/>
  <c r="AG372" i="52"/>
  <c r="AG307" i="52"/>
  <c r="AG300" i="52"/>
  <c r="AG212" i="52"/>
  <c r="AG347" i="52"/>
  <c r="AG253" i="52"/>
  <c r="AG269" i="52"/>
  <c r="AG332" i="52"/>
  <c r="AG185" i="52"/>
  <c r="AG188" i="52" s="1"/>
  <c r="AG169" i="52"/>
  <c r="AG135" i="52"/>
  <c r="AG260" i="52"/>
  <c r="AG163" i="52"/>
  <c r="AG363" i="52"/>
  <c r="AG315" i="52"/>
  <c r="AG244" i="52"/>
  <c r="AG177" i="52"/>
  <c r="AG141" i="52"/>
  <c r="AG203" i="52"/>
  <c r="AG153" i="52"/>
  <c r="AG102" i="52"/>
  <c r="AG51" i="52"/>
  <c r="AG299" i="52"/>
  <c r="AG171" i="52"/>
  <c r="AG161" i="52"/>
  <c r="AG155" i="52"/>
  <c r="AG147" i="52"/>
  <c r="AG83" i="52"/>
  <c r="AG82" i="52"/>
  <c r="AG37" i="52"/>
  <c r="AG36" i="52"/>
  <c r="AG35" i="52"/>
  <c r="AG277" i="52"/>
  <c r="AG193" i="52"/>
  <c r="AG101" i="52"/>
  <c r="AG339" i="52"/>
  <c r="AG259" i="52"/>
  <c r="AG154" i="52"/>
  <c r="AG126" i="52"/>
  <c r="AG119" i="52"/>
  <c r="AG110" i="52"/>
  <c r="AG251" i="52"/>
  <c r="AG89" i="52"/>
  <c r="AG118" i="52"/>
  <c r="AG100" i="52"/>
  <c r="AG7" i="52" a="1"/>
  <c r="AG7" i="52" s="1"/>
  <c r="J36" i="51" s="1"/>
  <c r="I36" i="51" s="1"/>
  <c r="X36" i="51" s="1"/>
  <c r="AG356" i="52"/>
  <c r="AG65" i="52"/>
  <c r="AG348" i="52"/>
  <c r="AG284" i="52"/>
  <c r="AG276" i="52"/>
  <c r="AG261" i="52"/>
  <c r="AG125" i="52"/>
  <c r="AG112" i="52"/>
  <c r="AG21" i="52"/>
  <c r="AG308" i="52"/>
  <c r="AG236" i="52"/>
  <c r="AG235" i="52"/>
  <c r="AG238" i="52" s="1"/>
  <c r="AG76" i="52"/>
  <c r="AG58" i="52"/>
  <c r="AG43" i="52"/>
  <c r="AG13" i="52"/>
  <c r="AG267" i="52"/>
  <c r="AG194" i="52"/>
  <c r="AG127" i="52"/>
  <c r="AG14" i="52"/>
  <c r="AF44" i="52"/>
  <c r="R59" i="52"/>
  <c r="S125" i="52"/>
  <c r="AG133" i="52"/>
  <c r="Q162" i="52"/>
  <c r="AF178" i="52"/>
  <c r="S211" i="52"/>
  <c r="S276" i="52"/>
  <c r="AE307" i="52"/>
  <c r="AE324" i="52"/>
  <c r="S332" i="52"/>
  <c r="AF339" i="52"/>
  <c r="F372" i="52"/>
  <c r="F355" i="52"/>
  <c r="F316" i="52"/>
  <c r="F315" i="52"/>
  <c r="F394" i="52"/>
  <c r="F363" i="52"/>
  <c r="F356" i="52"/>
  <c r="F347" i="52"/>
  <c r="F299" i="52"/>
  <c r="F277" i="52"/>
  <c r="F324" i="52"/>
  <c r="F340" i="52"/>
  <c r="F332" i="52"/>
  <c r="F307" i="52"/>
  <c r="F291" i="52"/>
  <c r="F267" i="52"/>
  <c r="F364" i="52"/>
  <c r="F212" i="52"/>
  <c r="F276" i="52"/>
  <c r="F169" i="52"/>
  <c r="F243" i="52"/>
  <c r="F246" i="52" s="1"/>
  <c r="F194" i="52"/>
  <c r="F283" i="52"/>
  <c r="F244" i="52"/>
  <c r="F125" i="52"/>
  <c r="F235" i="52"/>
  <c r="F238" i="52" s="1"/>
  <c r="F134" i="52"/>
  <c r="F133" i="52"/>
  <c r="F331" i="52"/>
  <c r="F323" i="52"/>
  <c r="F308" i="52"/>
  <c r="F300" i="52"/>
  <c r="F253" i="52"/>
  <c r="F155" i="52"/>
  <c r="F135" i="52"/>
  <c r="F102" i="52"/>
  <c r="F371" i="52"/>
  <c r="F211" i="52"/>
  <c r="F76" i="52"/>
  <c r="F28" i="52"/>
  <c r="F236" i="52"/>
  <c r="F29" i="52"/>
  <c r="F348" i="52"/>
  <c r="F339" i="52"/>
  <c r="F284" i="52"/>
  <c r="F110" i="52"/>
  <c r="F393" i="52"/>
  <c r="F177" i="52"/>
  <c r="F261" i="52"/>
  <c r="F162" i="52"/>
  <c r="F101" i="52"/>
  <c r="F59" i="52"/>
  <c r="F35" i="52"/>
  <c r="F15" i="52"/>
  <c r="F379" i="52"/>
  <c r="F269" i="52"/>
  <c r="F203" i="52"/>
  <c r="F147" i="52"/>
  <c r="F268" i="52"/>
  <c r="F161" i="52"/>
  <c r="F119" i="52"/>
  <c r="F66" i="52"/>
  <c r="F82" i="52"/>
  <c r="F193" i="52"/>
  <c r="F118" i="52"/>
  <c r="F112" i="52"/>
  <c r="F89" i="52"/>
  <c r="F36" i="52"/>
  <c r="T372" i="52"/>
  <c r="T355" i="52"/>
  <c r="T393" i="52"/>
  <c r="T380" i="52"/>
  <c r="T394" i="52"/>
  <c r="T379" i="52"/>
  <c r="T277" i="52"/>
  <c r="T339" i="52"/>
  <c r="T331" i="52"/>
  <c r="T315" i="52"/>
  <c r="T284" i="52"/>
  <c r="T283" i="52"/>
  <c r="T267" i="52"/>
  <c r="T347" i="52"/>
  <c r="T291" i="52"/>
  <c r="T269" i="52"/>
  <c r="T261" i="52"/>
  <c r="T260" i="52"/>
  <c r="T259" i="52"/>
  <c r="T212" i="52"/>
  <c r="T332" i="52"/>
  <c r="T275" i="52"/>
  <c r="T169" i="52"/>
  <c r="T387" i="52"/>
  <c r="T340" i="52"/>
  <c r="T236" i="52"/>
  <c r="T193" i="52"/>
  <c r="T307" i="52"/>
  <c r="T371" i="52"/>
  <c r="T324" i="52"/>
  <c r="T243" i="52"/>
  <c r="T246" i="52" s="1"/>
  <c r="T194" i="52"/>
  <c r="T125" i="52"/>
  <c r="T348" i="52"/>
  <c r="T185" i="52"/>
  <c r="T188" i="52" s="1"/>
  <c r="T171" i="52"/>
  <c r="T154" i="52"/>
  <c r="T134" i="52"/>
  <c r="T133" i="52"/>
  <c r="T102" i="52"/>
  <c r="T178" i="52"/>
  <c r="T135" i="52"/>
  <c r="T76" i="52"/>
  <c r="T28" i="52"/>
  <c r="T363" i="52"/>
  <c r="T251" i="52"/>
  <c r="T211" i="52"/>
  <c r="T126" i="52"/>
  <c r="T29" i="52"/>
  <c r="T299" i="52"/>
  <c r="T276" i="52"/>
  <c r="T268" i="52"/>
  <c r="T127" i="52"/>
  <c r="T83" i="52"/>
  <c r="T22" i="52"/>
  <c r="T163" i="52"/>
  <c r="T323" i="52"/>
  <c r="T253" i="52"/>
  <c r="T111" i="52"/>
  <c r="T177" i="52"/>
  <c r="T170" i="52"/>
  <c r="T90" i="52"/>
  <c r="T52" i="52"/>
  <c r="T44" i="52"/>
  <c r="T37" i="52"/>
  <c r="T14" i="52"/>
  <c r="T66" i="52"/>
  <c r="T59" i="52"/>
  <c r="T356" i="52"/>
  <c r="T308" i="52"/>
  <c r="T300" i="52"/>
  <c r="T252" i="52"/>
  <c r="T15" i="52"/>
  <c r="AH372" i="52"/>
  <c r="AH355" i="52"/>
  <c r="AH324" i="52"/>
  <c r="AH323" i="52"/>
  <c r="AH363" i="52"/>
  <c r="AH340" i="52"/>
  <c r="AH277" i="52"/>
  <c r="AH268" i="52"/>
  <c r="AH371" i="52"/>
  <c r="AH300" i="52"/>
  <c r="AH267" i="52"/>
  <c r="AH307" i="52"/>
  <c r="AH212" i="52"/>
  <c r="AH348" i="52"/>
  <c r="AH261" i="52"/>
  <c r="AH260" i="52"/>
  <c r="AH259" i="52"/>
  <c r="AH169" i="52"/>
  <c r="AH269" i="52"/>
  <c r="AH235" i="52"/>
  <c r="AH238" i="52" s="1"/>
  <c r="AH332" i="52"/>
  <c r="AH292" i="52"/>
  <c r="AH236" i="52"/>
  <c r="AH193" i="52"/>
  <c r="AH147" i="52"/>
  <c r="AH125" i="52"/>
  <c r="AH315" i="52"/>
  <c r="AH244" i="52"/>
  <c r="AH177" i="52"/>
  <c r="AH141" i="52"/>
  <c r="AH316" i="52"/>
  <c r="AH203" i="52"/>
  <c r="AH153" i="52"/>
  <c r="AH102" i="52"/>
  <c r="AH380" i="52"/>
  <c r="AH308" i="52"/>
  <c r="AH134" i="52"/>
  <c r="AH133" i="52"/>
  <c r="AH76" i="52"/>
  <c r="AH28" i="52"/>
  <c r="AH253" i="52"/>
  <c r="AH101" i="52"/>
  <c r="AH387" i="52"/>
  <c r="AH364" i="52"/>
  <c r="AH178" i="52"/>
  <c r="AH118" i="52"/>
  <c r="AH291" i="52"/>
  <c r="AH59" i="52"/>
  <c r="AH58" i="52"/>
  <c r="AH331" i="52"/>
  <c r="AH284" i="52"/>
  <c r="AH276" i="52"/>
  <c r="AH112" i="52"/>
  <c r="AH36" i="52"/>
  <c r="AH21" i="52"/>
  <c r="AH65" i="52"/>
  <c r="AH22" i="52"/>
  <c r="AH339" i="52"/>
  <c r="AH211" i="52"/>
  <c r="AH110" i="52"/>
  <c r="AH51" i="52"/>
  <c r="AH43" i="52"/>
  <c r="AH13" i="52"/>
  <c r="AH394" i="52"/>
  <c r="AH161" i="52"/>
  <c r="AH100" i="52"/>
  <c r="AH7" i="52" a="1"/>
  <c r="AH7" i="52" s="1"/>
  <c r="J37" i="51" s="1"/>
  <c r="I37" i="51" s="1"/>
  <c r="X37" i="51" s="1"/>
  <c r="AH356" i="52"/>
  <c r="AH135" i="52"/>
  <c r="AH90" i="52"/>
  <c r="AH83" i="52"/>
  <c r="AH52" i="52"/>
  <c r="AH44" i="52"/>
  <c r="AH37" i="52"/>
  <c r="AE14" i="52"/>
  <c r="F22" i="52"/>
  <c r="Q28" i="52"/>
  <c r="AG44" i="52"/>
  <c r="R100" i="52"/>
  <c r="S118" i="52"/>
  <c r="Q135" i="52"/>
  <c r="AD155" i="52"/>
  <c r="P161" i="52"/>
  <c r="R162" i="52"/>
  <c r="AG178" i="52"/>
  <c r="Q236" i="52"/>
  <c r="AD347" i="52"/>
  <c r="F387" i="52"/>
  <c r="AE363" i="52"/>
  <c r="AE387" i="52"/>
  <c r="AE394" i="52"/>
  <c r="AE332" i="52"/>
  <c r="AE372" i="52"/>
  <c r="AE331" i="52"/>
  <c r="AE292" i="52"/>
  <c r="AE380" i="52"/>
  <c r="AE315" i="52"/>
  <c r="AE356" i="52"/>
  <c r="AE348" i="52"/>
  <c r="AE259" i="52"/>
  <c r="AE364" i="52"/>
  <c r="AE277" i="52"/>
  <c r="AE185" i="52"/>
  <c r="AE188" i="52" s="1"/>
  <c r="AE171" i="52"/>
  <c r="AE393" i="52"/>
  <c r="AE323" i="52"/>
  <c r="AE316" i="52"/>
  <c r="AE268" i="52"/>
  <c r="AE267" i="52"/>
  <c r="AE235" i="52"/>
  <c r="AE238" i="52" s="1"/>
  <c r="AE261" i="52"/>
  <c r="AE252" i="52"/>
  <c r="AE347" i="52"/>
  <c r="AE269" i="52"/>
  <c r="AE253" i="52"/>
  <c r="AE251" i="52"/>
  <c r="AE170" i="52"/>
  <c r="AE118" i="52"/>
  <c r="AE236" i="52"/>
  <c r="AE193" i="52"/>
  <c r="AE163" i="52"/>
  <c r="AE147" i="52"/>
  <c r="AE260" i="52"/>
  <c r="AE52" i="52"/>
  <c r="AE355" i="52"/>
  <c r="AE276" i="52"/>
  <c r="AE275" i="52"/>
  <c r="AE127" i="52"/>
  <c r="AE90" i="52"/>
  <c r="AE44" i="52"/>
  <c r="AE43" i="52"/>
  <c r="AE299" i="52"/>
  <c r="AE302" i="52" s="1"/>
  <c r="AE244" i="52"/>
  <c r="AE161" i="52"/>
  <c r="AE155" i="52"/>
  <c r="AE134" i="52"/>
  <c r="AE125" i="52"/>
  <c r="AE100" i="52"/>
  <c r="AE284" i="52"/>
  <c r="AE243" i="52"/>
  <c r="AE246" i="52" s="1"/>
  <c r="AE212" i="52"/>
  <c r="AE177" i="52"/>
  <c r="AE379" i="52"/>
  <c r="AE162" i="52"/>
  <c r="AE29" i="52"/>
  <c r="AE112" i="52"/>
  <c r="AE110" i="52"/>
  <c r="AE51" i="52"/>
  <c r="AE21" i="52"/>
  <c r="AE135" i="52"/>
  <c r="AE76" i="52"/>
  <c r="AE89" i="52"/>
  <c r="AE36" i="52"/>
  <c r="AE58" i="52"/>
  <c r="AE308" i="52"/>
  <c r="AE102" i="52"/>
  <c r="AE339" i="52"/>
  <c r="AE22" i="52"/>
  <c r="Q211" i="52"/>
  <c r="AF14" i="52"/>
  <c r="AD22" i="52"/>
  <c r="R28" i="52"/>
  <c r="P29" i="52"/>
  <c r="F51" i="52"/>
  <c r="F52" i="52"/>
  <c r="AD52" i="52"/>
  <c r="P66" i="52"/>
  <c r="F83" i="52"/>
  <c r="AE83" i="52"/>
  <c r="S100" i="52"/>
  <c r="R102" i="52"/>
  <c r="P110" i="52"/>
  <c r="T118" i="52"/>
  <c r="AD126" i="52"/>
  <c r="R135" i="52"/>
  <c r="AD141" i="52"/>
  <c r="T153" i="52"/>
  <c r="AH155" i="52"/>
  <c r="Q161" i="52"/>
  <c r="T162" i="52"/>
  <c r="AH163" i="52"/>
  <c r="S236" i="52"/>
  <c r="Q244" i="52"/>
  <c r="R260" i="52"/>
  <c r="F275" i="52"/>
  <c r="AH347" i="52"/>
  <c r="S371" i="52"/>
  <c r="P394" i="52"/>
  <c r="R387" i="52"/>
  <c r="R356" i="52"/>
  <c r="R307" i="52"/>
  <c r="R393" i="52"/>
  <c r="R324" i="52"/>
  <c r="R323" i="52"/>
  <c r="R371" i="52"/>
  <c r="R355" i="52"/>
  <c r="R364" i="52"/>
  <c r="R269" i="52"/>
  <c r="R380" i="52"/>
  <c r="R339" i="52"/>
  <c r="R315" i="52"/>
  <c r="R268" i="52"/>
  <c r="R340" i="52"/>
  <c r="R235" i="52"/>
  <c r="R238" i="52" s="1"/>
  <c r="R161" i="52"/>
  <c r="R379" i="52"/>
  <c r="R347" i="52"/>
  <c r="R291" i="52"/>
  <c r="R170" i="52"/>
  <c r="R316" i="52"/>
  <c r="R284" i="52"/>
  <c r="R276" i="52"/>
  <c r="R372" i="52"/>
  <c r="R299" i="52"/>
  <c r="R394" i="52"/>
  <c r="R259" i="52"/>
  <c r="R236" i="52"/>
  <c r="R193" i="52"/>
  <c r="R126" i="52"/>
  <c r="R292" i="52"/>
  <c r="R212" i="52"/>
  <c r="R275" i="52"/>
  <c r="R252" i="52"/>
  <c r="R153" i="52"/>
  <c r="R141" i="52"/>
  <c r="R194" i="52"/>
  <c r="R185" i="52"/>
  <c r="R188" i="52" s="1"/>
  <c r="R89" i="52"/>
  <c r="R29" i="52"/>
  <c r="R169" i="52"/>
  <c r="R118" i="52"/>
  <c r="R101" i="52"/>
  <c r="R83" i="52"/>
  <c r="R82" i="52"/>
  <c r="R37" i="52"/>
  <c r="R36" i="52"/>
  <c r="R35" i="52"/>
  <c r="R177" i="52"/>
  <c r="R283" i="52"/>
  <c r="R13" i="52"/>
  <c r="R90" i="52"/>
  <c r="R363" i="52"/>
  <c r="R348" i="52"/>
  <c r="R133" i="52"/>
  <c r="R203" i="52"/>
  <c r="R178" i="52"/>
  <c r="R171" i="52"/>
  <c r="R155" i="52"/>
  <c r="R134" i="52"/>
  <c r="R76" i="52"/>
  <c r="R65" i="52"/>
  <c r="R154" i="52"/>
  <c r="R127" i="52"/>
  <c r="R22" i="52"/>
  <c r="R52" i="52"/>
  <c r="R44" i="52"/>
  <c r="R253" i="52"/>
  <c r="R251" i="52"/>
  <c r="R243" i="52"/>
  <c r="R246" i="52" s="1"/>
  <c r="R66" i="52"/>
  <c r="AF387" i="52"/>
  <c r="AF356" i="52"/>
  <c r="AF307" i="52"/>
  <c r="AF332" i="52"/>
  <c r="AF379" i="52"/>
  <c r="AF308" i="52"/>
  <c r="AF299" i="52"/>
  <c r="AF269" i="52"/>
  <c r="AF323" i="52"/>
  <c r="AF268" i="52"/>
  <c r="AF393" i="52"/>
  <c r="AF316" i="52"/>
  <c r="AF267" i="52"/>
  <c r="AF235" i="52"/>
  <c r="AF238" i="52" s="1"/>
  <c r="AF161" i="52"/>
  <c r="AF170" i="52"/>
  <c r="AF347" i="52"/>
  <c r="AF300" i="52"/>
  <c r="AF163" i="52"/>
  <c r="AF155" i="52"/>
  <c r="AF154" i="52"/>
  <c r="AF153" i="52"/>
  <c r="AF126" i="52"/>
  <c r="AF236" i="52"/>
  <c r="AF193" i="52"/>
  <c r="AF147" i="52"/>
  <c r="AF260" i="52"/>
  <c r="AF363" i="52"/>
  <c r="AF315" i="52"/>
  <c r="AF244" i="52"/>
  <c r="AF177" i="52"/>
  <c r="AF141" i="52"/>
  <c r="AF89" i="52"/>
  <c r="AF29" i="52"/>
  <c r="AF134" i="52"/>
  <c r="AF125" i="52"/>
  <c r="AF100" i="52"/>
  <c r="AF7" i="52" a="1"/>
  <c r="AF7" i="52" s="1"/>
  <c r="J35" i="51" s="1"/>
  <c r="I35" i="51" s="1"/>
  <c r="X35" i="51" s="1"/>
  <c r="AF253" i="52"/>
  <c r="AF171" i="52"/>
  <c r="AF83" i="52"/>
  <c r="AF82" i="52"/>
  <c r="AF37" i="52"/>
  <c r="AF36" i="52"/>
  <c r="AF35" i="52"/>
  <c r="AF169" i="52"/>
  <c r="AF135" i="52"/>
  <c r="AF66" i="52"/>
  <c r="AF65" i="52"/>
  <c r="AF292" i="52"/>
  <c r="AF243" i="52"/>
  <c r="AF246" i="52" s="1"/>
  <c r="AF102" i="52"/>
  <c r="AF76" i="52"/>
  <c r="AF58" i="52"/>
  <c r="AF43" i="52"/>
  <c r="AF13" i="52"/>
  <c r="AF212" i="52"/>
  <c r="AF118" i="52"/>
  <c r="AF331" i="52"/>
  <c r="AF251" i="52"/>
  <c r="AF348" i="52"/>
  <c r="AF284" i="52"/>
  <c r="AF276" i="52"/>
  <c r="AF261" i="52"/>
  <c r="AF112" i="52"/>
  <c r="AF110" i="52"/>
  <c r="AF51" i="52"/>
  <c r="AF21" i="52"/>
  <c r="AF394" i="52"/>
  <c r="AF371" i="52"/>
  <c r="AF324" i="52"/>
  <c r="AF211" i="52"/>
  <c r="AF203" i="52"/>
  <c r="AF90" i="52"/>
  <c r="AD7" i="52" a="1"/>
  <c r="AD7" i="52" s="1"/>
  <c r="J33" i="51" s="1"/>
  <c r="I33" i="51" s="1"/>
  <c r="X33" i="51" s="1"/>
  <c r="S13" i="52"/>
  <c r="AH14" i="52"/>
  <c r="AD15" i="52"/>
  <c r="AF22" i="52"/>
  <c r="Q29" i="52"/>
  <c r="AD35" i="52"/>
  <c r="R43" i="52"/>
  <c r="AF52" i="52"/>
  <c r="S66" i="52"/>
  <c r="T100" i="52"/>
  <c r="P101" i="52"/>
  <c r="R110" i="52"/>
  <c r="Q119" i="52"/>
  <c r="AE126" i="52"/>
  <c r="AF127" i="52"/>
  <c r="AE141" i="52"/>
  <c r="AD154" i="52"/>
  <c r="S161" i="52"/>
  <c r="AH170" i="52"/>
  <c r="AE211" i="52"/>
  <c r="S235" i="52"/>
  <c r="S238" i="52" s="1"/>
  <c r="R244" i="52"/>
  <c r="P252" i="52"/>
  <c r="AD253" i="52"/>
  <c r="R267" i="52"/>
  <c r="AD291" i="52"/>
  <c r="S308" i="52"/>
  <c r="AD315" i="52"/>
  <c r="AD340" i="52"/>
  <c r="AG355" i="52"/>
  <c r="P363" i="52"/>
  <c r="H371" i="52"/>
  <c r="H394" i="52"/>
  <c r="H340" i="52"/>
  <c r="H364" i="52"/>
  <c r="H356" i="52"/>
  <c r="H355" i="52"/>
  <c r="H393" i="52"/>
  <c r="H387" i="52"/>
  <c r="H300" i="52"/>
  <c r="H292" i="52"/>
  <c r="H291" i="52"/>
  <c r="H276" i="52"/>
  <c r="H379" i="52"/>
  <c r="H372" i="52"/>
  <c r="H363" i="52"/>
  <c r="H332" i="52"/>
  <c r="H307" i="52"/>
  <c r="H277" i="52"/>
  <c r="H331" i="52"/>
  <c r="H244" i="52"/>
  <c r="H211" i="52"/>
  <c r="H194" i="52"/>
  <c r="H178" i="52"/>
  <c r="H284" i="52"/>
  <c r="H347" i="52"/>
  <c r="H283" i="52"/>
  <c r="H275" i="52"/>
  <c r="H268" i="52"/>
  <c r="H380" i="52"/>
  <c r="H177" i="52"/>
  <c r="H315" i="52"/>
  <c r="H243" i="52"/>
  <c r="H246" i="52" s="1"/>
  <c r="H324" i="52"/>
  <c r="H299" i="52"/>
  <c r="H251" i="52"/>
  <c r="H161" i="52"/>
  <c r="H127" i="52"/>
  <c r="H126" i="52"/>
  <c r="H125" i="52"/>
  <c r="H101" i="52"/>
  <c r="H269" i="52"/>
  <c r="H112" i="52"/>
  <c r="H59" i="52"/>
  <c r="H15" i="52"/>
  <c r="H348" i="52"/>
  <c r="H193" i="52"/>
  <c r="H66" i="52"/>
  <c r="H65" i="52"/>
  <c r="H22" i="52"/>
  <c r="H21" i="52"/>
  <c r="H253" i="52"/>
  <c r="H171" i="52"/>
  <c r="H111" i="52"/>
  <c r="H212" i="52"/>
  <c r="H134" i="52"/>
  <c r="H100" i="52"/>
  <c r="V371" i="52"/>
  <c r="V394" i="52"/>
  <c r="V340" i="52"/>
  <c r="V316" i="52"/>
  <c r="V363" i="52"/>
  <c r="V379" i="52"/>
  <c r="V364" i="52"/>
  <c r="V332" i="52"/>
  <c r="V323" i="52"/>
  <c r="V299" i="52"/>
  <c r="V276" i="52"/>
  <c r="V284" i="52"/>
  <c r="V283" i="52"/>
  <c r="V324" i="52"/>
  <c r="V291" i="52"/>
  <c r="V244" i="52"/>
  <c r="V211" i="52"/>
  <c r="V194" i="52"/>
  <c r="V178" i="52"/>
  <c r="V147" i="52"/>
  <c r="V315" i="52"/>
  <c r="V308" i="52"/>
  <c r="V393" i="52"/>
  <c r="V339" i="52"/>
  <c r="V267" i="52"/>
  <c r="V259" i="52"/>
  <c r="V243" i="52"/>
  <c r="V246" i="52" s="1"/>
  <c r="V387" i="52"/>
  <c r="V347" i="52"/>
  <c r="V135" i="52"/>
  <c r="V134" i="52"/>
  <c r="V155" i="52"/>
  <c r="V101" i="52"/>
  <c r="V356" i="52"/>
  <c r="V261" i="52"/>
  <c r="V235" i="52"/>
  <c r="V238" i="52" s="1"/>
  <c r="V127" i="52"/>
  <c r="V126" i="52"/>
  <c r="V125" i="52"/>
  <c r="V112" i="52"/>
  <c r="V59" i="52"/>
  <c r="V15" i="52"/>
  <c r="V331" i="52"/>
  <c r="V292" i="52"/>
  <c r="V162" i="52"/>
  <c r="V119" i="52"/>
  <c r="V102" i="52"/>
  <c r="V154" i="52"/>
  <c r="V110" i="52"/>
  <c r="V66" i="52"/>
  <c r="V65" i="52"/>
  <c r="V22" i="52"/>
  <c r="V21" i="52"/>
  <c r="V372" i="52"/>
  <c r="V161" i="52"/>
  <c r="V52" i="52"/>
  <c r="V51" i="52"/>
  <c r="V7" i="52" a="1"/>
  <c r="V7" i="52" s="1"/>
  <c r="J25" i="51" s="1"/>
  <c r="I25" i="51" s="1"/>
  <c r="X25" i="51" s="1"/>
  <c r="K13" i="52"/>
  <c r="V28" i="52"/>
  <c r="H29" i="52"/>
  <c r="Y29" i="52"/>
  <c r="Y36" i="52"/>
  <c r="H43" i="52"/>
  <c r="Z43" i="52"/>
  <c r="H51" i="52"/>
  <c r="Z51" i="52"/>
  <c r="H58" i="52"/>
  <c r="K65" i="52"/>
  <c r="L76" i="52"/>
  <c r="V82" i="52"/>
  <c r="Y89" i="52"/>
  <c r="Z112" i="52"/>
  <c r="Y125" i="52"/>
  <c r="K134" i="52"/>
  <c r="H135" i="52"/>
  <c r="Z147" i="52"/>
  <c r="K154" i="52"/>
  <c r="Z161" i="52"/>
  <c r="H170" i="52"/>
  <c r="K171" i="52"/>
  <c r="Y235" i="52"/>
  <c r="Y238" i="52" s="1"/>
  <c r="V236" i="52"/>
  <c r="K283" i="52"/>
  <c r="K315" i="52"/>
  <c r="Y316" i="52"/>
  <c r="N363" i="52"/>
  <c r="Y126" i="52"/>
  <c r="K135" i="52"/>
  <c r="Y236" i="52"/>
  <c r="Y243" i="52"/>
  <c r="Y246" i="52" s="1"/>
  <c r="Y260" i="52"/>
  <c r="K372" i="52"/>
  <c r="L387" i="52"/>
  <c r="L324" i="52"/>
  <c r="L371" i="52"/>
  <c r="L300" i="52"/>
  <c r="L380" i="52"/>
  <c r="L348" i="52"/>
  <c r="L299" i="52"/>
  <c r="L363" i="52"/>
  <c r="L316" i="52"/>
  <c r="L252" i="52"/>
  <c r="L379" i="52"/>
  <c r="L331" i="52"/>
  <c r="L211" i="52"/>
  <c r="L177" i="52"/>
  <c r="L356" i="52"/>
  <c r="L308" i="52"/>
  <c r="L269" i="52"/>
  <c r="L212" i="52"/>
  <c r="L178" i="52"/>
  <c r="L141" i="52"/>
  <c r="L394" i="52"/>
  <c r="L236" i="52"/>
  <c r="L340" i="52"/>
  <c r="L339" i="52"/>
  <c r="L332" i="52"/>
  <c r="L277" i="52"/>
  <c r="L260" i="52"/>
  <c r="L170" i="52"/>
  <c r="L163" i="52"/>
  <c r="L372" i="52"/>
  <c r="L292" i="52"/>
  <c r="L193" i="52"/>
  <c r="L110" i="52"/>
  <c r="L44" i="52"/>
  <c r="L13" i="52"/>
  <c r="L261" i="52"/>
  <c r="L203" i="52"/>
  <c r="L161" i="52"/>
  <c r="L127" i="52"/>
  <c r="L291" i="52"/>
  <c r="L155" i="52"/>
  <c r="L112" i="52"/>
  <c r="L52" i="52"/>
  <c r="L51" i="52"/>
  <c r="L323" i="52"/>
  <c r="L251" i="52"/>
  <c r="L185" i="52"/>
  <c r="L188" i="52" s="1"/>
  <c r="L154" i="52"/>
  <c r="L101" i="52"/>
  <c r="L83" i="52"/>
  <c r="L37" i="52"/>
  <c r="L36" i="52"/>
  <c r="L35" i="52"/>
  <c r="Z387" i="52"/>
  <c r="Z324" i="52"/>
  <c r="Z394" i="52"/>
  <c r="Z364" i="52"/>
  <c r="Z348" i="52"/>
  <c r="Z347" i="52"/>
  <c r="Z299" i="52"/>
  <c r="Z284" i="52"/>
  <c r="Z332" i="52"/>
  <c r="Z316" i="52"/>
  <c r="Z307" i="52"/>
  <c r="Z379" i="52"/>
  <c r="Z363" i="52"/>
  <c r="Z276" i="52"/>
  <c r="Z252" i="52"/>
  <c r="Z315" i="52"/>
  <c r="Z268" i="52"/>
  <c r="Z260" i="52"/>
  <c r="Z244" i="52"/>
  <c r="Z323" i="52"/>
  <c r="Z283" i="52"/>
  <c r="Z211" i="52"/>
  <c r="Z177" i="52"/>
  <c r="Z141" i="52"/>
  <c r="Z267" i="52"/>
  <c r="Z356" i="52"/>
  <c r="Z253" i="52"/>
  <c r="Z162" i="52"/>
  <c r="Z355" i="52"/>
  <c r="Z251" i="52"/>
  <c r="Z243" i="52"/>
  <c r="Z246" i="52" s="1"/>
  <c r="Z110" i="52"/>
  <c r="Z44" i="52"/>
  <c r="Z13" i="52"/>
  <c r="Z393" i="52"/>
  <c r="Z308" i="52"/>
  <c r="Z133" i="52"/>
  <c r="Z59" i="52"/>
  <c r="Z58" i="52"/>
  <c r="Z15" i="52"/>
  <c r="Z14" i="52"/>
  <c r="Z269" i="52"/>
  <c r="Z236" i="52"/>
  <c r="Z111" i="52"/>
  <c r="Z380" i="52"/>
  <c r="Z300" i="52"/>
  <c r="Z235" i="52"/>
  <c r="Z238" i="52" s="1"/>
  <c r="Z155" i="52"/>
  <c r="Z134" i="52"/>
  <c r="Z125" i="52"/>
  <c r="Z118" i="52"/>
  <c r="Z100" i="52"/>
  <c r="Z82" i="52"/>
  <c r="Y7" i="52" a="1"/>
  <c r="Y7" i="52" s="1"/>
  <c r="J28" i="51" s="1"/>
  <c r="I28" i="51" s="1"/>
  <c r="X28" i="51" s="1"/>
  <c r="Z28" i="52"/>
  <c r="L29" i="52"/>
  <c r="K36" i="52"/>
  <c r="K89" i="52"/>
  <c r="Y101" i="52"/>
  <c r="K110" i="52"/>
  <c r="K118" i="52"/>
  <c r="K120" i="52" s="1"/>
  <c r="Z126" i="52"/>
  <c r="L135" i="52"/>
  <c r="K269" i="52"/>
  <c r="Z292" i="52"/>
  <c r="L355" i="52"/>
  <c r="K393" i="52"/>
  <c r="K380" i="52"/>
  <c r="K363" i="52"/>
  <c r="K300" i="52"/>
  <c r="K387" i="52"/>
  <c r="K348" i="52"/>
  <c r="K347" i="52"/>
  <c r="K299" i="52"/>
  <c r="K371" i="52"/>
  <c r="K339" i="52"/>
  <c r="K307" i="52"/>
  <c r="K284" i="52"/>
  <c r="K292" i="52"/>
  <c r="K275" i="52"/>
  <c r="K394" i="52"/>
  <c r="K356" i="52"/>
  <c r="K308" i="52"/>
  <c r="K323" i="52"/>
  <c r="K253" i="52"/>
  <c r="K155" i="52"/>
  <c r="K251" i="52"/>
  <c r="K379" i="52"/>
  <c r="K331" i="52"/>
  <c r="K261" i="52"/>
  <c r="K252" i="52"/>
  <c r="K211" i="52"/>
  <c r="K162" i="52"/>
  <c r="K236" i="52"/>
  <c r="K111" i="52"/>
  <c r="K340" i="52"/>
  <c r="K332" i="52"/>
  <c r="K277" i="52"/>
  <c r="K260" i="52"/>
  <c r="K170" i="52"/>
  <c r="K163" i="52"/>
  <c r="K83" i="52"/>
  <c r="K35" i="52"/>
  <c r="K316" i="52"/>
  <c r="K244" i="52"/>
  <c r="K235" i="52"/>
  <c r="K238" i="52" s="1"/>
  <c r="K147" i="52"/>
  <c r="K59" i="52"/>
  <c r="K58" i="52"/>
  <c r="K15" i="52"/>
  <c r="K14" i="52"/>
  <c r="K203" i="52"/>
  <c r="K178" i="52"/>
  <c r="K161" i="52"/>
  <c r="K127" i="52"/>
  <c r="K355" i="52"/>
  <c r="K169" i="52"/>
  <c r="K82" i="52"/>
  <c r="M379" i="52"/>
  <c r="M348" i="52"/>
  <c r="M299" i="52"/>
  <c r="M372" i="52"/>
  <c r="M340" i="52"/>
  <c r="M339" i="52"/>
  <c r="M308" i="52"/>
  <c r="M283" i="52"/>
  <c r="M394" i="52"/>
  <c r="M356" i="52"/>
  <c r="M323" i="52"/>
  <c r="M261" i="52"/>
  <c r="M363" i="52"/>
  <c r="M316" i="52"/>
  <c r="M252" i="52"/>
  <c r="M154" i="52"/>
  <c r="M387" i="52"/>
  <c r="M371" i="52"/>
  <c r="M307" i="52"/>
  <c r="M277" i="52"/>
  <c r="M163" i="52"/>
  <c r="M300" i="52"/>
  <c r="M380" i="52"/>
  <c r="M269" i="52"/>
  <c r="M355" i="52"/>
  <c r="M292" i="52"/>
  <c r="M332" i="52"/>
  <c r="M260" i="52"/>
  <c r="M170" i="52"/>
  <c r="M193" i="52"/>
  <c r="M110" i="52"/>
  <c r="M291" i="52"/>
  <c r="M276" i="52"/>
  <c r="M203" i="52"/>
  <c r="M119" i="52"/>
  <c r="M82" i="52"/>
  <c r="M66" i="52"/>
  <c r="M22" i="52"/>
  <c r="M178" i="52"/>
  <c r="M155" i="52"/>
  <c r="M112" i="52"/>
  <c r="M52" i="52"/>
  <c r="M51" i="52"/>
  <c r="M134" i="52"/>
  <c r="M125" i="52"/>
  <c r="AA379" i="52"/>
  <c r="AA348" i="52"/>
  <c r="AA299" i="52"/>
  <c r="AA300" i="52"/>
  <c r="AA371" i="52"/>
  <c r="AA324" i="52"/>
  <c r="AA307" i="52"/>
  <c r="AA283" i="52"/>
  <c r="AA372" i="52"/>
  <c r="AA340" i="52"/>
  <c r="AA292" i="52"/>
  <c r="AA387" i="52"/>
  <c r="AA261" i="52"/>
  <c r="AA276" i="52"/>
  <c r="AA252" i="52"/>
  <c r="AA154" i="52"/>
  <c r="AA331" i="52"/>
  <c r="AA284" i="52"/>
  <c r="AA163" i="52"/>
  <c r="AA323" i="52"/>
  <c r="AA251" i="52"/>
  <c r="AA364" i="52"/>
  <c r="AA363" i="52"/>
  <c r="AA277" i="52"/>
  <c r="AA275" i="52"/>
  <c r="AA356" i="52"/>
  <c r="AA253" i="52"/>
  <c r="AA162" i="52"/>
  <c r="AA355" i="52"/>
  <c r="AA243" i="52"/>
  <c r="AA246" i="52" s="1"/>
  <c r="AA110" i="52"/>
  <c r="AA211" i="52"/>
  <c r="AA119" i="52"/>
  <c r="AA82" i="52"/>
  <c r="AA66" i="52"/>
  <c r="AA22" i="52"/>
  <c r="AA269" i="52"/>
  <c r="AA236" i="52"/>
  <c r="AA111" i="52"/>
  <c r="AA332" i="52"/>
  <c r="AA52" i="52"/>
  <c r="AA51" i="52"/>
  <c r="AA347" i="52"/>
  <c r="AA315" i="52"/>
  <c r="AA203" i="52"/>
  <c r="AA178" i="52"/>
  <c r="AA170" i="52"/>
  <c r="AA83" i="52"/>
  <c r="AA37" i="52"/>
  <c r="AA36" i="52"/>
  <c r="AA35" i="52"/>
  <c r="AB15" i="52"/>
  <c r="AA28" i="52"/>
  <c r="M29" i="52"/>
  <c r="M36" i="52"/>
  <c r="V37" i="52"/>
  <c r="Y66" i="52"/>
  <c r="L89" i="52"/>
  <c r="Z101" i="52"/>
  <c r="N110" i="52"/>
  <c r="L118" i="52"/>
  <c r="Y119" i="52"/>
  <c r="AA126" i="52"/>
  <c r="AA133" i="52"/>
  <c r="M135" i="52"/>
  <c r="Y153" i="52"/>
  <c r="AB162" i="52"/>
  <c r="V163" i="52"/>
  <c r="V185" i="52"/>
  <c r="V188" i="52" s="1"/>
  <c r="N194" i="52"/>
  <c r="N211" i="52"/>
  <c r="AB253" i="52"/>
  <c r="AB259" i="52"/>
  <c r="H267" i="52"/>
  <c r="Z291" i="52"/>
  <c r="V307" i="52"/>
  <c r="K364" i="52"/>
  <c r="Z372" i="52"/>
  <c r="Y393" i="52"/>
  <c r="Y380" i="52"/>
  <c r="Y363" i="52"/>
  <c r="Y300" i="52"/>
  <c r="Y394" i="52"/>
  <c r="Y364" i="52"/>
  <c r="Y348" i="52"/>
  <c r="Y347" i="52"/>
  <c r="Y372" i="52"/>
  <c r="Y356" i="52"/>
  <c r="Y284" i="52"/>
  <c r="Y355" i="52"/>
  <c r="Y291" i="52"/>
  <c r="Y277" i="52"/>
  <c r="Y276" i="52"/>
  <c r="Y275" i="52"/>
  <c r="Y340" i="52"/>
  <c r="Y292" i="52"/>
  <c r="Y339" i="52"/>
  <c r="Y253" i="52"/>
  <c r="Y155" i="52"/>
  <c r="Y324" i="52"/>
  <c r="Y203" i="52"/>
  <c r="Y171" i="52"/>
  <c r="Y315" i="52"/>
  <c r="Y268" i="52"/>
  <c r="Y323" i="52"/>
  <c r="Y251" i="52"/>
  <c r="Y169" i="52"/>
  <c r="Y161" i="52"/>
  <c r="Y283" i="52"/>
  <c r="Y267" i="52"/>
  <c r="Y111" i="52"/>
  <c r="Y379" i="52"/>
  <c r="Y162" i="52"/>
  <c r="Y83" i="52"/>
  <c r="Y35" i="52"/>
  <c r="Y371" i="52"/>
  <c r="Y185" i="52"/>
  <c r="Y188" i="52" s="1"/>
  <c r="Y13" i="52"/>
  <c r="Y308" i="52"/>
  <c r="Y133" i="52"/>
  <c r="Y59" i="52"/>
  <c r="Y58" i="52"/>
  <c r="Y15" i="52"/>
  <c r="Y14" i="52"/>
  <c r="Y244" i="52"/>
  <c r="Y193" i="52"/>
  <c r="Y198" i="52" s="1"/>
  <c r="Y163" i="52"/>
  <c r="Y28" i="52"/>
  <c r="K29" i="52"/>
  <c r="K51" i="52"/>
  <c r="Y82" i="52"/>
  <c r="K112" i="52"/>
  <c r="N372" i="52"/>
  <c r="N323" i="52"/>
  <c r="N340" i="52"/>
  <c r="N339" i="52"/>
  <c r="N308" i="52"/>
  <c r="N371" i="52"/>
  <c r="N331" i="52"/>
  <c r="N387" i="52"/>
  <c r="N307" i="52"/>
  <c r="N277" i="52"/>
  <c r="N163" i="52"/>
  <c r="N355" i="52"/>
  <c r="N348" i="52"/>
  <c r="N300" i="52"/>
  <c r="N251" i="52"/>
  <c r="N203" i="52"/>
  <c r="N380" i="52"/>
  <c r="N269" i="52"/>
  <c r="N261" i="52"/>
  <c r="N212" i="52"/>
  <c r="N178" i="52"/>
  <c r="N356" i="52"/>
  <c r="N292" i="52"/>
  <c r="N235" i="52"/>
  <c r="N238" i="52" s="1"/>
  <c r="N162" i="52"/>
  <c r="N161" i="52"/>
  <c r="N193" i="52"/>
  <c r="N291" i="52"/>
  <c r="N276" i="52"/>
  <c r="N119" i="52"/>
  <c r="N268" i="52"/>
  <c r="N244" i="52"/>
  <c r="N177" i="52"/>
  <c r="N147" i="52"/>
  <c r="N43" i="52"/>
  <c r="N252" i="52"/>
  <c r="N134" i="52"/>
  <c r="N125" i="52"/>
  <c r="N170" i="52"/>
  <c r="N118" i="52"/>
  <c r="N90" i="52"/>
  <c r="N89" i="52"/>
  <c r="N332" i="52"/>
  <c r="N135" i="52"/>
  <c r="N126" i="52"/>
  <c r="N102" i="52"/>
  <c r="N76" i="52"/>
  <c r="N29" i="52"/>
  <c r="N28" i="52"/>
  <c r="AB372" i="52"/>
  <c r="AB323" i="52"/>
  <c r="AB371" i="52"/>
  <c r="AB387" i="52"/>
  <c r="AB340" i="52"/>
  <c r="AB339" i="52"/>
  <c r="AB363" i="52"/>
  <c r="AB348" i="52"/>
  <c r="AB308" i="52"/>
  <c r="AB331" i="52"/>
  <c r="AB324" i="52"/>
  <c r="AB284" i="52"/>
  <c r="AB163" i="52"/>
  <c r="AB356" i="52"/>
  <c r="AB292" i="52"/>
  <c r="AB251" i="52"/>
  <c r="AB203" i="52"/>
  <c r="AB364" i="52"/>
  <c r="AB211" i="52"/>
  <c r="AB177" i="52"/>
  <c r="AB283" i="52"/>
  <c r="AB277" i="52"/>
  <c r="AB275" i="52"/>
  <c r="AB212" i="52"/>
  <c r="AB178" i="52"/>
  <c r="AB355" i="52"/>
  <c r="AB243" i="52"/>
  <c r="AB246" i="52" s="1"/>
  <c r="AB379" i="52"/>
  <c r="AB119" i="52"/>
  <c r="AB236" i="52"/>
  <c r="AB43" i="52"/>
  <c r="AB332" i="52"/>
  <c r="AB52" i="52"/>
  <c r="AB51" i="52"/>
  <c r="AB268" i="52"/>
  <c r="AB194" i="52"/>
  <c r="AB153" i="52"/>
  <c r="AB112" i="52"/>
  <c r="AB394" i="52"/>
  <c r="AB261" i="52"/>
  <c r="AB252" i="52"/>
  <c r="AB141" i="52"/>
  <c r="AB101" i="52"/>
  <c r="Z7" i="52" a="1"/>
  <c r="Z7" i="52" s="1"/>
  <c r="J29" i="51" s="1"/>
  <c r="I29" i="51" s="1"/>
  <c r="X29" i="51" s="1"/>
  <c r="V14" i="52"/>
  <c r="L15" i="52"/>
  <c r="K28" i="52"/>
  <c r="AB28" i="52"/>
  <c r="N36" i="52"/>
  <c r="V44" i="52"/>
  <c r="AA59" i="52"/>
  <c r="Z66" i="52"/>
  <c r="M89" i="52"/>
  <c r="AA101" i="52"/>
  <c r="AB111" i="52"/>
  <c r="M118" i="52"/>
  <c r="Z119" i="52"/>
  <c r="K125" i="52"/>
  <c r="AB126" i="52"/>
  <c r="AB133" i="52"/>
  <c r="Y141" i="52"/>
  <c r="L147" i="52"/>
  <c r="Z153" i="52"/>
  <c r="Y154" i="52"/>
  <c r="V169" i="52"/>
  <c r="V170" i="52"/>
  <c r="V171" i="52"/>
  <c r="K212" i="52"/>
  <c r="H235" i="52"/>
  <c r="H238" i="52" s="1"/>
  <c r="Z275" i="52"/>
  <c r="AA291" i="52"/>
  <c r="Y307" i="52"/>
  <c r="AB315" i="52"/>
  <c r="K324" i="52"/>
  <c r="Z340" i="52"/>
  <c r="L347" i="52"/>
  <c r="V355" i="52"/>
  <c r="L364" i="52"/>
  <c r="AC316" i="52"/>
  <c r="O141" i="52"/>
  <c r="AC147" i="52"/>
  <c r="O212" i="52"/>
  <c r="O243" i="52"/>
  <c r="O246" i="52" s="1"/>
  <c r="O259" i="52"/>
  <c r="O364" i="52"/>
  <c r="O347" i="52"/>
  <c r="O372" i="52"/>
  <c r="O332" i="52"/>
  <c r="O331" i="52"/>
  <c r="O363" i="52"/>
  <c r="O315" i="52"/>
  <c r="O299" i="52"/>
  <c r="O393" i="52"/>
  <c r="O260" i="52"/>
  <c r="O371" i="52"/>
  <c r="O355" i="52"/>
  <c r="O348" i="52"/>
  <c r="O300" i="52"/>
  <c r="O251" i="52"/>
  <c r="O203" i="52"/>
  <c r="O153" i="52"/>
  <c r="O380" i="52"/>
  <c r="O236" i="52"/>
  <c r="O356" i="52"/>
  <c r="O292" i="52"/>
  <c r="O252" i="52"/>
  <c r="O308" i="52"/>
  <c r="O340" i="52"/>
  <c r="O316" i="52"/>
  <c r="O253" i="52"/>
  <c r="O185" i="52"/>
  <c r="O188" i="52" s="1"/>
  <c r="O339" i="52"/>
  <c r="O291" i="52"/>
  <c r="O277" i="52"/>
  <c r="O276" i="52"/>
  <c r="O163" i="52"/>
  <c r="O119" i="52"/>
  <c r="O268" i="52"/>
  <c r="O244" i="52"/>
  <c r="O177" i="52"/>
  <c r="O147" i="52"/>
  <c r="O387" i="52"/>
  <c r="O118" i="52"/>
  <c r="O65" i="52"/>
  <c r="O21" i="52"/>
  <c r="AC364" i="52"/>
  <c r="AC347" i="52"/>
  <c r="AC387" i="52"/>
  <c r="AC340" i="52"/>
  <c r="AC339" i="52"/>
  <c r="AC393" i="52"/>
  <c r="AC308" i="52"/>
  <c r="AC379" i="52"/>
  <c r="AC356" i="52"/>
  <c r="AC260" i="52"/>
  <c r="AC292" i="52"/>
  <c r="AC251" i="52"/>
  <c r="AC203" i="52"/>
  <c r="AC153" i="52"/>
  <c r="AC394" i="52"/>
  <c r="AC236" i="52"/>
  <c r="AC348" i="52"/>
  <c r="AC283" i="52"/>
  <c r="AC277" i="52"/>
  <c r="AC275" i="52"/>
  <c r="AC363" i="52"/>
  <c r="AC261" i="52"/>
  <c r="AC252" i="52"/>
  <c r="AC162" i="52"/>
  <c r="AC161" i="52"/>
  <c r="AC119" i="52"/>
  <c r="AC211" i="52"/>
  <c r="AC269" i="52"/>
  <c r="AC170" i="52"/>
  <c r="AC118" i="52"/>
  <c r="AC65" i="52"/>
  <c r="AC21" i="52"/>
  <c r="O89" i="52"/>
  <c r="O90" i="52"/>
  <c r="AC112" i="52"/>
  <c r="O170" i="52"/>
  <c r="AC194" i="52"/>
  <c r="AC268" i="52"/>
  <c r="G379" i="52"/>
  <c r="G316" i="52"/>
  <c r="G394" i="52"/>
  <c r="G363" i="52"/>
  <c r="G372" i="52"/>
  <c r="G387" i="52"/>
  <c r="G284" i="52"/>
  <c r="G283" i="52"/>
  <c r="G348" i="52"/>
  <c r="G276" i="52"/>
  <c r="G356" i="52"/>
  <c r="G169" i="52"/>
  <c r="G331" i="52"/>
  <c r="G292" i="52"/>
  <c r="G244" i="52"/>
  <c r="G211" i="52"/>
  <c r="G194" i="52"/>
  <c r="G178" i="52"/>
  <c r="G170" i="52"/>
  <c r="G347" i="52"/>
  <c r="G277" i="52"/>
  <c r="G332" i="52"/>
  <c r="G275" i="52"/>
  <c r="G268" i="52"/>
  <c r="G260" i="52"/>
  <c r="G203" i="52"/>
  <c r="G171" i="52"/>
  <c r="G134" i="52"/>
  <c r="U379" i="52"/>
  <c r="U316" i="52"/>
  <c r="U380" i="52"/>
  <c r="U315" i="52"/>
  <c r="U347" i="52"/>
  <c r="U355" i="52"/>
  <c r="U332" i="52"/>
  <c r="U283" i="52"/>
  <c r="U275" i="52"/>
  <c r="U169" i="52"/>
  <c r="U244" i="52"/>
  <c r="U211" i="52"/>
  <c r="U194" i="52"/>
  <c r="U178" i="52"/>
  <c r="U307" i="52"/>
  <c r="U394" i="52"/>
  <c r="U393" i="52"/>
  <c r="U371" i="52"/>
  <c r="U339" i="52"/>
  <c r="U324" i="52"/>
  <c r="U291" i="52"/>
  <c r="U267" i="52"/>
  <c r="U170" i="52"/>
  <c r="U134" i="52"/>
  <c r="AI379" i="52"/>
  <c r="AI316" i="52"/>
  <c r="AI331" i="52"/>
  <c r="AI394" i="52"/>
  <c r="AI387" i="52"/>
  <c r="AI364" i="52"/>
  <c r="AI315" i="52"/>
  <c r="AI283" i="52"/>
  <c r="AI372" i="52"/>
  <c r="AI348" i="52"/>
  <c r="AI323" i="52"/>
  <c r="AI300" i="52"/>
  <c r="AI261" i="52"/>
  <c r="AI260" i="52"/>
  <c r="AI259" i="52"/>
  <c r="AI169" i="52"/>
  <c r="AI363" i="52"/>
  <c r="AI355" i="52"/>
  <c r="AI269" i="52"/>
  <c r="AI244" i="52"/>
  <c r="AI211" i="52"/>
  <c r="AI194" i="52"/>
  <c r="AI178" i="52"/>
  <c r="AI332" i="52"/>
  <c r="AI185" i="52"/>
  <c r="AI188" i="52" s="1"/>
  <c r="AI292" i="52"/>
  <c r="AI276" i="52"/>
  <c r="AI134" i="52"/>
  <c r="G37" i="52"/>
  <c r="U37" i="52"/>
  <c r="AI37" i="52"/>
  <c r="G101" i="52"/>
  <c r="U101" i="52"/>
  <c r="AI101" i="52"/>
  <c r="G125" i="52"/>
  <c r="G126" i="52"/>
  <c r="G127" i="52"/>
  <c r="AI135" i="52"/>
  <c r="AI154" i="52"/>
  <c r="U155" i="52"/>
  <c r="G161" i="52"/>
  <c r="G251" i="52"/>
  <c r="AI252" i="52"/>
  <c r="U259" i="52"/>
  <c r="U284" i="52"/>
  <c r="G299" i="52"/>
  <c r="AI299" i="52"/>
  <c r="AI307" i="52"/>
  <c r="G324" i="52"/>
  <c r="AI393" i="52"/>
  <c r="AI133" i="52"/>
  <c r="U135" i="52"/>
  <c r="G243" i="52"/>
  <c r="G246" i="52" s="1"/>
  <c r="AI308" i="52"/>
  <c r="G315" i="52"/>
  <c r="G371" i="52"/>
  <c r="AI380" i="52"/>
  <c r="U387" i="52"/>
  <c r="U133" i="52"/>
  <c r="G135" i="52"/>
  <c r="AI153" i="52"/>
  <c r="U154" i="52"/>
  <c r="G155" i="52"/>
  <c r="U171" i="52"/>
  <c r="U185" i="52"/>
  <c r="U188" i="52" s="1"/>
  <c r="AI203" i="52"/>
  <c r="G253" i="52"/>
  <c r="G300" i="52"/>
  <c r="G307" i="52"/>
  <c r="G308" i="52"/>
  <c r="G323" i="52"/>
  <c r="U340" i="52"/>
  <c r="U348" i="52"/>
  <c r="G364" i="52"/>
  <c r="U372" i="52"/>
  <c r="J25" i="39" l="1"/>
  <c r="G3" i="14"/>
  <c r="J27" i="39"/>
  <c r="J26" i="39"/>
  <c r="P27" i="24"/>
  <c r="P35" i="24"/>
  <c r="F198" i="52"/>
  <c r="X334" i="52"/>
  <c r="H342" i="52"/>
  <c r="AA198" i="52"/>
  <c r="AI120" i="52"/>
  <c r="G342" i="52"/>
  <c r="U334" i="52"/>
  <c r="M334" i="52"/>
  <c r="AC198" i="52"/>
  <c r="M286" i="52"/>
  <c r="T318" i="52"/>
  <c r="S286" i="52"/>
  <c r="G120" i="52"/>
  <c r="K294" i="52"/>
  <c r="AF342" i="52"/>
  <c r="AC310" i="52"/>
  <c r="H326" i="52"/>
  <c r="V198" i="52"/>
  <c r="AC326" i="52"/>
  <c r="K198" i="52"/>
  <c r="P310" i="52"/>
  <c r="O286" i="52"/>
  <c r="J302" i="52"/>
  <c r="AI198" i="52"/>
  <c r="M16" i="52"/>
  <c r="O198" i="52"/>
  <c r="U294" i="52"/>
  <c r="AI294" i="52"/>
  <c r="M294" i="52"/>
  <c r="AF294" i="52"/>
  <c r="AD198" i="52"/>
  <c r="AE286" i="52"/>
  <c r="U310" i="52"/>
  <c r="F294" i="52"/>
  <c r="H120" i="52"/>
  <c r="AC294" i="52"/>
  <c r="T294" i="52"/>
  <c r="AC16" i="52"/>
  <c r="AD310" i="52"/>
  <c r="G294" i="52"/>
  <c r="Y334" i="52"/>
  <c r="L302" i="52"/>
  <c r="AE342" i="52"/>
  <c r="U16" i="52"/>
  <c r="O310" i="52"/>
  <c r="AE294" i="52"/>
  <c r="L120" i="52"/>
  <c r="AH286" i="52"/>
  <c r="T286" i="52"/>
  <c r="AD326" i="52"/>
  <c r="Q198" i="52"/>
  <c r="N16" i="52"/>
  <c r="AB120" i="52"/>
  <c r="AA318" i="52"/>
  <c r="L318" i="52"/>
  <c r="H334" i="52"/>
  <c r="R286" i="52"/>
  <c r="Z198" i="52"/>
  <c r="O326" i="52"/>
  <c r="AH198" i="52"/>
  <c r="O16" i="52"/>
  <c r="G198" i="52"/>
  <c r="M318" i="52"/>
  <c r="M326" i="52"/>
  <c r="U198" i="52"/>
  <c r="AB198" i="52"/>
  <c r="AA310" i="52"/>
  <c r="U302" i="52"/>
  <c r="AE120" i="52"/>
  <c r="S318" i="52"/>
  <c r="Y302" i="52"/>
  <c r="H16" i="52"/>
  <c r="AC318" i="52"/>
  <c r="L198" i="52"/>
  <c r="N286" i="52"/>
  <c r="AB310" i="52"/>
  <c r="N326" i="52"/>
  <c r="P198" i="52"/>
  <c r="AA16" i="52"/>
  <c r="H310" i="52"/>
  <c r="AH120" i="52"/>
  <c r="Q16" i="52"/>
  <c r="AA326" i="52"/>
  <c r="V302" i="52"/>
  <c r="R16" i="52"/>
  <c r="AD120" i="52"/>
  <c r="R310" i="52"/>
  <c r="Y120" i="52"/>
  <c r="AC286" i="52"/>
  <c r="AB318" i="52"/>
  <c r="AA120" i="52"/>
  <c r="T120" i="52"/>
  <c r="AI16" i="52"/>
  <c r="AH326" i="52"/>
  <c r="AG120" i="52"/>
  <c r="AC334" i="52"/>
  <c r="U120" i="52"/>
  <c r="AC302" i="52"/>
  <c r="AI342" i="52"/>
  <c r="M198" i="52"/>
  <c r="V120" i="52"/>
  <c r="AG326" i="52"/>
  <c r="P342" i="52"/>
  <c r="X302" i="52"/>
  <c r="G16" i="52"/>
  <c r="Z302" i="52"/>
  <c r="Z342" i="52"/>
  <c r="AB16" i="52"/>
  <c r="AA342" i="52"/>
  <c r="L310" i="52"/>
  <c r="S294" i="52"/>
  <c r="Q326" i="52"/>
  <c r="R294" i="52"/>
  <c r="R326" i="52"/>
  <c r="F318" i="52"/>
  <c r="H318" i="52"/>
  <c r="AF120" i="52"/>
  <c r="AI326" i="52"/>
  <c r="K334" i="52"/>
  <c r="R120" i="52"/>
  <c r="AC120" i="52"/>
  <c r="V16" i="52"/>
  <c r="AH302" i="52"/>
  <c r="F16" i="52"/>
  <c r="AB302" i="52"/>
  <c r="Z334" i="52"/>
  <c r="AI286" i="52"/>
  <c r="AF198" i="52"/>
  <c r="R318" i="52"/>
  <c r="N198" i="52"/>
  <c r="AB326" i="52"/>
  <c r="N310" i="52"/>
  <c r="H286" i="52"/>
  <c r="K310" i="52"/>
  <c r="U286" i="52"/>
  <c r="N302" i="52"/>
  <c r="R334" i="52"/>
  <c r="U326" i="52"/>
  <c r="R302" i="52"/>
  <c r="AB294" i="52"/>
  <c r="H294" i="52"/>
  <c r="AG286" i="52"/>
  <c r="AG342" i="52"/>
  <c r="AB342" i="52"/>
  <c r="Y318" i="52"/>
  <c r="S326" i="52"/>
  <c r="K302" i="52"/>
  <c r="X342" i="52"/>
  <c r="AG310" i="52"/>
  <c r="K318" i="52"/>
  <c r="I16" i="52"/>
  <c r="P16" i="52"/>
  <c r="X318" i="52"/>
  <c r="P294" i="52"/>
  <c r="AH334" i="52"/>
  <c r="I302" i="52"/>
  <c r="I198" i="52"/>
  <c r="J16" i="52"/>
  <c r="L342" i="52"/>
  <c r="AF302" i="52"/>
  <c r="AD334" i="52"/>
  <c r="I334" i="52"/>
  <c r="J334" i="52"/>
  <c r="M302" i="52"/>
  <c r="Z310" i="52"/>
  <c r="T302" i="52"/>
  <c r="U318" i="52"/>
  <c r="AG198" i="52"/>
  <c r="S302" i="52"/>
  <c r="P326" i="52"/>
  <c r="K342" i="52"/>
  <c r="Z120" i="52"/>
  <c r="AF326" i="52"/>
  <c r="AG334" i="52"/>
  <c r="W302" i="52"/>
  <c r="V310" i="52"/>
  <c r="I294" i="52"/>
  <c r="W286" i="52"/>
  <c r="L16" i="52"/>
  <c r="AG16" i="52"/>
  <c r="N334" i="52"/>
  <c r="Y342" i="52"/>
  <c r="AA286" i="52"/>
  <c r="Z326" i="52"/>
  <c r="H198" i="52"/>
  <c r="G326" i="52"/>
  <c r="O302" i="52"/>
  <c r="K286" i="52"/>
  <c r="K16" i="52"/>
  <c r="AE318" i="52"/>
  <c r="T198" i="52"/>
  <c r="AG318" i="52"/>
  <c r="Q294" i="52"/>
  <c r="J286" i="52"/>
  <c r="Q310" i="52"/>
  <c r="W326" i="52"/>
  <c r="O318" i="52"/>
  <c r="Y286" i="52"/>
  <c r="G318" i="52"/>
  <c r="N342" i="52"/>
  <c r="V334" i="52"/>
  <c r="AE310" i="52"/>
  <c r="S310" i="52"/>
  <c r="W310" i="52"/>
  <c r="X294" i="52"/>
  <c r="H302" i="52"/>
  <c r="G286" i="52"/>
  <c r="O334" i="52"/>
  <c r="AB334" i="52"/>
  <c r="AE334" i="52"/>
  <c r="AH16" i="52"/>
  <c r="T16" i="52"/>
  <c r="F120" i="52"/>
  <c r="F286" i="52"/>
  <c r="F302" i="52"/>
  <c r="S198" i="52"/>
  <c r="W16" i="52"/>
  <c r="I286" i="52"/>
  <c r="AC342" i="52"/>
  <c r="M342" i="52"/>
  <c r="L334" i="52"/>
  <c r="T334" i="52"/>
  <c r="S342" i="52"/>
  <c r="Q334" i="52"/>
  <c r="X120" i="52"/>
  <c r="W294" i="52"/>
  <c r="J342" i="52"/>
  <c r="I326" i="52"/>
  <c r="U342" i="52"/>
  <c r="Z16" i="52"/>
  <c r="L326" i="52"/>
  <c r="V286" i="52"/>
  <c r="S16" i="52"/>
  <c r="P318" i="52"/>
  <c r="P120" i="52"/>
  <c r="P334" i="52"/>
  <c r="I310" i="52"/>
  <c r="X310" i="52"/>
  <c r="S334" i="52"/>
  <c r="V294" i="52"/>
  <c r="AI318" i="52"/>
  <c r="O294" i="52"/>
  <c r="AB286" i="52"/>
  <c r="N294" i="52"/>
  <c r="AD318" i="52"/>
  <c r="S120" i="52"/>
  <c r="AH342" i="52"/>
  <c r="AF334" i="52"/>
  <c r="AF310" i="52"/>
  <c r="AI302" i="52"/>
  <c r="Y310" i="52"/>
  <c r="N120" i="52"/>
  <c r="Y16" i="52"/>
  <c r="Z318" i="52"/>
  <c r="V326" i="52"/>
  <c r="AD294" i="52"/>
  <c r="AD16" i="52"/>
  <c r="W318" i="52"/>
  <c r="I318" i="52"/>
  <c r="AH294" i="52"/>
  <c r="T342" i="52"/>
  <c r="Q286" i="52"/>
  <c r="W334" i="52"/>
  <c r="X16" i="52"/>
  <c r="W198" i="52"/>
  <c r="AI310" i="52"/>
  <c r="O342" i="52"/>
  <c r="Y294" i="52"/>
  <c r="V342" i="52"/>
  <c r="AD286" i="52"/>
  <c r="F342" i="52"/>
  <c r="F326" i="52"/>
  <c r="G302" i="52"/>
  <c r="AA294" i="52"/>
  <c r="AA334" i="52"/>
  <c r="AA302" i="52"/>
  <c r="L294" i="52"/>
  <c r="AF318" i="52"/>
  <c r="AH318" i="52"/>
  <c r="F334" i="52"/>
  <c r="AG302" i="52"/>
  <c r="AF286" i="52"/>
  <c r="AD302" i="52"/>
  <c r="W342" i="52"/>
  <c r="I342" i="52"/>
  <c r="X326" i="52"/>
  <c r="X198" i="52"/>
  <c r="J326" i="52"/>
  <c r="T310" i="52"/>
  <c r="J198" i="52"/>
  <c r="G310" i="52"/>
  <c r="R342" i="52"/>
  <c r="Q302" i="52"/>
  <c r="J120" i="52"/>
  <c r="X286" i="52"/>
  <c r="J294" i="52"/>
  <c r="Z294" i="52"/>
  <c r="Z286" i="52"/>
  <c r="P286" i="52"/>
  <c r="Q318" i="52"/>
  <c r="Y326" i="52"/>
  <c r="K326" i="52"/>
  <c r="AE16" i="52"/>
  <c r="Q120" i="52"/>
  <c r="AI334" i="52"/>
  <c r="G334" i="52"/>
  <c r="O120" i="52"/>
  <c r="M120" i="52"/>
  <c r="M310" i="52"/>
  <c r="V318" i="52"/>
  <c r="AF16" i="52"/>
  <c r="R198" i="52"/>
  <c r="AE198" i="52"/>
  <c r="AE326" i="52"/>
  <c r="AH310" i="52"/>
  <c r="T326" i="52"/>
  <c r="F310" i="52"/>
  <c r="AD342" i="52"/>
  <c r="I120" i="52"/>
  <c r="J318" i="52"/>
  <c r="J310" i="52"/>
  <c r="A4" i="15" l="1"/>
  <c r="A4" i="28"/>
  <c r="A4" i="3"/>
  <c r="A4" i="2"/>
  <c r="A4" i="1"/>
  <c r="B3" i="4"/>
  <c r="AA5" i="36"/>
  <c r="AK5" i="36"/>
  <c r="Q5" i="36"/>
  <c r="J10" i="50" l="1"/>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4" i="50"/>
  <c r="J5" i="50"/>
  <c r="J6" i="50"/>
  <c r="J7" i="50"/>
  <c r="J8" i="50"/>
  <c r="J9" i="50"/>
  <c r="J3" i="50"/>
  <c r="B23" i="11" l="1"/>
  <c r="K11" i="28" l="1"/>
  <c r="I3" i="2" l="1"/>
  <c r="K11" i="16" l="1"/>
  <c r="K11" i="15"/>
  <c r="K11" i="8"/>
  <c r="K11" i="3"/>
  <c r="K11" i="2"/>
  <c r="K11" i="1"/>
  <c r="C2" i="48" l="1"/>
  <c r="B20" i="49" l="1"/>
  <c r="B90" i="49"/>
  <c r="B86" i="49"/>
  <c r="B82" i="49"/>
  <c r="B93" i="49"/>
  <c r="B89" i="49"/>
  <c r="B85" i="49"/>
  <c r="B92" i="49"/>
  <c r="B88" i="49"/>
  <c r="B84" i="49"/>
  <c r="B91" i="49"/>
  <c r="B87" i="49"/>
  <c r="B83" i="49"/>
  <c r="B7" i="49"/>
  <c r="B81" i="49"/>
  <c r="B77" i="49"/>
  <c r="B73" i="49"/>
  <c r="B72" i="49"/>
  <c r="B74" i="49"/>
  <c r="B80" i="49"/>
  <c r="B76" i="49"/>
  <c r="B79" i="49"/>
  <c r="B75" i="49"/>
  <c r="B71" i="49"/>
  <c r="B78" i="49"/>
  <c r="B70" i="49"/>
  <c r="B26" i="49"/>
  <c r="B17" i="49"/>
  <c r="B61" i="49"/>
  <c r="B57" i="49"/>
  <c r="B53" i="49"/>
  <c r="B60" i="49"/>
  <c r="B56" i="49"/>
  <c r="B52" i="49"/>
  <c r="B59" i="49"/>
  <c r="B55" i="49"/>
  <c r="B51" i="49"/>
  <c r="B58" i="49"/>
  <c r="B54" i="49"/>
  <c r="B50" i="49"/>
  <c r="B24" i="49"/>
  <c r="B19" i="49"/>
  <c r="B16" i="49"/>
  <c r="B23" i="49"/>
  <c r="B18" i="49"/>
  <c r="B27" i="49"/>
  <c r="B22" i="49"/>
  <c r="B15" i="49"/>
  <c r="B11" i="49"/>
  <c r="B49" i="49"/>
  <c r="B45" i="49"/>
  <c r="B41" i="49"/>
  <c r="B48" i="49"/>
  <c r="B44" i="49"/>
  <c r="B40" i="49"/>
  <c r="B47" i="49"/>
  <c r="B43" i="49"/>
  <c r="B39" i="49"/>
  <c r="B46" i="49"/>
  <c r="B42" i="49"/>
  <c r="B38" i="49"/>
  <c r="B14" i="49"/>
  <c r="B10" i="49"/>
  <c r="B6" i="49"/>
  <c r="B13" i="49"/>
  <c r="B9" i="49"/>
  <c r="B5" i="49"/>
  <c r="B4" i="49"/>
  <c r="B12" i="49"/>
  <c r="B8" i="49"/>
  <c r="B25" i="49"/>
  <c r="B21" i="49"/>
  <c r="E86" i="49"/>
  <c r="E24" i="49"/>
  <c r="E87" i="49"/>
  <c r="E55" i="49"/>
  <c r="E5" i="49"/>
  <c r="E88" i="49"/>
  <c r="E74" i="49"/>
  <c r="E39" i="49"/>
  <c r="E56" i="49"/>
  <c r="E8" i="49"/>
  <c r="E26" i="49"/>
  <c r="E93" i="49"/>
  <c r="E52" i="49"/>
  <c r="E83" i="49"/>
  <c r="E18" i="49"/>
  <c r="E19" i="49"/>
  <c r="E20" i="49"/>
  <c r="E38" i="49"/>
  <c r="E73" i="49"/>
  <c r="E45" i="49"/>
  <c r="E4" i="49"/>
  <c r="E91" i="49"/>
  <c r="E42" i="49"/>
  <c r="E13" i="49"/>
  <c r="E51" i="49"/>
  <c r="E17" i="49"/>
  <c r="E7" i="49"/>
  <c r="E89" i="49"/>
  <c r="E22" i="49"/>
  <c r="E43" i="49"/>
  <c r="E41" i="49"/>
  <c r="E76" i="49"/>
  <c r="E78" i="49"/>
  <c r="E80" i="49"/>
  <c r="E59" i="49"/>
  <c r="E23" i="49"/>
  <c r="E11" i="49"/>
  <c r="E16" i="49"/>
  <c r="E72" i="49"/>
  <c r="E84" i="49"/>
  <c r="E46" i="49"/>
  <c r="E12" i="49"/>
  <c r="E27" i="49"/>
  <c r="E79" i="49"/>
  <c r="E61" i="49"/>
  <c r="E9" i="49"/>
  <c r="E82" i="49"/>
  <c r="E6" i="49"/>
  <c r="E90" i="49"/>
  <c r="E49" i="49"/>
  <c r="E57" i="49"/>
  <c r="E58" i="49"/>
  <c r="E85" i="49"/>
  <c r="E75" i="49"/>
  <c r="E40" i="49"/>
  <c r="E92" i="49"/>
  <c r="E50" i="49"/>
  <c r="E70" i="49"/>
  <c r="E53" i="49"/>
  <c r="E77" i="49"/>
  <c r="E47" i="49"/>
  <c r="E48" i="49"/>
  <c r="E44" i="49"/>
  <c r="E81" i="49"/>
  <c r="E10" i="49"/>
  <c r="E71" i="49"/>
  <c r="E21" i="49"/>
  <c r="E14" i="49"/>
  <c r="E54" i="49"/>
  <c r="E25" i="49"/>
  <c r="E60" i="49"/>
  <c r="E15" i="49"/>
  <c r="H58" i="49" l="1"/>
  <c r="H55" i="49"/>
  <c r="H57" i="49"/>
  <c r="H56" i="49"/>
  <c r="H43" i="49"/>
  <c r="H44" i="49"/>
  <c r="H45" i="49"/>
  <c r="H46" i="49"/>
  <c r="F87" i="49"/>
  <c r="F92" i="49"/>
  <c r="F91" i="49"/>
  <c r="F86" i="49"/>
  <c r="F84" i="49"/>
  <c r="F89" i="49"/>
  <c r="F90" i="49"/>
  <c r="F82" i="49"/>
  <c r="F85" i="49"/>
  <c r="F83" i="49"/>
  <c r="F88" i="49"/>
  <c r="F93" i="49"/>
  <c r="C7" i="14"/>
  <c r="N90" i="14"/>
  <c r="O90" i="14"/>
  <c r="P90" i="14"/>
  <c r="N61" i="14"/>
  <c r="O61" i="14"/>
  <c r="P61" i="14"/>
  <c r="N66" i="14"/>
  <c r="O66" i="14"/>
  <c r="P66" i="14"/>
  <c r="N75" i="14"/>
  <c r="O75" i="14"/>
  <c r="P75" i="14"/>
  <c r="N83" i="14"/>
  <c r="O83" i="14"/>
  <c r="P83" i="14"/>
  <c r="F43" i="49"/>
  <c r="F53" i="49"/>
  <c r="F18" i="49"/>
  <c r="F20" i="49"/>
  <c r="F38" i="49"/>
  <c r="F22" i="49"/>
  <c r="F55" i="49"/>
  <c r="F26" i="49"/>
  <c r="F42" i="49"/>
  <c r="F49" i="49"/>
  <c r="F41" i="49"/>
  <c r="F50" i="49"/>
  <c r="F25" i="49"/>
  <c r="F10" i="49"/>
  <c r="P64" i="14"/>
  <c r="F11" i="49"/>
  <c r="N64" i="14"/>
  <c r="F44" i="49"/>
  <c r="F52" i="49"/>
  <c r="O64" i="14"/>
  <c r="F21" i="49"/>
  <c r="O58" i="14"/>
  <c r="F19" i="49"/>
  <c r="F9" i="49"/>
  <c r="F56" i="49"/>
  <c r="F17" i="49"/>
  <c r="F12" i="49"/>
  <c r="F16" i="49"/>
  <c r="F47" i="49"/>
  <c r="F23" i="49"/>
  <c r="F24" i="49"/>
  <c r="F46" i="49"/>
  <c r="F60" i="49"/>
  <c r="P58" i="14"/>
  <c r="F48" i="49"/>
  <c r="F14" i="49"/>
  <c r="N58" i="14"/>
  <c r="F15" i="49"/>
  <c r="F13" i="49"/>
  <c r="F45" i="49"/>
  <c r="F39" i="49"/>
  <c r="F7" i="49"/>
  <c r="F4" i="49"/>
  <c r="F58" i="49"/>
  <c r="F6" i="49"/>
  <c r="F51" i="49"/>
  <c r="F61" i="49"/>
  <c r="F59" i="49"/>
  <c r="F8" i="49"/>
  <c r="F5" i="49"/>
  <c r="F57" i="49"/>
  <c r="F54" i="49"/>
  <c r="F40" i="49"/>
  <c r="F27" i="49"/>
  <c r="H38" i="49" l="1"/>
  <c r="H21" i="49"/>
  <c r="H26" i="49"/>
  <c r="H6" i="49"/>
  <c r="H4" i="49"/>
  <c r="H48" i="49"/>
  <c r="H20" i="49"/>
  <c r="H11" i="49"/>
  <c r="H14" i="49"/>
  <c r="H51" i="49"/>
  <c r="H53" i="49"/>
  <c r="H59" i="49"/>
  <c r="H25" i="49"/>
  <c r="H7" i="49"/>
  <c r="H60" i="49"/>
  <c r="H17" i="49"/>
  <c r="H42" i="49"/>
  <c r="H50" i="49"/>
  <c r="H41" i="49"/>
  <c r="H47" i="49"/>
  <c r="H61" i="49"/>
  <c r="H49" i="49"/>
  <c r="H39" i="49"/>
  <c r="H54" i="49"/>
  <c r="H52" i="49"/>
  <c r="H24" i="49"/>
  <c r="H19" i="49"/>
  <c r="H10" i="49"/>
  <c r="H15" i="49"/>
  <c r="H40" i="49"/>
  <c r="H27" i="49"/>
  <c r="H23" i="49"/>
  <c r="H16" i="49"/>
  <c r="H5" i="49"/>
  <c r="H8" i="49"/>
  <c r="H12" i="49"/>
  <c r="H13" i="49"/>
  <c r="H18" i="49"/>
  <c r="H9" i="49"/>
  <c r="H22" i="49"/>
  <c r="P57" i="14"/>
  <c r="P76" i="14" s="1"/>
  <c r="N73" i="14"/>
  <c r="N77" i="14" s="1"/>
  <c r="P73" i="14"/>
  <c r="P77" i="14" s="1"/>
  <c r="O57" i="14"/>
  <c r="O76" i="14" s="1"/>
  <c r="O73" i="14"/>
  <c r="O77" i="14" s="1"/>
  <c r="N57" i="14"/>
  <c r="N76" i="14" s="1"/>
  <c r="I16" i="49" l="1"/>
  <c r="I26" i="49"/>
  <c r="I18" i="49"/>
  <c r="I21" i="49"/>
  <c r="I56" i="49"/>
  <c r="I51" i="49"/>
  <c r="I60" i="49"/>
  <c r="I55" i="49"/>
  <c r="I57" i="49"/>
  <c r="I20" i="49"/>
  <c r="I23" i="49"/>
  <c r="I53" i="49"/>
  <c r="I50" i="49"/>
  <c r="I25" i="49"/>
  <c r="I58" i="49"/>
  <c r="I22" i="49"/>
  <c r="I24" i="49"/>
  <c r="I54" i="49"/>
  <c r="I59" i="49"/>
  <c r="I19" i="49"/>
  <c r="I17" i="49"/>
  <c r="I61" i="49"/>
  <c r="I52" i="49"/>
  <c r="I27" i="49"/>
  <c r="L2" i="16"/>
  <c r="L2" i="3"/>
  <c r="B240" i="36" l="1"/>
  <c r="B239" i="36"/>
  <c r="B238" i="36"/>
  <c r="B237" i="36"/>
  <c r="B236" i="36"/>
  <c r="B235" i="36"/>
  <c r="B234" i="36"/>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F229" i="36"/>
  <c r="F230" i="36" s="1"/>
  <c r="F231" i="36" s="1"/>
  <c r="F232" i="36" s="1"/>
  <c r="F233" i="36" s="1"/>
  <c r="F234" i="36" s="1"/>
  <c r="F235" i="36" s="1"/>
  <c r="F236" i="36" s="1"/>
  <c r="F237" i="36" s="1"/>
  <c r="F238" i="36" s="1"/>
  <c r="F239" i="36" s="1"/>
  <c r="F240" i="36" s="1"/>
  <c r="D229" i="36"/>
  <c r="F217" i="36"/>
  <c r="F218" i="36" s="1"/>
  <c r="F219" i="36" s="1"/>
  <c r="F220" i="36" s="1"/>
  <c r="F221" i="36" s="1"/>
  <c r="F222" i="36" s="1"/>
  <c r="F223" i="36" s="1"/>
  <c r="F224" i="36" s="1"/>
  <c r="F225" i="36" s="1"/>
  <c r="F226" i="36" s="1"/>
  <c r="F227" i="36" s="1"/>
  <c r="F228" i="36" s="1"/>
  <c r="D217" i="36"/>
  <c r="F205" i="36"/>
  <c r="F206" i="36" s="1"/>
  <c r="F207" i="36" s="1"/>
  <c r="F208" i="36" s="1"/>
  <c r="F209" i="36" s="1"/>
  <c r="F210" i="36" s="1"/>
  <c r="F211" i="36" s="1"/>
  <c r="F212" i="36" s="1"/>
  <c r="F213" i="36" s="1"/>
  <c r="F214" i="36" s="1"/>
  <c r="F215" i="36" s="1"/>
  <c r="F216" i="36" s="1"/>
  <c r="D205" i="36"/>
  <c r="B204" i="36"/>
  <c r="B203" i="36"/>
  <c r="B202" i="36"/>
  <c r="B201" i="36"/>
  <c r="B200" i="36"/>
  <c r="B199" i="36"/>
  <c r="B198" i="36"/>
  <c r="B197" i="36"/>
  <c r="B196" i="36"/>
  <c r="B195" i="36"/>
  <c r="B194" i="36"/>
  <c r="F193" i="36"/>
  <c r="F194" i="36" s="1"/>
  <c r="F195" i="36" s="1"/>
  <c r="F196" i="36" s="1"/>
  <c r="F197" i="36" s="1"/>
  <c r="F198" i="36" s="1"/>
  <c r="F199" i="36" s="1"/>
  <c r="F200" i="36" s="1"/>
  <c r="F201" i="36" s="1"/>
  <c r="F202" i="36" s="1"/>
  <c r="F203" i="36" s="1"/>
  <c r="F204" i="36" s="1"/>
  <c r="D193" i="36"/>
  <c r="B193" i="36"/>
  <c r="B192" i="36"/>
  <c r="B191" i="36"/>
  <c r="B190" i="36"/>
  <c r="B189" i="36"/>
  <c r="B188" i="36"/>
  <c r="B187" i="36"/>
  <c r="B186" i="36"/>
  <c r="B185" i="36"/>
  <c r="B184" i="36"/>
  <c r="B183" i="36"/>
  <c r="B182" i="36"/>
  <c r="F181" i="36"/>
  <c r="F182" i="36" s="1"/>
  <c r="F183" i="36" s="1"/>
  <c r="F184" i="36" s="1"/>
  <c r="F185" i="36" s="1"/>
  <c r="F186" i="36" s="1"/>
  <c r="F187" i="36" s="1"/>
  <c r="F188" i="36" s="1"/>
  <c r="F189" i="36" s="1"/>
  <c r="F190" i="36" s="1"/>
  <c r="F191" i="36" s="1"/>
  <c r="F192" i="36" s="1"/>
  <c r="D181" i="36"/>
  <c r="B181" i="36"/>
  <c r="B180" i="36"/>
  <c r="B179" i="36"/>
  <c r="B178" i="36"/>
  <c r="B177" i="36"/>
  <c r="B176" i="36"/>
  <c r="B175" i="36"/>
  <c r="B174" i="36"/>
  <c r="B173" i="36"/>
  <c r="B172" i="36"/>
  <c r="B171" i="36"/>
  <c r="B170" i="36"/>
  <c r="F169" i="36"/>
  <c r="F170" i="36" s="1"/>
  <c r="F171" i="36" s="1"/>
  <c r="F172" i="36" s="1"/>
  <c r="F173" i="36" s="1"/>
  <c r="F174" i="36" s="1"/>
  <c r="F175" i="36" s="1"/>
  <c r="F176" i="36" s="1"/>
  <c r="F177" i="36" s="1"/>
  <c r="F178" i="36" s="1"/>
  <c r="F179" i="36" s="1"/>
  <c r="F180" i="36" s="1"/>
  <c r="D169" i="36"/>
  <c r="B169" i="36"/>
  <c r="B168" i="36"/>
  <c r="B167" i="36"/>
  <c r="B166" i="36"/>
  <c r="B165" i="36"/>
  <c r="B164" i="36"/>
  <c r="B163" i="36"/>
  <c r="B162" i="36"/>
  <c r="B161" i="36"/>
  <c r="B160" i="36"/>
  <c r="B159" i="36"/>
  <c r="B158" i="36"/>
  <c r="F157" i="36"/>
  <c r="F158" i="36" s="1"/>
  <c r="F159" i="36" s="1"/>
  <c r="F160" i="36" s="1"/>
  <c r="F161" i="36" s="1"/>
  <c r="F162" i="36" s="1"/>
  <c r="F163" i="36" s="1"/>
  <c r="F164" i="36" s="1"/>
  <c r="F165" i="36" s="1"/>
  <c r="F166" i="36" s="1"/>
  <c r="F167" i="36" s="1"/>
  <c r="F168" i="36" s="1"/>
  <c r="D157" i="36"/>
  <c r="B157" i="36"/>
  <c r="B156" i="36"/>
  <c r="B155" i="36"/>
  <c r="B154" i="36"/>
  <c r="B153" i="36"/>
  <c r="B152" i="36"/>
  <c r="B151" i="36"/>
  <c r="B150" i="36"/>
  <c r="B149" i="36"/>
  <c r="B148" i="36"/>
  <c r="B147" i="36"/>
  <c r="B146" i="36"/>
  <c r="F145" i="36"/>
  <c r="F146" i="36" s="1"/>
  <c r="F147" i="36" s="1"/>
  <c r="F148" i="36" s="1"/>
  <c r="F149" i="36" s="1"/>
  <c r="F150" i="36" s="1"/>
  <c r="F151" i="36" s="1"/>
  <c r="F152" i="36" s="1"/>
  <c r="F153" i="36" s="1"/>
  <c r="F154" i="36" s="1"/>
  <c r="F155" i="36" s="1"/>
  <c r="F156" i="36" s="1"/>
  <c r="D145" i="36"/>
  <c r="B145" i="36"/>
  <c r="B144" i="36"/>
  <c r="B143" i="36"/>
  <c r="B142" i="36"/>
  <c r="B141" i="36"/>
  <c r="B140" i="36"/>
  <c r="B139" i="36"/>
  <c r="B138" i="36"/>
  <c r="B137" i="36"/>
  <c r="B136" i="36"/>
  <c r="B135" i="36"/>
  <c r="B134" i="36"/>
  <c r="F133" i="36"/>
  <c r="F134" i="36" s="1"/>
  <c r="F135" i="36" s="1"/>
  <c r="F136" i="36" s="1"/>
  <c r="F137" i="36" s="1"/>
  <c r="F138" i="36" s="1"/>
  <c r="F139" i="36" s="1"/>
  <c r="F140" i="36" s="1"/>
  <c r="F141" i="36" s="1"/>
  <c r="F142" i="36" s="1"/>
  <c r="F143" i="36" s="1"/>
  <c r="F144" i="36" s="1"/>
  <c r="D133" i="36"/>
  <c r="B133" i="36"/>
  <c r="B132" i="36"/>
  <c r="B131" i="36"/>
  <c r="B130" i="36"/>
  <c r="B129" i="36"/>
  <c r="B128" i="36"/>
  <c r="B127" i="36"/>
  <c r="B126" i="36"/>
  <c r="B125" i="36"/>
  <c r="B124" i="36"/>
  <c r="B123" i="36"/>
  <c r="B122" i="36"/>
  <c r="F121" i="36"/>
  <c r="F122" i="36" s="1"/>
  <c r="F123" i="36" s="1"/>
  <c r="F124" i="36" s="1"/>
  <c r="F125" i="36" s="1"/>
  <c r="F126" i="36" s="1"/>
  <c r="F127" i="36" s="1"/>
  <c r="F128" i="36" s="1"/>
  <c r="F129" i="36" s="1"/>
  <c r="F130" i="36" s="1"/>
  <c r="F131" i="36" s="1"/>
  <c r="F132" i="36" s="1"/>
  <c r="D121" i="36"/>
  <c r="B121" i="36"/>
  <c r="B120" i="36"/>
  <c r="B119" i="36"/>
  <c r="B118" i="36"/>
  <c r="B117" i="36"/>
  <c r="B116" i="36"/>
  <c r="B115" i="36"/>
  <c r="B114" i="36"/>
  <c r="B113" i="36"/>
  <c r="B112" i="36"/>
  <c r="B111" i="36"/>
  <c r="B110" i="36"/>
  <c r="F109" i="36"/>
  <c r="F110" i="36" s="1"/>
  <c r="F111" i="36" s="1"/>
  <c r="F112" i="36" s="1"/>
  <c r="F113" i="36" s="1"/>
  <c r="F114" i="36" s="1"/>
  <c r="F115" i="36" s="1"/>
  <c r="F116" i="36" s="1"/>
  <c r="F117" i="36" s="1"/>
  <c r="F118" i="36" s="1"/>
  <c r="F119" i="36" s="1"/>
  <c r="F120" i="36" s="1"/>
  <c r="D109" i="36"/>
  <c r="B109" i="36"/>
  <c r="B108" i="36"/>
  <c r="B107" i="36"/>
  <c r="B106" i="36"/>
  <c r="B105" i="36"/>
  <c r="B104" i="36"/>
  <c r="B103" i="36"/>
  <c r="B102" i="36"/>
  <c r="B101" i="36"/>
  <c r="B100" i="36"/>
  <c r="B99" i="36"/>
  <c r="B98" i="36"/>
  <c r="F97" i="36"/>
  <c r="F98" i="36" s="1"/>
  <c r="F99" i="36" s="1"/>
  <c r="F100" i="36" s="1"/>
  <c r="F101" i="36" s="1"/>
  <c r="F102" i="36" s="1"/>
  <c r="F103" i="36" s="1"/>
  <c r="F104" i="36" s="1"/>
  <c r="F105" i="36" s="1"/>
  <c r="F106" i="36" s="1"/>
  <c r="F107" i="36" s="1"/>
  <c r="F108" i="36" s="1"/>
  <c r="D97" i="36"/>
  <c r="B97" i="36"/>
  <c r="B96" i="36"/>
  <c r="B95" i="36"/>
  <c r="B94" i="36"/>
  <c r="B93" i="36"/>
  <c r="B92" i="36"/>
  <c r="B91" i="36"/>
  <c r="B90" i="36"/>
  <c r="B89" i="36"/>
  <c r="B88" i="36"/>
  <c r="B87" i="36"/>
  <c r="B86" i="36"/>
  <c r="F85" i="36"/>
  <c r="F86" i="36" s="1"/>
  <c r="F87" i="36" s="1"/>
  <c r="F88" i="36" s="1"/>
  <c r="F89" i="36" s="1"/>
  <c r="F90" i="36" s="1"/>
  <c r="F91" i="36" s="1"/>
  <c r="F92" i="36" s="1"/>
  <c r="F93" i="36" s="1"/>
  <c r="F94" i="36" s="1"/>
  <c r="F95" i="36" s="1"/>
  <c r="F96" i="36" s="1"/>
  <c r="D85" i="36"/>
  <c r="B85" i="36"/>
  <c r="B84" i="36"/>
  <c r="B83" i="36"/>
  <c r="B82" i="36"/>
  <c r="B81" i="36"/>
  <c r="B80" i="36"/>
  <c r="B79" i="36"/>
  <c r="B78" i="36"/>
  <c r="B77" i="36"/>
  <c r="B76" i="36"/>
  <c r="B75" i="36"/>
  <c r="B74" i="36"/>
  <c r="F73" i="36"/>
  <c r="F74" i="36" s="1"/>
  <c r="F75" i="36" s="1"/>
  <c r="F76" i="36" s="1"/>
  <c r="F77" i="36" s="1"/>
  <c r="F78" i="36" s="1"/>
  <c r="F79" i="36" s="1"/>
  <c r="F80" i="36" s="1"/>
  <c r="F81" i="36" s="1"/>
  <c r="F82" i="36" s="1"/>
  <c r="F83" i="36" s="1"/>
  <c r="F84" i="36" s="1"/>
  <c r="D73" i="36"/>
  <c r="B73" i="36"/>
  <c r="B72" i="36"/>
  <c r="B71" i="36"/>
  <c r="B70" i="36"/>
  <c r="B69" i="36"/>
  <c r="B68" i="36"/>
  <c r="B67" i="36"/>
  <c r="J66" i="36"/>
  <c r="B66" i="36"/>
  <c r="J65" i="36"/>
  <c r="B65" i="36"/>
  <c r="J64" i="36"/>
  <c r="B64" i="36"/>
  <c r="J63" i="36"/>
  <c r="B63" i="36"/>
  <c r="J62" i="36"/>
  <c r="B62" i="36"/>
  <c r="J61" i="36"/>
  <c r="F61" i="36"/>
  <c r="F62" i="36" s="1"/>
  <c r="F63" i="36" s="1"/>
  <c r="F64" i="36" s="1"/>
  <c r="F65" i="36" s="1"/>
  <c r="F66" i="36" s="1"/>
  <c r="F67" i="36" s="1"/>
  <c r="F68" i="36" s="1"/>
  <c r="F69" i="36" s="1"/>
  <c r="F70" i="36" s="1"/>
  <c r="F71" i="36" s="1"/>
  <c r="F72" i="36" s="1"/>
  <c r="D61" i="36"/>
  <c r="B61" i="36"/>
  <c r="J60" i="36"/>
  <c r="B60" i="36"/>
  <c r="J59" i="36"/>
  <c r="B59" i="36"/>
  <c r="J58" i="36"/>
  <c r="B58" i="36"/>
  <c r="J57" i="36"/>
  <c r="B57" i="36"/>
  <c r="J56" i="36"/>
  <c r="B56" i="36"/>
  <c r="J55" i="36"/>
  <c r="B55" i="36"/>
  <c r="J54" i="36"/>
  <c r="B54" i="36"/>
  <c r="J53" i="36"/>
  <c r="B53" i="36"/>
  <c r="J52" i="36"/>
  <c r="B52" i="36"/>
  <c r="J51" i="36"/>
  <c r="B51" i="36"/>
  <c r="J50" i="36"/>
  <c r="B50" i="36"/>
  <c r="J49" i="36"/>
  <c r="F49" i="36"/>
  <c r="F50" i="36" s="1"/>
  <c r="F51" i="36" s="1"/>
  <c r="F52" i="36" s="1"/>
  <c r="F53" i="36" s="1"/>
  <c r="F54" i="36" s="1"/>
  <c r="F55" i="36" s="1"/>
  <c r="F56" i="36" s="1"/>
  <c r="F57" i="36" s="1"/>
  <c r="F58" i="36" s="1"/>
  <c r="F59" i="36" s="1"/>
  <c r="F60" i="36" s="1"/>
  <c r="D49" i="36"/>
  <c r="B49" i="36"/>
  <c r="J48" i="36"/>
  <c r="B48" i="36"/>
  <c r="J47" i="36"/>
  <c r="B47" i="36"/>
  <c r="J46" i="36"/>
  <c r="B46" i="36"/>
  <c r="J45" i="36"/>
  <c r="B45" i="36"/>
  <c r="J44" i="36"/>
  <c r="B44" i="36"/>
  <c r="J43" i="36"/>
  <c r="B43" i="36"/>
  <c r="J42" i="36"/>
  <c r="B42" i="36"/>
  <c r="J41" i="36"/>
  <c r="B41" i="36"/>
  <c r="J40" i="36"/>
  <c r="B40" i="36"/>
  <c r="J39" i="36"/>
  <c r="B39" i="36"/>
  <c r="J38" i="36"/>
  <c r="B38" i="36"/>
  <c r="J37" i="36"/>
  <c r="F37" i="36"/>
  <c r="F38" i="36" s="1"/>
  <c r="F39" i="36" s="1"/>
  <c r="F40" i="36" s="1"/>
  <c r="F41" i="36" s="1"/>
  <c r="F42" i="36" s="1"/>
  <c r="F43" i="36" s="1"/>
  <c r="F44" i="36" s="1"/>
  <c r="F45" i="36" s="1"/>
  <c r="F46" i="36" s="1"/>
  <c r="F47" i="36" s="1"/>
  <c r="F48" i="36" s="1"/>
  <c r="D37" i="36"/>
  <c r="B37" i="36"/>
  <c r="AU5" i="36"/>
  <c r="BE5" i="36"/>
  <c r="BJ5" i="36" l="1"/>
  <c r="AZ5" i="36"/>
  <c r="AP5" i="36"/>
  <c r="V5" i="36"/>
  <c r="AF5" i="36"/>
  <c r="C3" i="44"/>
  <c r="E3" i="51" l="1"/>
  <c r="D1" i="52" s="1"/>
  <c r="A40" i="11" l="1"/>
  <c r="A42" i="11"/>
  <c r="B43" i="11"/>
  <c r="B44" i="11"/>
  <c r="D1" i="4" l="1"/>
  <c r="D1" i="16"/>
  <c r="D1" i="8"/>
  <c r="D1" i="3"/>
  <c r="D1" i="1"/>
  <c r="D1" i="15"/>
  <c r="D1" i="28"/>
  <c r="D1" i="2"/>
  <c r="B45" i="11"/>
  <c r="C51" i="43" s="1"/>
  <c r="C50" i="43"/>
  <c r="X16" i="24" l="1"/>
  <c r="X15" i="24"/>
  <c r="C49" i="43" l="1"/>
  <c r="X14" i="24"/>
  <c r="G44" i="43" l="1"/>
  <c r="M44" i="43"/>
  <c r="T44" i="43"/>
  <c r="V44" i="43"/>
  <c r="E44" i="43"/>
  <c r="L44" i="43"/>
  <c r="T30" i="43"/>
  <c r="N44" i="43"/>
  <c r="K44" i="43"/>
  <c r="D44" i="43"/>
  <c r="U30" i="43"/>
  <c r="U44" i="43"/>
  <c r="S30" i="43"/>
  <c r="F44" i="43"/>
  <c r="R44" i="43"/>
  <c r="O44" i="43"/>
  <c r="W44" i="43"/>
  <c r="W30" i="43"/>
  <c r="J44" i="43"/>
  <c r="I44" i="43"/>
  <c r="H44" i="43"/>
  <c r="S44" i="43"/>
  <c r="V30" i="43"/>
  <c r="Q44" i="43"/>
  <c r="P44" i="43"/>
  <c r="G4" i="10"/>
  <c r="B2" i="42" l="1"/>
  <c r="F30" i="43" l="1"/>
  <c r="Q36" i="43"/>
  <c r="L23" i="43"/>
  <c r="L30" i="43" s="1"/>
  <c r="J36" i="43"/>
  <c r="O23" i="43"/>
  <c r="O30" i="43" s="1"/>
  <c r="P78" i="14" s="1"/>
  <c r="P79" i="14" s="1"/>
  <c r="F23" i="43"/>
  <c r="P23" i="43"/>
  <c r="P30" i="43" s="1"/>
  <c r="I36" i="43"/>
  <c r="E36" i="43"/>
  <c r="H23" i="43"/>
  <c r="H30" i="43" s="1"/>
  <c r="O36" i="43"/>
  <c r="N30" i="43"/>
  <c r="O78" i="14" s="1"/>
  <c r="O79" i="14" s="1"/>
  <c r="J23" i="43"/>
  <c r="J30" i="43" s="1"/>
  <c r="D36" i="43"/>
  <c r="M23" i="43"/>
  <c r="M30" i="43" s="1"/>
  <c r="N78" i="14" s="1"/>
  <c r="N79" i="14" s="1"/>
  <c r="R36" i="43"/>
  <c r="Q23" i="43"/>
  <c r="Q30" i="43" s="1"/>
  <c r="C23" i="43"/>
  <c r="C30" i="43" s="1"/>
  <c r="C36" i="43"/>
  <c r="C44" i="43" s="1"/>
  <c r="I23" i="43"/>
  <c r="I30" i="43" s="1"/>
  <c r="R23" i="43"/>
  <c r="R30" i="43" s="1"/>
  <c r="H36" i="43"/>
  <c r="B44" i="43"/>
  <c r="K36" i="43"/>
  <c r="K23" i="43"/>
  <c r="K30" i="43" s="1"/>
  <c r="G23" i="43"/>
  <c r="G30" i="43" s="1"/>
  <c r="E23" i="43"/>
  <c r="E30" i="43" s="1"/>
  <c r="P36" i="43"/>
  <c r="N23" i="43"/>
  <c r="N36" i="43"/>
  <c r="L36" i="43"/>
  <c r="M36" i="43"/>
  <c r="D23" i="43"/>
  <c r="D30" i="43" s="1"/>
  <c r="G36" i="43"/>
  <c r="F36" i="43"/>
  <c r="F4" i="1"/>
  <c r="G4" i="1" s="1"/>
  <c r="I4" i="1" l="1"/>
  <c r="H4" i="1"/>
  <c r="H244" i="1" l="1"/>
  <c r="C2" i="40"/>
  <c r="C2" i="39" l="1"/>
  <c r="E91" i="14" l="1"/>
  <c r="E90" i="14" s="1"/>
  <c r="F91" i="14"/>
  <c r="F90" i="14" s="1"/>
  <c r="G91" i="14"/>
  <c r="G90" i="14" s="1"/>
  <c r="H91" i="14"/>
  <c r="H90" i="14" s="1"/>
  <c r="I91" i="14"/>
  <c r="I90" i="14" s="1"/>
  <c r="J91" i="14"/>
  <c r="J90" i="14" s="1"/>
  <c r="K91" i="14"/>
  <c r="K90" i="14" s="1"/>
  <c r="L91" i="14"/>
  <c r="L90" i="14" s="1"/>
  <c r="M91" i="14"/>
  <c r="M90" i="14" s="1"/>
  <c r="D91" i="14"/>
  <c r="D90" i="14" s="1"/>
  <c r="O9" i="14"/>
  <c r="N9" i="14"/>
  <c r="M9" i="14"/>
  <c r="L9" i="14"/>
  <c r="K9" i="14"/>
  <c r="D9" i="14"/>
  <c r="F9" i="14"/>
  <c r="G9" i="14"/>
  <c r="H9" i="14"/>
  <c r="I9" i="14"/>
  <c r="J9" i="14"/>
  <c r="E9" i="14"/>
  <c r="C4" i="27" l="1"/>
  <c r="C3" i="27"/>
  <c r="C3" i="22"/>
  <c r="C3" i="20"/>
  <c r="C78" i="14" l="1"/>
  <c r="C2" i="34" l="1"/>
  <c r="C1" i="21"/>
  <c r="K83" i="14" l="1"/>
  <c r="L83" i="14"/>
  <c r="M83" i="14"/>
  <c r="B25" i="11" l="1"/>
  <c r="B24" i="11" s="1"/>
  <c r="S15" i="24" l="1"/>
  <c r="S18" i="24" s="1"/>
  <c r="S16" i="24" l="1"/>
  <c r="S21" i="24"/>
  <c r="S20" i="24"/>
  <c r="S17" i="24"/>
  <c r="T17" i="24" s="1"/>
  <c r="S19" i="24"/>
  <c r="T19" i="24" s="1"/>
  <c r="T20" i="24" l="1"/>
  <c r="T21" i="24"/>
  <c r="T18" i="24"/>
  <c r="T22" i="24" l="1"/>
  <c r="B33" i="11" l="1"/>
  <c r="E4" i="51" s="1"/>
  <c r="D2" i="52" s="1"/>
  <c r="E61" i="52" l="1" a="1"/>
  <c r="E61" i="52" s="1"/>
  <c r="E72" i="52" a="1"/>
  <c r="E72" i="52" s="1"/>
  <c r="E47" i="52" a="1"/>
  <c r="E47" i="52" s="1"/>
  <c r="E343" i="52" a="1"/>
  <c r="E343" i="52" s="1"/>
  <c r="E231" i="52" a="1"/>
  <c r="E231" i="52" s="1"/>
  <c r="E367" i="52" a="1"/>
  <c r="E367" i="52" s="1"/>
  <c r="E189" i="52" a="1"/>
  <c r="E189" i="52" s="1"/>
  <c r="E191" i="52" s="1"/>
  <c r="E311" i="52" a="1"/>
  <c r="E311" i="52" s="1"/>
  <c r="E313" i="52" s="1"/>
  <c r="E359" i="52" a="1"/>
  <c r="E359" i="52" s="1"/>
  <c r="E9" i="52" a="1"/>
  <c r="E9" i="52" s="1"/>
  <c r="E11" i="52" s="1"/>
  <c r="E96" i="52" a="1"/>
  <c r="E96" i="52" s="1"/>
  <c r="E389" i="52" a="1"/>
  <c r="E389" i="52" s="1"/>
  <c r="E263" i="52" a="1"/>
  <c r="E263" i="52" s="1"/>
  <c r="E303" i="52" a="1"/>
  <c r="E303" i="52" s="1"/>
  <c r="E305" i="52" s="1"/>
  <c r="E121" i="52" a="1"/>
  <c r="E121" i="52" s="1"/>
  <c r="E85" i="52" a="1"/>
  <c r="E85" i="52" s="1"/>
  <c r="E255" i="52" a="1"/>
  <c r="E255" i="52" s="1"/>
  <c r="E279" i="52" a="1"/>
  <c r="E279" i="52" s="1"/>
  <c r="E281" i="52" s="1"/>
  <c r="E129" i="52" a="1"/>
  <c r="E129" i="52" s="1"/>
  <c r="E335" i="52" a="1"/>
  <c r="E335" i="52" s="1"/>
  <c r="E337" i="52" s="1"/>
  <c r="E143" i="52" a="1"/>
  <c r="E143" i="52" s="1"/>
  <c r="E78" i="52" a="1"/>
  <c r="E78" i="52" s="1"/>
  <c r="E287" i="52" a="1"/>
  <c r="E287" i="52" s="1"/>
  <c r="E289" i="52" s="1"/>
  <c r="E157" i="52" a="1"/>
  <c r="E157" i="52" s="1"/>
  <c r="E199" i="52" a="1"/>
  <c r="E199" i="52" s="1"/>
  <c r="E39" i="52" a="1"/>
  <c r="E39" i="52" s="1"/>
  <c r="E327" i="52" a="1"/>
  <c r="E327" i="52" s="1"/>
  <c r="E329" i="52" s="1"/>
  <c r="E223" i="52" a="1"/>
  <c r="E223" i="52" s="1"/>
  <c r="E225" i="52" s="1"/>
  <c r="E17" i="52" a="1"/>
  <c r="E17" i="52" s="1"/>
  <c r="E31" i="52" a="1"/>
  <c r="E31" i="52" s="1"/>
  <c r="E295" i="52" a="1"/>
  <c r="E295" i="52" s="1"/>
  <c r="E297" i="52" s="1"/>
  <c r="E239" i="52" a="1"/>
  <c r="E239" i="52" s="1"/>
  <c r="E375" i="52" a="1"/>
  <c r="E375" i="52" s="1"/>
  <c r="E165" i="52" a="1"/>
  <c r="E165" i="52" s="1"/>
  <c r="E149" i="52" a="1"/>
  <c r="E149" i="52" s="1"/>
  <c r="E137" i="52" a="1"/>
  <c r="E137" i="52" s="1"/>
  <c r="E207" i="52" a="1"/>
  <c r="E207" i="52" s="1"/>
  <c r="E319" i="52" a="1"/>
  <c r="E319" i="52" s="1"/>
  <c r="E321" i="52" s="1"/>
  <c r="E351" i="52" a="1"/>
  <c r="E351" i="52" s="1"/>
  <c r="E215" i="52" a="1"/>
  <c r="E215" i="52" s="1"/>
  <c r="E54" i="52" a="1"/>
  <c r="E54" i="52" s="1"/>
  <c r="E173" i="52" a="1"/>
  <c r="E173" i="52" s="1"/>
  <c r="E24" i="52" a="1"/>
  <c r="E24" i="52" s="1"/>
  <c r="E271" i="52" a="1"/>
  <c r="E271" i="52" s="1"/>
  <c r="E114" i="52" a="1"/>
  <c r="E114" i="52" s="1"/>
  <c r="E116" i="52" s="1"/>
  <c r="E383" i="52" a="1"/>
  <c r="E383" i="52" s="1"/>
  <c r="E247" i="52" a="1"/>
  <c r="E247" i="52" s="1"/>
  <c r="E106" i="52" a="1"/>
  <c r="E106" i="52" s="1"/>
  <c r="B26" i="11"/>
  <c r="D66" i="14"/>
  <c r="E66" i="14"/>
  <c r="F66" i="14"/>
  <c r="G66" i="14"/>
  <c r="H66" i="14"/>
  <c r="I66" i="14"/>
  <c r="J66" i="14"/>
  <c r="K66" i="14"/>
  <c r="L66" i="14"/>
  <c r="M66" i="14"/>
  <c r="AH180" i="52" l="1"/>
  <c r="H180" i="52"/>
  <c r="P180" i="52"/>
  <c r="Z180" i="52"/>
  <c r="AD180" i="52"/>
  <c r="O180" i="52"/>
  <c r="K180" i="52"/>
  <c r="AF180" i="52"/>
  <c r="M180" i="52"/>
  <c r="AB180" i="52"/>
  <c r="AI180" i="52"/>
  <c r="F180" i="52"/>
  <c r="W180" i="52"/>
  <c r="L180" i="52"/>
  <c r="AG180" i="52"/>
  <c r="V180" i="52"/>
  <c r="AC180" i="52"/>
  <c r="R180" i="52"/>
  <c r="AE180" i="52"/>
  <c r="E175" i="52"/>
  <c r="N180" i="52"/>
  <c r="Q180" i="52"/>
  <c r="X180" i="52"/>
  <c r="U180" i="52"/>
  <c r="G180" i="52"/>
  <c r="T180" i="52"/>
  <c r="Y180" i="52"/>
  <c r="J180" i="52"/>
  <c r="I180" i="52"/>
  <c r="AA180" i="52"/>
  <c r="S180" i="52"/>
  <c r="V230" i="52"/>
  <c r="G230" i="52"/>
  <c r="F230" i="52"/>
  <c r="W230" i="52"/>
  <c r="AB230" i="52"/>
  <c r="AF230" i="52"/>
  <c r="L230" i="52"/>
  <c r="I230" i="52"/>
  <c r="P230" i="52"/>
  <c r="Z230" i="52"/>
  <c r="AI230" i="52"/>
  <c r="M230" i="52"/>
  <c r="AC230" i="52"/>
  <c r="X230" i="52"/>
  <c r="N230" i="52"/>
  <c r="K230" i="52"/>
  <c r="R230" i="52"/>
  <c r="J230" i="52"/>
  <c r="Q230" i="52"/>
  <c r="H230" i="52"/>
  <c r="AH230" i="52"/>
  <c r="O230" i="52"/>
  <c r="AD230" i="52"/>
  <c r="Y230" i="52"/>
  <c r="AE230" i="52"/>
  <c r="AA230" i="52"/>
  <c r="T230" i="52"/>
  <c r="AG230" i="52"/>
  <c r="S230" i="52"/>
  <c r="U230" i="52"/>
  <c r="N270" i="52"/>
  <c r="AE270" i="52"/>
  <c r="T270" i="52"/>
  <c r="W270" i="52"/>
  <c r="L270" i="52"/>
  <c r="J270" i="52"/>
  <c r="V270" i="52"/>
  <c r="AH270" i="52"/>
  <c r="AB270" i="52"/>
  <c r="H270" i="52"/>
  <c r="G270" i="52"/>
  <c r="K270" i="52"/>
  <c r="AA270" i="52"/>
  <c r="M270" i="52"/>
  <c r="I270" i="52"/>
  <c r="Z270" i="52"/>
  <c r="AI270" i="52"/>
  <c r="F270" i="52"/>
  <c r="U270" i="52"/>
  <c r="S270" i="52"/>
  <c r="E265" i="52"/>
  <c r="O270" i="52"/>
  <c r="R270" i="52"/>
  <c r="AC270" i="52"/>
  <c r="AG270" i="52"/>
  <c r="AD270" i="52"/>
  <c r="Y270" i="52"/>
  <c r="AF270" i="52"/>
  <c r="P270" i="52"/>
  <c r="Q270" i="52"/>
  <c r="X270" i="52"/>
  <c r="Z222" i="52"/>
  <c r="W222" i="52"/>
  <c r="K222" i="52"/>
  <c r="S222" i="52"/>
  <c r="AE222" i="52"/>
  <c r="AD222" i="52"/>
  <c r="V222" i="52"/>
  <c r="O222" i="52"/>
  <c r="Y222" i="52"/>
  <c r="AI222" i="52"/>
  <c r="K11" i="51" a="1"/>
  <c r="K11" i="51" s="1"/>
  <c r="N222" i="52"/>
  <c r="AB222" i="52"/>
  <c r="L222" i="52"/>
  <c r="AG222" i="52"/>
  <c r="J222" i="52"/>
  <c r="E217" i="52"/>
  <c r="I222" i="52"/>
  <c r="AC222" i="52"/>
  <c r="H222" i="52"/>
  <c r="R222" i="52"/>
  <c r="U222" i="52"/>
  <c r="X222" i="52"/>
  <c r="G222" i="52"/>
  <c r="AA222" i="52"/>
  <c r="AH222" i="52"/>
  <c r="F222" i="52"/>
  <c r="T222" i="52"/>
  <c r="M222" i="52"/>
  <c r="P222" i="52"/>
  <c r="K20" i="51" a="1"/>
  <c r="K20" i="51" s="1"/>
  <c r="Q222" i="52"/>
  <c r="Q7" i="52" s="1" a="1"/>
  <c r="Q7" i="52" s="1"/>
  <c r="J20" i="51" s="1"/>
  <c r="AF222" i="52"/>
  <c r="AI395" i="52"/>
  <c r="AE395" i="52"/>
  <c r="J395" i="52"/>
  <c r="T395" i="52"/>
  <c r="R395" i="52"/>
  <c r="U395" i="52"/>
  <c r="Y395" i="52"/>
  <c r="AF395" i="52"/>
  <c r="P395" i="52"/>
  <c r="Z395" i="52"/>
  <c r="AG395" i="52"/>
  <c r="F395" i="52"/>
  <c r="V395" i="52"/>
  <c r="X395" i="52"/>
  <c r="E391" i="52"/>
  <c r="AH395" i="52"/>
  <c r="H395" i="52"/>
  <c r="O395" i="52"/>
  <c r="N395" i="52"/>
  <c r="K395" i="52"/>
  <c r="Q395" i="52"/>
  <c r="W395" i="52"/>
  <c r="AD395" i="52"/>
  <c r="M395" i="52"/>
  <c r="I395" i="52"/>
  <c r="AC395" i="52"/>
  <c r="G395" i="52"/>
  <c r="S395" i="52"/>
  <c r="AA395" i="52"/>
  <c r="AB395" i="52"/>
  <c r="L395" i="52"/>
  <c r="AD206" i="52"/>
  <c r="N206" i="52"/>
  <c r="Q206" i="52"/>
  <c r="K206" i="52"/>
  <c r="T206" i="52"/>
  <c r="AF206" i="52"/>
  <c r="J206" i="52"/>
  <c r="AB206" i="52"/>
  <c r="E201" i="52"/>
  <c r="AE206" i="52"/>
  <c r="L206" i="52"/>
  <c r="U206" i="52"/>
  <c r="AC206" i="52"/>
  <c r="AG206" i="52"/>
  <c r="G206" i="52"/>
  <c r="V206" i="52"/>
  <c r="O206" i="52"/>
  <c r="H206" i="52"/>
  <c r="AA206" i="52"/>
  <c r="S206" i="52"/>
  <c r="M206" i="52"/>
  <c r="F206" i="52"/>
  <c r="R206" i="52"/>
  <c r="Y206" i="52"/>
  <c r="P206" i="52"/>
  <c r="I206" i="52"/>
  <c r="Z206" i="52"/>
  <c r="X206" i="52"/>
  <c r="AH206" i="52"/>
  <c r="W206" i="52"/>
  <c r="AI206" i="52"/>
  <c r="E159" i="52"/>
  <c r="I164" i="52"/>
  <c r="AA164" i="52"/>
  <c r="S164" i="52"/>
  <c r="Q164" i="52"/>
  <c r="G164" i="52"/>
  <c r="L164" i="52"/>
  <c r="O164" i="52"/>
  <c r="AC164" i="52"/>
  <c r="AE164" i="52"/>
  <c r="V164" i="52"/>
  <c r="X164" i="52"/>
  <c r="AD164" i="52"/>
  <c r="N164" i="52"/>
  <c r="T164" i="52"/>
  <c r="AI164" i="52"/>
  <c r="Y164" i="52"/>
  <c r="Z164" i="52"/>
  <c r="J164" i="52"/>
  <c r="AB164" i="52"/>
  <c r="AG164" i="52"/>
  <c r="F164" i="52"/>
  <c r="H164" i="52"/>
  <c r="K164" i="52"/>
  <c r="R164" i="52"/>
  <c r="P164" i="52"/>
  <c r="W164" i="52"/>
  <c r="AF164" i="52"/>
  <c r="M164" i="52"/>
  <c r="U164" i="52"/>
  <c r="AH164" i="52"/>
  <c r="F366" i="52"/>
  <c r="K366" i="52"/>
  <c r="G366" i="52"/>
  <c r="W366" i="52"/>
  <c r="AF366" i="52"/>
  <c r="R366" i="52"/>
  <c r="M366" i="52"/>
  <c r="T366" i="52"/>
  <c r="AH366" i="52"/>
  <c r="H366" i="52"/>
  <c r="E361" i="52"/>
  <c r="P366" i="52"/>
  <c r="I366" i="52"/>
  <c r="AI366" i="52"/>
  <c r="N366" i="52"/>
  <c r="AA366" i="52"/>
  <c r="Q366" i="52"/>
  <c r="AB366" i="52"/>
  <c r="AE366" i="52"/>
  <c r="V366" i="52"/>
  <c r="AD366" i="52"/>
  <c r="Y366" i="52"/>
  <c r="L366" i="52"/>
  <c r="Z366" i="52"/>
  <c r="X366" i="52"/>
  <c r="AG366" i="52"/>
  <c r="AC366" i="52"/>
  <c r="J366" i="52"/>
  <c r="O366" i="52"/>
  <c r="U366" i="52"/>
  <c r="S366" i="52"/>
  <c r="K21" i="51" a="1"/>
  <c r="K21" i="51" s="1"/>
  <c r="O142" i="52"/>
  <c r="E139" i="52"/>
  <c r="Z142" i="52"/>
  <c r="AF142" i="52"/>
  <c r="H142" i="52"/>
  <c r="G142" i="52"/>
  <c r="P142" i="52"/>
  <c r="K142" i="52"/>
  <c r="V142" i="52"/>
  <c r="AA142" i="52"/>
  <c r="F142" i="52"/>
  <c r="AC142" i="52"/>
  <c r="AH142" i="52"/>
  <c r="K15" i="51" a="1"/>
  <c r="K15" i="51" s="1"/>
  <c r="S142" i="52"/>
  <c r="R142" i="52"/>
  <c r="R7" i="52" s="1" a="1"/>
  <c r="R7" i="52" s="1"/>
  <c r="J21" i="51" s="1"/>
  <c r="AI142" i="52"/>
  <c r="I142" i="52"/>
  <c r="J142" i="52"/>
  <c r="AD142" i="52"/>
  <c r="AB142" i="52"/>
  <c r="T142" i="52"/>
  <c r="AG142" i="52"/>
  <c r="Q142" i="52"/>
  <c r="L142" i="52"/>
  <c r="L7" i="52" s="1" a="1"/>
  <c r="L7" i="52" s="1"/>
  <c r="J15" i="51" s="1"/>
  <c r="M142" i="52"/>
  <c r="N142" i="52"/>
  <c r="Y142" i="52"/>
  <c r="W142" i="52"/>
  <c r="X142" i="52"/>
  <c r="AE142" i="52"/>
  <c r="U142" i="52"/>
  <c r="Z84" i="52"/>
  <c r="AF84" i="52"/>
  <c r="I84" i="52"/>
  <c r="AI84" i="52"/>
  <c r="AB84" i="52"/>
  <c r="P84" i="52"/>
  <c r="M84" i="52"/>
  <c r="K84" i="52"/>
  <c r="AG84" i="52"/>
  <c r="O84" i="52"/>
  <c r="H84" i="52"/>
  <c r="AA84" i="52"/>
  <c r="Y84" i="52"/>
  <c r="T84" i="52"/>
  <c r="E80" i="52"/>
  <c r="AD84" i="52"/>
  <c r="AH84" i="52"/>
  <c r="AC84" i="52"/>
  <c r="U84" i="52"/>
  <c r="W84" i="52"/>
  <c r="F84" i="52"/>
  <c r="Q84" i="52"/>
  <c r="S84" i="52"/>
  <c r="N84" i="52"/>
  <c r="J84" i="52"/>
  <c r="R84" i="52"/>
  <c r="X84" i="52"/>
  <c r="G84" i="52"/>
  <c r="V84" i="52"/>
  <c r="L84" i="52"/>
  <c r="AE84" i="52"/>
  <c r="AF156" i="52"/>
  <c r="U156" i="52"/>
  <c r="P156" i="52"/>
  <c r="AH156" i="52"/>
  <c r="V156" i="52"/>
  <c r="AE156" i="52"/>
  <c r="S156" i="52"/>
  <c r="AB156" i="52"/>
  <c r="X156" i="52"/>
  <c r="AI156" i="52"/>
  <c r="AG156" i="52"/>
  <c r="Y156" i="52"/>
  <c r="K156" i="52"/>
  <c r="J156" i="52"/>
  <c r="Q156" i="52"/>
  <c r="AA156" i="52"/>
  <c r="Z156" i="52"/>
  <c r="G156" i="52"/>
  <c r="AD156" i="52"/>
  <c r="O156" i="52"/>
  <c r="E151" i="52"/>
  <c r="T156" i="52"/>
  <c r="H156" i="52"/>
  <c r="F156" i="52"/>
  <c r="L156" i="52"/>
  <c r="N156" i="52"/>
  <c r="W156" i="52"/>
  <c r="I156" i="52"/>
  <c r="AC156" i="52"/>
  <c r="M156" i="52"/>
  <c r="R156" i="52"/>
  <c r="N148" i="52"/>
  <c r="F148" i="52"/>
  <c r="M148" i="52"/>
  <c r="S148" i="52"/>
  <c r="J148" i="52"/>
  <c r="AB148" i="52"/>
  <c r="I148" i="52"/>
  <c r="Z148" i="52"/>
  <c r="H148" i="52"/>
  <c r="R148" i="52"/>
  <c r="G148" i="52"/>
  <c r="U148" i="52"/>
  <c r="AG148" i="52"/>
  <c r="K148" i="52"/>
  <c r="V148" i="52"/>
  <c r="AF148" i="52"/>
  <c r="AC148" i="52"/>
  <c r="X148" i="52"/>
  <c r="AH148" i="52"/>
  <c r="Y148" i="52"/>
  <c r="E145" i="52"/>
  <c r="AE148" i="52"/>
  <c r="P148" i="52"/>
  <c r="T148" i="52"/>
  <c r="O148" i="52"/>
  <c r="AI148" i="52"/>
  <c r="L148" i="52"/>
  <c r="W148" i="52"/>
  <c r="Q148" i="52"/>
  <c r="AD148" i="52"/>
  <c r="AA148" i="52"/>
  <c r="G113" i="52"/>
  <c r="I113" i="52"/>
  <c r="H113" i="52"/>
  <c r="Q113" i="52"/>
  <c r="AH113" i="52"/>
  <c r="N113" i="52"/>
  <c r="F113" i="52"/>
  <c r="K14" i="51" a="1"/>
  <c r="K14" i="51" s="1"/>
  <c r="Y113" i="52"/>
  <c r="J113" i="52"/>
  <c r="W113" i="52"/>
  <c r="AB113" i="52"/>
  <c r="AE113" i="52"/>
  <c r="V113" i="52"/>
  <c r="AG113" i="52"/>
  <c r="E108" i="52"/>
  <c r="L113" i="52"/>
  <c r="K113" i="52"/>
  <c r="K12" i="51" a="1"/>
  <c r="K12" i="51" s="1"/>
  <c r="S113" i="52"/>
  <c r="S7" i="52" s="1" a="1"/>
  <c r="S7" i="52" s="1"/>
  <c r="J22" i="51" s="1"/>
  <c r="AA113" i="52"/>
  <c r="K22" i="51" a="1"/>
  <c r="K22" i="51" s="1"/>
  <c r="M113" i="52"/>
  <c r="AD113" i="52"/>
  <c r="U113" i="52"/>
  <c r="P113" i="52"/>
  <c r="AF113" i="52"/>
  <c r="AI113" i="52"/>
  <c r="O113" i="52"/>
  <c r="Z113" i="52"/>
  <c r="R113" i="52"/>
  <c r="X113" i="52"/>
  <c r="T113" i="52"/>
  <c r="AC113" i="52"/>
  <c r="T172" i="52"/>
  <c r="AC172" i="52"/>
  <c r="Z172" i="52"/>
  <c r="AA172" i="52"/>
  <c r="AE172" i="52"/>
  <c r="Q172" i="52"/>
  <c r="M172" i="52"/>
  <c r="AB172" i="52"/>
  <c r="N172" i="52"/>
  <c r="X172" i="52"/>
  <c r="E167" i="52"/>
  <c r="V172" i="52"/>
  <c r="P172" i="52"/>
  <c r="W172" i="52"/>
  <c r="AG172" i="52"/>
  <c r="AD172" i="52"/>
  <c r="L172" i="52"/>
  <c r="R172" i="52"/>
  <c r="S172" i="52"/>
  <c r="G172" i="52"/>
  <c r="AF172" i="52"/>
  <c r="K172" i="52"/>
  <c r="I172" i="52"/>
  <c r="J172" i="52"/>
  <c r="Y172" i="52"/>
  <c r="U172" i="52"/>
  <c r="AH172" i="52"/>
  <c r="F172" i="52"/>
  <c r="O172" i="52"/>
  <c r="AI172" i="52"/>
  <c r="H172" i="52"/>
  <c r="AB374" i="52"/>
  <c r="S374" i="52"/>
  <c r="V374" i="52"/>
  <c r="Y374" i="52"/>
  <c r="AI374" i="52"/>
  <c r="F374" i="52"/>
  <c r="P374" i="52"/>
  <c r="Q374" i="52"/>
  <c r="N374" i="52"/>
  <c r="T374" i="52"/>
  <c r="E369" i="52"/>
  <c r="AF374" i="52"/>
  <c r="W374" i="52"/>
  <c r="R374" i="52"/>
  <c r="H374" i="52"/>
  <c r="AG374" i="52"/>
  <c r="K374" i="52"/>
  <c r="AC374" i="52"/>
  <c r="G374" i="52"/>
  <c r="I374" i="52"/>
  <c r="AD374" i="52"/>
  <c r="AA374" i="52"/>
  <c r="Z374" i="52"/>
  <c r="L374" i="52"/>
  <c r="M374" i="52"/>
  <c r="AE374" i="52"/>
  <c r="X374" i="52"/>
  <c r="AH374" i="52"/>
  <c r="O374" i="52"/>
  <c r="J374" i="52"/>
  <c r="U374" i="52"/>
  <c r="L254" i="52"/>
  <c r="X254" i="52"/>
  <c r="V254" i="52"/>
  <c r="AI254" i="52"/>
  <c r="AE254" i="52"/>
  <c r="G254" i="52"/>
  <c r="Q254" i="52"/>
  <c r="P254" i="52"/>
  <c r="Z254" i="52"/>
  <c r="AH254" i="52"/>
  <c r="AC254" i="52"/>
  <c r="K254" i="52"/>
  <c r="AF254" i="52"/>
  <c r="AG254" i="52"/>
  <c r="T254" i="52"/>
  <c r="I254" i="52"/>
  <c r="N254" i="52"/>
  <c r="U254" i="52"/>
  <c r="M254" i="52"/>
  <c r="O254" i="52"/>
  <c r="AD254" i="52"/>
  <c r="R254" i="52"/>
  <c r="Y254" i="52"/>
  <c r="W254" i="52"/>
  <c r="S254" i="52"/>
  <c r="E249" i="52"/>
  <c r="AB254" i="52"/>
  <c r="AA254" i="52"/>
  <c r="J254" i="52"/>
  <c r="F254" i="52"/>
  <c r="H254" i="52"/>
  <c r="AH382" i="52"/>
  <c r="M382" i="52"/>
  <c r="H382" i="52"/>
  <c r="K382" i="52"/>
  <c r="AI382" i="52"/>
  <c r="AD382" i="52"/>
  <c r="Q382" i="52"/>
  <c r="S382" i="52"/>
  <c r="O382" i="52"/>
  <c r="P382" i="52"/>
  <c r="AA382" i="52"/>
  <c r="L382" i="52"/>
  <c r="X382" i="52"/>
  <c r="AF382" i="52"/>
  <c r="V382" i="52"/>
  <c r="U382" i="52"/>
  <c r="AC382" i="52"/>
  <c r="J382" i="52"/>
  <c r="T382" i="52"/>
  <c r="Y382" i="52"/>
  <c r="W382" i="52"/>
  <c r="F382" i="52"/>
  <c r="N382" i="52"/>
  <c r="Z382" i="52"/>
  <c r="R382" i="52"/>
  <c r="AG382" i="52"/>
  <c r="E377" i="52"/>
  <c r="G382" i="52"/>
  <c r="AB382" i="52"/>
  <c r="AE382" i="52"/>
  <c r="I382" i="52"/>
  <c r="S136" i="52"/>
  <c r="E131" i="52"/>
  <c r="O136" i="52"/>
  <c r="T136" i="52"/>
  <c r="L136" i="52"/>
  <c r="P136" i="52"/>
  <c r="R136" i="52"/>
  <c r="AG136" i="52"/>
  <c r="Y136" i="52"/>
  <c r="X136" i="52"/>
  <c r="K136" i="52"/>
  <c r="N136" i="52"/>
  <c r="Q136" i="52"/>
  <c r="AC136" i="52"/>
  <c r="Z136" i="52"/>
  <c r="I136" i="52"/>
  <c r="J136" i="52"/>
  <c r="AF136" i="52"/>
  <c r="V136" i="52"/>
  <c r="AE136" i="52"/>
  <c r="U136" i="52"/>
  <c r="F136" i="52"/>
  <c r="AB136" i="52"/>
  <c r="AH136" i="52"/>
  <c r="G136" i="52"/>
  <c r="W136" i="52"/>
  <c r="K9" i="51" a="1"/>
  <c r="K9" i="51" s="1"/>
  <c r="H136" i="52"/>
  <c r="AD136" i="52"/>
  <c r="K16" i="51" a="1"/>
  <c r="K16" i="51" s="1"/>
  <c r="K10" i="51" a="1"/>
  <c r="K10" i="51" s="1"/>
  <c r="AA136" i="52"/>
  <c r="AI136" i="52"/>
  <c r="M136" i="52"/>
  <c r="M7" i="52" s="1" a="1"/>
  <c r="M7" i="52" s="1"/>
  <c r="J16" i="51" s="1"/>
  <c r="E385" i="52"/>
  <c r="I388" i="52"/>
  <c r="L388" i="52"/>
  <c r="T388" i="52"/>
  <c r="J388" i="52"/>
  <c r="R388" i="52"/>
  <c r="K388" i="52"/>
  <c r="H388" i="52"/>
  <c r="AD388" i="52"/>
  <c r="AF388" i="52"/>
  <c r="U388" i="52"/>
  <c r="AI388" i="52"/>
  <c r="V388" i="52"/>
  <c r="F388" i="52"/>
  <c r="AA388" i="52"/>
  <c r="N388" i="52"/>
  <c r="S388" i="52"/>
  <c r="M388" i="52"/>
  <c r="AH388" i="52"/>
  <c r="Q388" i="52"/>
  <c r="AB388" i="52"/>
  <c r="W388" i="52"/>
  <c r="Y388" i="52"/>
  <c r="AE388" i="52"/>
  <c r="G388" i="52"/>
  <c r="O388" i="52"/>
  <c r="AC388" i="52"/>
  <c r="AG388" i="52"/>
  <c r="X388" i="52"/>
  <c r="Z388" i="52"/>
  <c r="P388" i="52"/>
  <c r="X350" i="52"/>
  <c r="H350" i="52"/>
  <c r="V350" i="52"/>
  <c r="AI350" i="52"/>
  <c r="J350" i="52"/>
  <c r="R350" i="52"/>
  <c r="P350" i="52"/>
  <c r="W350" i="52"/>
  <c r="AF350" i="52"/>
  <c r="Y350" i="52"/>
  <c r="L350" i="52"/>
  <c r="M350" i="52"/>
  <c r="S350" i="52"/>
  <c r="AC350" i="52"/>
  <c r="N350" i="52"/>
  <c r="Q350" i="52"/>
  <c r="AG350" i="52"/>
  <c r="T350" i="52"/>
  <c r="F350" i="52"/>
  <c r="AE350" i="52"/>
  <c r="K350" i="52"/>
  <c r="E345" i="52"/>
  <c r="AH350" i="52"/>
  <c r="O350" i="52"/>
  <c r="K13" i="51" a="1"/>
  <c r="K13" i="51" s="1"/>
  <c r="U350" i="52"/>
  <c r="G350" i="52"/>
  <c r="AB350" i="52"/>
  <c r="I350" i="52"/>
  <c r="Z350" i="52"/>
  <c r="AD350" i="52"/>
  <c r="AA350" i="52"/>
  <c r="AD358" i="52"/>
  <c r="AB358" i="52"/>
  <c r="M358" i="52"/>
  <c r="AG358" i="52"/>
  <c r="Q358" i="52"/>
  <c r="I358" i="52"/>
  <c r="Z358" i="52"/>
  <c r="Y358" i="52"/>
  <c r="S358" i="52"/>
  <c r="H358" i="52"/>
  <c r="P358" i="52"/>
  <c r="AA358" i="52"/>
  <c r="K358" i="52"/>
  <c r="U358" i="52"/>
  <c r="N358" i="52"/>
  <c r="AF358" i="52"/>
  <c r="G358" i="52"/>
  <c r="R358" i="52"/>
  <c r="AI358" i="52"/>
  <c r="V358" i="52"/>
  <c r="W358" i="52"/>
  <c r="AE358" i="52"/>
  <c r="E353" i="52"/>
  <c r="AC358" i="52"/>
  <c r="L358" i="52"/>
  <c r="J358" i="52"/>
  <c r="O358" i="52"/>
  <c r="F358" i="52"/>
  <c r="AH358" i="52"/>
  <c r="X358" i="52"/>
  <c r="T358" i="52"/>
  <c r="O214" i="52"/>
  <c r="F214" i="52"/>
  <c r="T214" i="52"/>
  <c r="L214" i="52"/>
  <c r="AB214" i="52"/>
  <c r="P214" i="52"/>
  <c r="V214" i="52"/>
  <c r="AA214" i="52"/>
  <c r="Y214" i="52"/>
  <c r="H214" i="52"/>
  <c r="AD214" i="52"/>
  <c r="I214" i="52"/>
  <c r="M214" i="52"/>
  <c r="AF214" i="52"/>
  <c r="S214" i="52"/>
  <c r="AE214" i="52"/>
  <c r="U214" i="52"/>
  <c r="E209" i="52"/>
  <c r="K214" i="52"/>
  <c r="X214" i="52"/>
  <c r="G214" i="52"/>
  <c r="AH214" i="52"/>
  <c r="N214" i="52"/>
  <c r="J214" i="52"/>
  <c r="Q214" i="52"/>
  <c r="W214" i="52"/>
  <c r="Z214" i="52"/>
  <c r="AC214" i="52"/>
  <c r="R214" i="52"/>
  <c r="AG214" i="52"/>
  <c r="AI214" i="52"/>
  <c r="U53" i="52"/>
  <c r="AE53" i="52"/>
  <c r="H53" i="52"/>
  <c r="Y53" i="52"/>
  <c r="F53" i="52"/>
  <c r="AF53" i="52"/>
  <c r="E49" i="52"/>
  <c r="I53" i="52"/>
  <c r="AB53" i="52"/>
  <c r="AC53" i="52"/>
  <c r="P53" i="52"/>
  <c r="O53" i="52"/>
  <c r="L53" i="52"/>
  <c r="J53" i="52"/>
  <c r="R53" i="52"/>
  <c r="M53" i="52"/>
  <c r="X53" i="52"/>
  <c r="S53" i="52"/>
  <c r="AD53" i="52"/>
  <c r="G53" i="52"/>
  <c r="AI53" i="52"/>
  <c r="V53" i="52"/>
  <c r="W53" i="52"/>
  <c r="Q53" i="52"/>
  <c r="AG53" i="52"/>
  <c r="AA53" i="52"/>
  <c r="T53" i="52"/>
  <c r="N53" i="52"/>
  <c r="AH53" i="52"/>
  <c r="K53" i="52"/>
  <c r="Z53" i="52"/>
  <c r="H38" i="52"/>
  <c r="R38" i="52"/>
  <c r="J38" i="52"/>
  <c r="AA38" i="52"/>
  <c r="M38" i="52"/>
  <c r="Q38" i="52"/>
  <c r="AG38" i="52"/>
  <c r="W38" i="52"/>
  <c r="AB38" i="52"/>
  <c r="X38" i="52"/>
  <c r="AE38" i="52"/>
  <c r="L38" i="52"/>
  <c r="O38" i="52"/>
  <c r="U38" i="52"/>
  <c r="P38" i="52"/>
  <c r="G38" i="52"/>
  <c r="AF38" i="52"/>
  <c r="E33" i="52"/>
  <c r="F38" i="52"/>
  <c r="S38" i="52"/>
  <c r="I38" i="52"/>
  <c r="AI38" i="52"/>
  <c r="AC38" i="52"/>
  <c r="Y38" i="52"/>
  <c r="N38" i="52"/>
  <c r="T38" i="52"/>
  <c r="K38" i="52"/>
  <c r="AH38" i="52"/>
  <c r="Z38" i="52"/>
  <c r="AD38" i="52"/>
  <c r="V38" i="52"/>
  <c r="N95" i="52"/>
  <c r="X95" i="52"/>
  <c r="AD95" i="52"/>
  <c r="AI95" i="52"/>
  <c r="M95" i="52"/>
  <c r="I95" i="52"/>
  <c r="AH95" i="52"/>
  <c r="F95" i="52"/>
  <c r="AG95" i="52"/>
  <c r="H95" i="52"/>
  <c r="AC95" i="52"/>
  <c r="Q95" i="52"/>
  <c r="AF95" i="52"/>
  <c r="R95" i="52"/>
  <c r="L95" i="52"/>
  <c r="U95" i="52"/>
  <c r="Y95" i="52"/>
  <c r="K95" i="52"/>
  <c r="E87" i="52"/>
  <c r="AE95" i="52"/>
  <c r="W95" i="52"/>
  <c r="P95" i="52"/>
  <c r="Z95" i="52"/>
  <c r="O95" i="52"/>
  <c r="J95" i="52"/>
  <c r="T95" i="52"/>
  <c r="AA95" i="52"/>
  <c r="AB95" i="52"/>
  <c r="S95" i="52"/>
  <c r="V95" i="52"/>
  <c r="G95" i="52"/>
  <c r="AE77" i="52"/>
  <c r="Z77" i="52"/>
  <c r="E74" i="52"/>
  <c r="AD77" i="52"/>
  <c r="X77" i="52"/>
  <c r="V77" i="52"/>
  <c r="J77" i="52"/>
  <c r="K77" i="52"/>
  <c r="S77" i="52"/>
  <c r="AF77" i="52"/>
  <c r="H77" i="52"/>
  <c r="R77" i="52"/>
  <c r="U77" i="52"/>
  <c r="P77" i="52"/>
  <c r="AI77" i="52"/>
  <c r="Y77" i="52"/>
  <c r="AA77" i="52"/>
  <c r="T77" i="52"/>
  <c r="G77" i="52"/>
  <c r="AC77" i="52"/>
  <c r="I77" i="52"/>
  <c r="Q77" i="52"/>
  <c r="L77" i="52"/>
  <c r="AH77" i="52"/>
  <c r="AB77" i="52"/>
  <c r="O77" i="52"/>
  <c r="W77" i="52"/>
  <c r="N77" i="52"/>
  <c r="F77" i="52"/>
  <c r="AG77" i="52"/>
  <c r="M77" i="52"/>
  <c r="I60" i="52"/>
  <c r="AE60" i="52"/>
  <c r="V60" i="52"/>
  <c r="AD60" i="52"/>
  <c r="AF60" i="52"/>
  <c r="S60" i="52"/>
  <c r="Q60" i="52"/>
  <c r="P60" i="52"/>
  <c r="Z60" i="52"/>
  <c r="G60" i="52"/>
  <c r="L60" i="52"/>
  <c r="J60" i="52"/>
  <c r="O60" i="52"/>
  <c r="AA60" i="52"/>
  <c r="K60" i="52"/>
  <c r="AI60" i="52"/>
  <c r="AH60" i="52"/>
  <c r="W60" i="52"/>
  <c r="N60" i="52"/>
  <c r="T60" i="52"/>
  <c r="E56" i="52"/>
  <c r="Y60" i="52"/>
  <c r="U60" i="52"/>
  <c r="AG60" i="52"/>
  <c r="H60" i="52"/>
  <c r="X60" i="52"/>
  <c r="F60" i="52"/>
  <c r="M60" i="52"/>
  <c r="R60" i="52"/>
  <c r="AB60" i="52"/>
  <c r="AC60" i="52"/>
  <c r="G46" i="52"/>
  <c r="AG46" i="52"/>
  <c r="U46" i="52"/>
  <c r="AE46" i="52"/>
  <c r="AH46" i="52"/>
  <c r="F46" i="52"/>
  <c r="H46" i="52"/>
  <c r="L46" i="52"/>
  <c r="AB46" i="52"/>
  <c r="R46" i="52"/>
  <c r="N46" i="52"/>
  <c r="M46" i="52"/>
  <c r="Y46" i="52"/>
  <c r="T46" i="52"/>
  <c r="AD46" i="52"/>
  <c r="O46" i="52"/>
  <c r="S46" i="52"/>
  <c r="X46" i="52"/>
  <c r="E41" i="52"/>
  <c r="AC46" i="52"/>
  <c r="J46" i="52"/>
  <c r="V46" i="52"/>
  <c r="W46" i="52"/>
  <c r="Z46" i="52"/>
  <c r="P46" i="52"/>
  <c r="AI46" i="52"/>
  <c r="AF46" i="52"/>
  <c r="Q46" i="52"/>
  <c r="K46" i="52"/>
  <c r="I46" i="52"/>
  <c r="AA46" i="52"/>
  <c r="AI105" i="52"/>
  <c r="P105" i="52"/>
  <c r="P7" i="52" s="1" a="1"/>
  <c r="P7" i="52" s="1"/>
  <c r="J19" i="51" s="1"/>
  <c r="Z105" i="52"/>
  <c r="Y105" i="52"/>
  <c r="G105" i="52"/>
  <c r="O105" i="52"/>
  <c r="T105" i="52"/>
  <c r="H105" i="52"/>
  <c r="K19" i="51" a="1"/>
  <c r="K19" i="51" s="1"/>
  <c r="L105" i="52"/>
  <c r="AE105" i="52"/>
  <c r="U105" i="52"/>
  <c r="W105" i="52"/>
  <c r="K105" i="52"/>
  <c r="S105" i="52"/>
  <c r="R105" i="52"/>
  <c r="AH105" i="52"/>
  <c r="AB105" i="52"/>
  <c r="AA105" i="52"/>
  <c r="F105" i="52"/>
  <c r="N105" i="52"/>
  <c r="I105" i="52"/>
  <c r="AC105" i="52"/>
  <c r="M105" i="52"/>
  <c r="X105" i="52"/>
  <c r="AF105" i="52"/>
  <c r="AD105" i="52"/>
  <c r="J105" i="52"/>
  <c r="V105" i="52"/>
  <c r="Q105" i="52"/>
  <c r="AG105" i="52"/>
  <c r="E98" i="52"/>
  <c r="M19" i="51" s="1" a="1"/>
  <c r="M19" i="51" s="1"/>
  <c r="L262" i="52"/>
  <c r="O262" i="52"/>
  <c r="Y262" i="52"/>
  <c r="AC262" i="52"/>
  <c r="AI262" i="52"/>
  <c r="U262" i="52"/>
  <c r="N262" i="52"/>
  <c r="Z262" i="52"/>
  <c r="AG262" i="52"/>
  <c r="G262" i="52"/>
  <c r="P262" i="52"/>
  <c r="H262" i="52"/>
  <c r="AB262" i="52"/>
  <c r="J262" i="52"/>
  <c r="AH262" i="52"/>
  <c r="AF262" i="52"/>
  <c r="AD262" i="52"/>
  <c r="E257" i="52"/>
  <c r="T262" i="52"/>
  <c r="Q262" i="52"/>
  <c r="AA262" i="52"/>
  <c r="I262" i="52"/>
  <c r="F262" i="52"/>
  <c r="V262" i="52"/>
  <c r="K262" i="52"/>
  <c r="X262" i="52"/>
  <c r="R262" i="52"/>
  <c r="M262" i="52"/>
  <c r="S262" i="52"/>
  <c r="AE262" i="52"/>
  <c r="W262" i="52"/>
  <c r="E273" i="52"/>
  <c r="X278" i="52"/>
  <c r="Y278" i="52"/>
  <c r="R278" i="52"/>
  <c r="AH278" i="52"/>
  <c r="Q278" i="52"/>
  <c r="L278" i="52"/>
  <c r="AG278" i="52"/>
  <c r="F278" i="52"/>
  <c r="M278" i="52"/>
  <c r="AE278" i="52"/>
  <c r="G278" i="52"/>
  <c r="H278" i="52"/>
  <c r="U278" i="52"/>
  <c r="W278" i="52"/>
  <c r="AI278" i="52"/>
  <c r="AC278" i="52"/>
  <c r="S278" i="52"/>
  <c r="O278" i="52"/>
  <c r="AA278" i="52"/>
  <c r="AD278" i="52"/>
  <c r="J278" i="52"/>
  <c r="T278" i="52"/>
  <c r="Z278" i="52"/>
  <c r="K278" i="52"/>
  <c r="I278" i="52"/>
  <c r="V278" i="52"/>
  <c r="AF278" i="52"/>
  <c r="AB278" i="52"/>
  <c r="P278" i="52"/>
  <c r="N278" i="52"/>
  <c r="U30" i="52"/>
  <c r="P30" i="52"/>
  <c r="N30" i="52"/>
  <c r="J30" i="52"/>
  <c r="S30" i="52"/>
  <c r="AC30" i="52"/>
  <c r="Q30" i="52"/>
  <c r="G30" i="52"/>
  <c r="AA30" i="52"/>
  <c r="W30" i="52"/>
  <c r="T30" i="52"/>
  <c r="AI30" i="52"/>
  <c r="AE30" i="52"/>
  <c r="L30" i="52"/>
  <c r="Y30" i="52"/>
  <c r="O30" i="52"/>
  <c r="X30" i="52"/>
  <c r="AF30" i="52"/>
  <c r="AH30" i="52"/>
  <c r="H30" i="52"/>
  <c r="I30" i="52"/>
  <c r="F30" i="52"/>
  <c r="K30" i="52"/>
  <c r="AG30" i="52"/>
  <c r="M30" i="52"/>
  <c r="AD30" i="52"/>
  <c r="AB30" i="52"/>
  <c r="Z30" i="52"/>
  <c r="R30" i="52"/>
  <c r="V30" i="52"/>
  <c r="E26" i="52"/>
  <c r="AG23" i="52"/>
  <c r="W23" i="52"/>
  <c r="AB23" i="52"/>
  <c r="AC23" i="52"/>
  <c r="AH23" i="52"/>
  <c r="E19" i="52"/>
  <c r="AE23" i="52"/>
  <c r="T23" i="52"/>
  <c r="X23" i="52"/>
  <c r="S23" i="52"/>
  <c r="V23" i="52"/>
  <c r="AI23" i="52"/>
  <c r="F23" i="52"/>
  <c r="Z23" i="52"/>
  <c r="K23" i="52"/>
  <c r="AF23" i="52"/>
  <c r="AA23" i="52"/>
  <c r="P23" i="52"/>
  <c r="O23" i="52"/>
  <c r="H23" i="52"/>
  <c r="Y23" i="52"/>
  <c r="I23" i="52"/>
  <c r="M23" i="52"/>
  <c r="Q23" i="52"/>
  <c r="N23" i="52"/>
  <c r="AD23" i="52"/>
  <c r="J23" i="52"/>
  <c r="U23" i="52"/>
  <c r="R23" i="52"/>
  <c r="G23" i="52"/>
  <c r="L23" i="52"/>
  <c r="AB128" i="52"/>
  <c r="Y128" i="52"/>
  <c r="K128" i="52"/>
  <c r="J128" i="52"/>
  <c r="AI128" i="52"/>
  <c r="T128" i="52"/>
  <c r="W128" i="52"/>
  <c r="G128" i="52"/>
  <c r="E123" i="52"/>
  <c r="K18" i="51" a="1"/>
  <c r="K18" i="51" s="1"/>
  <c r="H128" i="52"/>
  <c r="I128" i="52"/>
  <c r="AH128" i="52"/>
  <c r="O128" i="52"/>
  <c r="O7" i="52" s="1" a="1"/>
  <c r="O7" i="52" s="1"/>
  <c r="J18" i="51" s="1"/>
  <c r="K17" i="51" a="1"/>
  <c r="K17" i="51" s="1"/>
  <c r="AE128" i="52"/>
  <c r="Q128" i="52"/>
  <c r="K24" i="51" a="1"/>
  <c r="K24" i="51" s="1"/>
  <c r="Z128" i="52"/>
  <c r="S128" i="52"/>
  <c r="L128" i="52"/>
  <c r="AA128" i="52"/>
  <c r="R128" i="52"/>
  <c r="AG128" i="52"/>
  <c r="AC128" i="52"/>
  <c r="AF128" i="52"/>
  <c r="P128" i="52"/>
  <c r="U128" i="52"/>
  <c r="U7" i="52" s="1" a="1"/>
  <c r="U7" i="52" s="1"/>
  <c r="J24" i="51" s="1"/>
  <c r="V128" i="52"/>
  <c r="N128" i="52"/>
  <c r="N7" i="52" s="1" a="1"/>
  <c r="N7" i="52" s="1"/>
  <c r="J17" i="51" s="1"/>
  <c r="AD128" i="52"/>
  <c r="F128" i="52"/>
  <c r="M128" i="52"/>
  <c r="X128" i="52"/>
  <c r="Z71" i="52"/>
  <c r="W71" i="52"/>
  <c r="M71" i="52"/>
  <c r="AE71" i="52"/>
  <c r="I71" i="52"/>
  <c r="X71" i="52"/>
  <c r="G71" i="52"/>
  <c r="J71" i="52"/>
  <c r="Y71" i="52"/>
  <c r="AI71" i="52"/>
  <c r="AD71" i="52"/>
  <c r="S71" i="52"/>
  <c r="V71" i="52"/>
  <c r="T71" i="52"/>
  <c r="E63" i="52"/>
  <c r="AG71" i="52"/>
  <c r="R71" i="52"/>
  <c r="K71" i="52"/>
  <c r="AF71" i="52"/>
  <c r="AA71" i="52"/>
  <c r="N71" i="52"/>
  <c r="AC71" i="52"/>
  <c r="O71" i="52"/>
  <c r="L71" i="52"/>
  <c r="AB71" i="52"/>
  <c r="U71" i="52"/>
  <c r="Q71" i="52"/>
  <c r="P71" i="52"/>
  <c r="H71" i="52"/>
  <c r="F71" i="52"/>
  <c r="AH71" i="52"/>
  <c r="E22" i="14"/>
  <c r="P65" i="14"/>
  <c r="O65" i="14"/>
  <c r="N65" i="14"/>
  <c r="I65" i="14"/>
  <c r="L22" i="14"/>
  <c r="O22" i="14"/>
  <c r="N22" i="14"/>
  <c r="K22" i="14"/>
  <c r="E65" i="14"/>
  <c r="F65" i="14"/>
  <c r="H65" i="14"/>
  <c r="G65" i="14"/>
  <c r="D22" i="14"/>
  <c r="I22" i="14"/>
  <c r="M65" i="14"/>
  <c r="H22" i="14"/>
  <c r="G22" i="14"/>
  <c r="F22" i="14"/>
  <c r="J22" i="14"/>
  <c r="M22" i="14"/>
  <c r="L65" i="14"/>
  <c r="K65" i="14"/>
  <c r="J65" i="14"/>
  <c r="D65" i="14"/>
  <c r="M13" i="51" l="1" a="1"/>
  <c r="M13" i="51" s="1"/>
  <c r="J7" i="52" a="1"/>
  <c r="J7" i="52" s="1"/>
  <c r="J13" i="51" s="1"/>
  <c r="I13" i="51" s="1"/>
  <c r="X13" i="51" s="1"/>
  <c r="K7" i="52" a="1"/>
  <c r="K7" i="52" s="1"/>
  <c r="J14" i="51" s="1"/>
  <c r="I14" i="51" s="1"/>
  <c r="X14" i="51" s="1"/>
  <c r="H7" i="52" a="1"/>
  <c r="H7" i="52" s="1"/>
  <c r="J11" i="51" s="1"/>
  <c r="I11" i="51" s="1"/>
  <c r="X11" i="51" s="1"/>
  <c r="G7" i="52" a="1"/>
  <c r="G7" i="52" s="1"/>
  <c r="J10" i="51" s="1"/>
  <c r="I10" i="51" s="1"/>
  <c r="X10" i="51" s="1"/>
  <c r="I7" i="52" a="1"/>
  <c r="I7" i="52" s="1"/>
  <c r="J12" i="51" s="1"/>
  <c r="I12" i="51" s="1"/>
  <c r="X12" i="51" s="1"/>
  <c r="F7" i="52" a="1"/>
  <c r="F7" i="52" s="1"/>
  <c r="J9" i="51" s="1"/>
  <c r="I9" i="51" s="1"/>
  <c r="X9" i="51" s="1"/>
  <c r="I18" i="51"/>
  <c r="X18" i="51" s="1"/>
  <c r="I24" i="51"/>
  <c r="X24" i="51" s="1"/>
  <c r="I17" i="51"/>
  <c r="X17" i="51" s="1"/>
  <c r="I21" i="51"/>
  <c r="X21" i="51" s="1"/>
  <c r="I19" i="51"/>
  <c r="X19" i="51" s="1"/>
  <c r="I20" i="51"/>
  <c r="X20" i="51" s="1"/>
  <c r="I22" i="51"/>
  <c r="X22" i="51" s="1"/>
  <c r="M21" i="51" a="1"/>
  <c r="M21" i="51" s="1"/>
  <c r="M15" i="51" a="1"/>
  <c r="M15" i="51" s="1"/>
  <c r="M20" i="51" a="1"/>
  <c r="M20" i="51" s="1"/>
  <c r="M11" i="51" a="1"/>
  <c r="M11" i="51" s="1"/>
  <c r="I16" i="51"/>
  <c r="X16" i="51" s="1"/>
  <c r="M16" i="51" a="1"/>
  <c r="M16" i="51" s="1"/>
  <c r="M9" i="51" a="1"/>
  <c r="M9" i="51" s="1"/>
  <c r="M10" i="51" a="1"/>
  <c r="M10" i="51" s="1"/>
  <c r="M12" i="51" a="1"/>
  <c r="M12" i="51" s="1"/>
  <c r="M14" i="51" a="1"/>
  <c r="M14" i="51" s="1"/>
  <c r="M22" i="51" a="1"/>
  <c r="M22" i="51" s="1"/>
  <c r="I15" i="51"/>
  <c r="X15" i="51" s="1"/>
  <c r="M17" i="51" a="1"/>
  <c r="M17" i="51" s="1"/>
  <c r="M18" i="51" a="1"/>
  <c r="M18" i="51" s="1"/>
  <c r="M24" i="51" a="1"/>
  <c r="M24" i="51" s="1"/>
  <c r="N60" i="14"/>
  <c r="O60" i="14"/>
  <c r="P60" i="14"/>
  <c r="E17" i="14"/>
  <c r="I17" i="14"/>
  <c r="M17" i="14"/>
  <c r="G60" i="14"/>
  <c r="K60" i="14"/>
  <c r="F17" i="14"/>
  <c r="J17" i="14"/>
  <c r="N17" i="14"/>
  <c r="H60" i="14"/>
  <c r="L60" i="14"/>
  <c r="G17" i="14"/>
  <c r="K17" i="14"/>
  <c r="O17" i="14"/>
  <c r="E60" i="14"/>
  <c r="I60" i="14"/>
  <c r="M60" i="14"/>
  <c r="H17" i="14"/>
  <c r="L17" i="14"/>
  <c r="D17" i="14"/>
  <c r="F60" i="14"/>
  <c r="J60" i="14"/>
  <c r="D60" i="14"/>
  <c r="K16" i="14"/>
  <c r="L16" i="14"/>
  <c r="M16" i="14"/>
  <c r="N16" i="14"/>
  <c r="O16" i="14"/>
  <c r="H13" i="10" l="1"/>
  <c r="I59" i="14" s="1"/>
  <c r="H21" i="10"/>
  <c r="H8" i="10"/>
  <c r="D59" i="14" s="1"/>
  <c r="H14" i="10"/>
  <c r="J59" i="14" s="1"/>
  <c r="H22" i="10"/>
  <c r="H15" i="10"/>
  <c r="K59" i="14" s="1"/>
  <c r="H23" i="10"/>
  <c r="H12" i="10"/>
  <c r="H59" i="14" s="1"/>
  <c r="H16" i="10"/>
  <c r="L59" i="14" s="1"/>
  <c r="H24" i="10"/>
  <c r="H26" i="10"/>
  <c r="H9" i="10"/>
  <c r="E59" i="14" s="1"/>
  <c r="H17" i="10"/>
  <c r="M59" i="14" s="1"/>
  <c r="H25" i="10"/>
  <c r="H10" i="10"/>
  <c r="F59" i="14" s="1"/>
  <c r="H18" i="10"/>
  <c r="H20" i="10"/>
  <c r="H11" i="10"/>
  <c r="G59" i="14" s="1"/>
  <c r="H19" i="10"/>
  <c r="H27" i="10"/>
  <c r="H28" i="10"/>
  <c r="F7" i="51"/>
  <c r="O21" i="14"/>
  <c r="H64" i="14"/>
  <c r="J64" i="14"/>
  <c r="L21" i="14"/>
  <c r="G21" i="14"/>
  <c r="M21" i="14"/>
  <c r="N21" i="14"/>
  <c r="M15" i="14"/>
  <c r="L15" i="14"/>
  <c r="F21" i="14"/>
  <c r="M64" i="14"/>
  <c r="I64" i="14"/>
  <c r="E64" i="14"/>
  <c r="D64" i="14"/>
  <c r="J21" i="14"/>
  <c r="L64" i="14"/>
  <c r="N15" i="14"/>
  <c r="G64" i="14"/>
  <c r="I21" i="14"/>
  <c r="F64" i="14"/>
  <c r="O15" i="14"/>
  <c r="H21" i="14"/>
  <c r="K15" i="14"/>
  <c r="E21" i="14"/>
  <c r="K21" i="14"/>
  <c r="K64" i="14"/>
  <c r="O59" i="14" l="1"/>
  <c r="F83" i="14"/>
  <c r="F16" i="14"/>
  <c r="F48" i="14"/>
  <c r="P59" i="14"/>
  <c r="G16" i="14"/>
  <c r="G83" i="14"/>
  <c r="G48" i="14"/>
  <c r="N59" i="14"/>
  <c r="E83" i="14"/>
  <c r="E48" i="14"/>
  <c r="E16" i="14"/>
  <c r="P86" i="14"/>
  <c r="P87" i="14" s="1"/>
  <c r="O86" i="14"/>
  <c r="N86" i="14"/>
  <c r="O62" i="14"/>
  <c r="O80" i="14" s="1"/>
  <c r="N62" i="14"/>
  <c r="N80" i="14" s="1"/>
  <c r="P62" i="14"/>
  <c r="P80" i="14" s="1"/>
  <c r="O67" i="14"/>
  <c r="O81" i="14" s="1"/>
  <c r="N67" i="14"/>
  <c r="N81" i="14" s="1"/>
  <c r="P67" i="14"/>
  <c r="P81" i="14" s="1"/>
  <c r="O30" i="14"/>
  <c r="N30" i="14"/>
  <c r="L30" i="14"/>
  <c r="M30" i="14"/>
  <c r="F30" i="14"/>
  <c r="O5" i="36" s="1"/>
  <c r="I30" i="14"/>
  <c r="K30" i="14"/>
  <c r="J30" i="14"/>
  <c r="BC5" i="36" s="1"/>
  <c r="E30" i="14"/>
  <c r="G30" i="14"/>
  <c r="H30" i="14"/>
  <c r="AI5" i="36" s="1"/>
  <c r="H48" i="14"/>
  <c r="H83" i="14"/>
  <c r="H16" i="14"/>
  <c r="H9" i="36" l="1"/>
  <c r="P88" i="14"/>
  <c r="P82" i="14"/>
  <c r="N82" i="14"/>
  <c r="F9" i="36"/>
  <c r="J9" i="36"/>
  <c r="I9" i="36"/>
  <c r="AS5" i="36"/>
  <c r="K9" i="36"/>
  <c r="O82" i="14"/>
  <c r="G9" i="36"/>
  <c r="Y5" i="36"/>
  <c r="N88" i="14"/>
  <c r="N87" i="14"/>
  <c r="O87" i="14"/>
  <c r="O88" i="14"/>
  <c r="I83" i="14"/>
  <c r="I48" i="14"/>
  <c r="I16" i="14"/>
  <c r="N8" i="24" l="1"/>
  <c r="X22" i="24"/>
  <c r="N29" i="24"/>
  <c r="B1" i="42"/>
  <c r="A4" i="42" s="1"/>
  <c r="J83" i="14"/>
  <c r="J48" i="14"/>
  <c r="K48" i="14" s="1"/>
  <c r="L48" i="14" s="1"/>
  <c r="M48" i="14" s="1"/>
  <c r="N48" i="14" s="1"/>
  <c r="O48" i="14" s="1"/>
  <c r="J16" i="14"/>
  <c r="N21" i="24"/>
  <c r="O19" i="24" l="1"/>
  <c r="X26" i="24"/>
  <c r="X17" i="24" a="1"/>
  <c r="X17" i="24" s="1"/>
  <c r="W25" i="24" s="1"/>
  <c r="X24" i="24"/>
  <c r="X27" i="24"/>
  <c r="W27" i="24" s="1"/>
  <c r="O26" i="24"/>
  <c r="O27" i="24" s="1"/>
  <c r="N19" i="24"/>
  <c r="A5" i="42"/>
  <c r="B4" i="42"/>
  <c r="E4" i="42"/>
  <c r="Q30" i="24" l="1"/>
  <c r="P22" i="24"/>
  <c r="P33" i="24" s="1"/>
  <c r="W26" i="24"/>
  <c r="X25" i="24"/>
  <c r="N26" i="24"/>
  <c r="X23" i="24" s="1"/>
  <c r="N22" i="24"/>
  <c r="O28" i="24"/>
  <c r="O22" i="24"/>
  <c r="D4" i="42"/>
  <c r="C4" i="42"/>
  <c r="E5" i="42"/>
  <c r="B5" i="42"/>
  <c r="A6" i="42"/>
  <c r="S23" i="24" l="1"/>
  <c r="S24" i="24" s="1"/>
  <c r="S26" i="24" s="1"/>
  <c r="F4" i="42"/>
  <c r="E6" i="42"/>
  <c r="A7" i="42"/>
  <c r="B6" i="42"/>
  <c r="D5" i="42"/>
  <c r="C5" i="42"/>
  <c r="F5" i="42" l="1"/>
  <c r="D6" i="42"/>
  <c r="C6" i="42"/>
  <c r="E7" i="42"/>
  <c r="B7" i="42"/>
  <c r="A8" i="42"/>
  <c r="F3" i="4" l="1"/>
  <c r="G3" i="1" s="1"/>
  <c r="I3" i="1" s="1"/>
  <c r="F6" i="42"/>
  <c r="D7" i="42"/>
  <c r="C7" i="42"/>
  <c r="E8" i="42"/>
  <c r="B8" i="42"/>
  <c r="A9" i="42"/>
  <c r="H3" i="4" l="1"/>
  <c r="G3" i="4"/>
  <c r="F7" i="42"/>
  <c r="D8" i="42"/>
  <c r="C8" i="42"/>
  <c r="E9" i="42"/>
  <c r="A10" i="42"/>
  <c r="B9" i="42"/>
  <c r="F4" i="28"/>
  <c r="G4" i="28" s="1"/>
  <c r="B3" i="28"/>
  <c r="I3" i="4" l="1"/>
  <c r="I4" i="28"/>
  <c r="F8" i="42"/>
  <c r="E10" i="42"/>
  <c r="A11" i="42"/>
  <c r="B10" i="42"/>
  <c r="D9" i="42"/>
  <c r="C9" i="42"/>
  <c r="F3" i="28"/>
  <c r="H4" i="28"/>
  <c r="F242" i="28" l="1"/>
  <c r="G242" i="28" s="1"/>
  <c r="F226" i="28"/>
  <c r="G226" i="28" s="1"/>
  <c r="F207" i="28"/>
  <c r="G207" i="28" s="1"/>
  <c r="F185" i="28"/>
  <c r="G185" i="28" s="1"/>
  <c r="F164" i="28"/>
  <c r="G164" i="28" s="1"/>
  <c r="F233" i="28"/>
  <c r="G233" i="28" s="1"/>
  <c r="F216" i="28"/>
  <c r="G216" i="28" s="1"/>
  <c r="F195" i="28"/>
  <c r="G195" i="28" s="1"/>
  <c r="F173" i="28"/>
  <c r="G173" i="28" s="1"/>
  <c r="F236" i="28"/>
  <c r="G236" i="28" s="1"/>
  <c r="F220" i="28"/>
  <c r="G220" i="28" s="1"/>
  <c r="F199" i="28"/>
  <c r="G199" i="28" s="1"/>
  <c r="F177" i="28"/>
  <c r="G177" i="28" s="1"/>
  <c r="F239" i="28"/>
  <c r="G239" i="28" s="1"/>
  <c r="F223" i="28"/>
  <c r="G223" i="28" s="1"/>
  <c r="F203" i="28"/>
  <c r="G203" i="28" s="1"/>
  <c r="F181" i="28"/>
  <c r="G181" i="28" s="1"/>
  <c r="F214" i="28"/>
  <c r="G214" i="28" s="1"/>
  <c r="F198" i="28"/>
  <c r="G198" i="28" s="1"/>
  <c r="F182" i="28"/>
  <c r="G182" i="28" s="1"/>
  <c r="F166" i="28"/>
  <c r="G166" i="28" s="1"/>
  <c r="F65" i="28"/>
  <c r="G65" i="28" s="1"/>
  <c r="F238" i="28"/>
  <c r="G238" i="28" s="1"/>
  <c r="F222" i="28"/>
  <c r="G222" i="28" s="1"/>
  <c r="F201" i="28"/>
  <c r="G201" i="28" s="1"/>
  <c r="F180" i="28"/>
  <c r="G180" i="28" s="1"/>
  <c r="F5" i="28"/>
  <c r="G5" i="28" s="1"/>
  <c r="F229" i="28"/>
  <c r="G229" i="28" s="1"/>
  <c r="F211" i="28"/>
  <c r="G211" i="28" s="1"/>
  <c r="F189" i="28"/>
  <c r="G189" i="28" s="1"/>
  <c r="F168" i="28"/>
  <c r="G168" i="28" s="1"/>
  <c r="F141" i="28"/>
  <c r="G141" i="28" s="1"/>
  <c r="F232" i="28"/>
  <c r="G232" i="28" s="1"/>
  <c r="F215" i="28"/>
  <c r="G215" i="28" s="1"/>
  <c r="F193" i="28"/>
  <c r="G193" i="28" s="1"/>
  <c r="F172" i="28"/>
  <c r="G172" i="28" s="1"/>
  <c r="F235" i="28"/>
  <c r="G235" i="28" s="1"/>
  <c r="F219" i="28"/>
  <c r="G219" i="28" s="1"/>
  <c r="F197" i="28"/>
  <c r="G197" i="28" s="1"/>
  <c r="F176" i="28"/>
  <c r="G176" i="28" s="1"/>
  <c r="F12" i="28"/>
  <c r="G12" i="28" s="1"/>
  <c r="F210" i="28"/>
  <c r="G210" i="28" s="1"/>
  <c r="F194" i="28"/>
  <c r="G194" i="28" s="1"/>
  <c r="F178" i="28"/>
  <c r="G178" i="28" s="1"/>
  <c r="F234" i="28"/>
  <c r="G234" i="28" s="1"/>
  <c r="F217" i="28"/>
  <c r="G217" i="28" s="1"/>
  <c r="F196" i="28"/>
  <c r="G196" i="28" s="1"/>
  <c r="F175" i="28"/>
  <c r="G175" i="28" s="1"/>
  <c r="F241" i="28"/>
  <c r="G241" i="28" s="1"/>
  <c r="F225" i="28"/>
  <c r="G225" i="28" s="1"/>
  <c r="F205" i="28"/>
  <c r="G205" i="28" s="1"/>
  <c r="F184" i="28"/>
  <c r="G184" i="28" s="1"/>
  <c r="F163" i="28"/>
  <c r="G163" i="28" s="1"/>
  <c r="F228" i="28"/>
  <c r="G228" i="28" s="1"/>
  <c r="F209" i="28"/>
  <c r="G209" i="28" s="1"/>
  <c r="F188" i="28"/>
  <c r="G188" i="28" s="1"/>
  <c r="F167" i="28"/>
  <c r="G167" i="28" s="1"/>
  <c r="F231" i="28"/>
  <c r="G231" i="28" s="1"/>
  <c r="F213" i="28"/>
  <c r="G213" i="28" s="1"/>
  <c r="F192" i="28"/>
  <c r="G192" i="28" s="1"/>
  <c r="F171" i="28"/>
  <c r="G171" i="28" s="1"/>
  <c r="F206" i="28"/>
  <c r="G206" i="28" s="1"/>
  <c r="F190" i="28"/>
  <c r="G190" i="28" s="1"/>
  <c r="F174" i="28"/>
  <c r="G174" i="28" s="1"/>
  <c r="F230" i="28"/>
  <c r="G230" i="28" s="1"/>
  <c r="F212" i="28"/>
  <c r="G212" i="28" s="1"/>
  <c r="F191" i="28"/>
  <c r="G191" i="28" s="1"/>
  <c r="F169" i="28"/>
  <c r="G169" i="28" s="1"/>
  <c r="F237" i="28"/>
  <c r="G237" i="28" s="1"/>
  <c r="F221" i="28"/>
  <c r="G221" i="28" s="1"/>
  <c r="F200" i="28"/>
  <c r="G200" i="28" s="1"/>
  <c r="F179" i="28"/>
  <c r="G179" i="28" s="1"/>
  <c r="F240" i="28"/>
  <c r="G240" i="28" s="1"/>
  <c r="F224" i="28"/>
  <c r="G224" i="28" s="1"/>
  <c r="F204" i="28"/>
  <c r="G204" i="28" s="1"/>
  <c r="F183" i="28"/>
  <c r="G183" i="28" s="1"/>
  <c r="F243" i="28"/>
  <c r="G243" i="28" s="1"/>
  <c r="F227" i="28"/>
  <c r="G227" i="28" s="1"/>
  <c r="F208" i="28"/>
  <c r="G208" i="28" s="1"/>
  <c r="F187" i="28"/>
  <c r="G187" i="28" s="1"/>
  <c r="F165" i="28"/>
  <c r="G165" i="28" s="1"/>
  <c r="F218" i="28"/>
  <c r="G218" i="28" s="1"/>
  <c r="F202" i="28"/>
  <c r="G202" i="28" s="1"/>
  <c r="F186" i="28"/>
  <c r="G186" i="28" s="1"/>
  <c r="F170" i="28"/>
  <c r="G170" i="28" s="1"/>
  <c r="I3" i="28"/>
  <c r="F9" i="42"/>
  <c r="D10" i="42"/>
  <c r="C10" i="42"/>
  <c r="E11" i="42"/>
  <c r="A12" i="42"/>
  <c r="B11" i="42"/>
  <c r="F4" i="16"/>
  <c r="G4" i="16" s="1"/>
  <c r="B3" i="16"/>
  <c r="F4" i="15"/>
  <c r="G4" i="15" s="1"/>
  <c r="B3" i="15"/>
  <c r="F30" i="28" l="1"/>
  <c r="G30" i="28" s="1"/>
  <c r="I30" i="28" s="1"/>
  <c r="F143" i="28"/>
  <c r="G143" i="28" s="1"/>
  <c r="I143" i="28" s="1"/>
  <c r="F74" i="28"/>
  <c r="F73" i="28"/>
  <c r="F48" i="28"/>
  <c r="G48" i="28" s="1"/>
  <c r="F23" i="28"/>
  <c r="F22" i="28"/>
  <c r="F90" i="28"/>
  <c r="G90" i="28" s="1"/>
  <c r="I90" i="28" s="1"/>
  <c r="F88" i="28"/>
  <c r="G88" i="28" s="1"/>
  <c r="I88" i="28" s="1"/>
  <c r="F89" i="28"/>
  <c r="F111" i="28"/>
  <c r="G111" i="28" s="1"/>
  <c r="I111" i="28" s="1"/>
  <c r="F135" i="28"/>
  <c r="G135" i="28" s="1"/>
  <c r="I135" i="28" s="1"/>
  <c r="F114" i="28"/>
  <c r="G114" i="28" s="1"/>
  <c r="I114" i="28" s="1"/>
  <c r="F38" i="28"/>
  <c r="G38" i="28" s="1"/>
  <c r="I38" i="28" s="1"/>
  <c r="F106" i="28"/>
  <c r="F39" i="28"/>
  <c r="G39" i="28" s="1"/>
  <c r="F132" i="28"/>
  <c r="G132" i="28" s="1"/>
  <c r="I132" i="28" s="1"/>
  <c r="F14" i="28"/>
  <c r="F11" i="28"/>
  <c r="F145" i="28"/>
  <c r="G145" i="28" s="1"/>
  <c r="F13" i="28"/>
  <c r="F87" i="28"/>
  <c r="G87" i="28" s="1"/>
  <c r="I87" i="28" s="1"/>
  <c r="F54" i="28"/>
  <c r="F71" i="28"/>
  <c r="F161" i="28"/>
  <c r="G161" i="28" s="1"/>
  <c r="I161" i="28" s="1"/>
  <c r="F43" i="28"/>
  <c r="G43" i="28" s="1"/>
  <c r="I43" i="28" s="1"/>
  <c r="F146" i="28"/>
  <c r="G146" i="28" s="1"/>
  <c r="I146" i="28" s="1"/>
  <c r="F157" i="28"/>
  <c r="G157" i="28" s="1"/>
  <c r="I157" i="28" s="1"/>
  <c r="F20" i="28"/>
  <c r="G20" i="28" s="1"/>
  <c r="F138" i="28"/>
  <c r="G138" i="28" s="1"/>
  <c r="I138" i="28" s="1"/>
  <c r="F46" i="28"/>
  <c r="G46" i="28" s="1"/>
  <c r="F162" i="28"/>
  <c r="G162" i="28" s="1"/>
  <c r="F72" i="28"/>
  <c r="G72" i="28" s="1"/>
  <c r="F154" i="28"/>
  <c r="G154" i="28" s="1"/>
  <c r="F104" i="28"/>
  <c r="F102" i="28"/>
  <c r="G102" i="28" s="1"/>
  <c r="I102" i="28" s="1"/>
  <c r="F124" i="28"/>
  <c r="F144" i="28"/>
  <c r="F125" i="28"/>
  <c r="G125" i="28" s="1"/>
  <c r="I125" i="28" s="1"/>
  <c r="F118" i="28"/>
  <c r="G118" i="28" s="1"/>
  <c r="I118" i="28" s="1"/>
  <c r="F153" i="28"/>
  <c r="G153" i="28" s="1"/>
  <c r="I153" i="28" s="1"/>
  <c r="F16" i="28"/>
  <c r="G16" i="28" s="1"/>
  <c r="I16" i="28" s="1"/>
  <c r="F36" i="28"/>
  <c r="F64" i="28"/>
  <c r="G64" i="28" s="1"/>
  <c r="F121" i="28"/>
  <c r="F134" i="28"/>
  <c r="F110" i="28"/>
  <c r="G110" i="28" s="1"/>
  <c r="F119" i="28"/>
  <c r="G119" i="28" s="1"/>
  <c r="I119" i="28" s="1"/>
  <c r="F17" i="28"/>
  <c r="F137" i="28"/>
  <c r="F126" i="28"/>
  <c r="F140" i="28"/>
  <c r="F34" i="28"/>
  <c r="G34" i="28" s="1"/>
  <c r="I34" i="28" s="1"/>
  <c r="F33" i="28"/>
  <c r="F50" i="28"/>
  <c r="G50" i="28" s="1"/>
  <c r="I50" i="28" s="1"/>
  <c r="F160" i="28"/>
  <c r="G160" i="28" s="1"/>
  <c r="I160" i="28" s="1"/>
  <c r="F26" i="28"/>
  <c r="F67" i="28"/>
  <c r="F25" i="28"/>
  <c r="G25" i="28" s="1"/>
  <c r="F142" i="28"/>
  <c r="G142" i="28" s="1"/>
  <c r="F107" i="28"/>
  <c r="F109" i="28"/>
  <c r="G109" i="28" s="1"/>
  <c r="F84" i="28"/>
  <c r="F42" i="28"/>
  <c r="G42" i="28" s="1"/>
  <c r="I42" i="28" s="1"/>
  <c r="F158" i="28"/>
  <c r="G158" i="28" s="1"/>
  <c r="I158" i="28" s="1"/>
  <c r="F66" i="28"/>
  <c r="F81" i="28"/>
  <c r="G81" i="28" s="1"/>
  <c r="I81" i="28" s="1"/>
  <c r="F131" i="28"/>
  <c r="G131" i="28" s="1"/>
  <c r="I131" i="28" s="1"/>
  <c r="F116" i="28"/>
  <c r="G116" i="28" s="1"/>
  <c r="I116" i="28" s="1"/>
  <c r="F28" i="28"/>
  <c r="G28" i="28" s="1"/>
  <c r="F92" i="28"/>
  <c r="F98" i="28"/>
  <c r="F113" i="28"/>
  <c r="F6" i="28"/>
  <c r="F59" i="28"/>
  <c r="G59" i="28" s="1"/>
  <c r="I59" i="28" s="1"/>
  <c r="F7" i="28"/>
  <c r="F55" i="28"/>
  <c r="F147" i="28"/>
  <c r="F80" i="28"/>
  <c r="F91" i="28"/>
  <c r="G91" i="28" s="1"/>
  <c r="I91" i="28" s="1"/>
  <c r="F130" i="28"/>
  <c r="G130" i="28" s="1"/>
  <c r="I130" i="28" s="1"/>
  <c r="F129" i="28"/>
  <c r="G129" i="28" s="1"/>
  <c r="I129" i="28" s="1"/>
  <c r="F115" i="28"/>
  <c r="F122" i="28"/>
  <c r="G122" i="28" s="1"/>
  <c r="I122" i="28" s="1"/>
  <c r="F40" i="28"/>
  <c r="F29" i="28"/>
  <c r="F112" i="28"/>
  <c r="F70" i="28"/>
  <c r="F21" i="28"/>
  <c r="G21" i="28" s="1"/>
  <c r="F101" i="28"/>
  <c r="F108" i="28"/>
  <c r="G108" i="28" s="1"/>
  <c r="I108" i="28" s="1"/>
  <c r="F75" i="28"/>
  <c r="F45" i="28"/>
  <c r="F133" i="28"/>
  <c r="G133" i="28" s="1"/>
  <c r="I133" i="28" s="1"/>
  <c r="F86" i="28"/>
  <c r="F52" i="28"/>
  <c r="G52" i="28" s="1"/>
  <c r="I52" i="28" s="1"/>
  <c r="F8" i="28"/>
  <c r="G8" i="28" s="1"/>
  <c r="I8" i="28" s="1"/>
  <c r="F37" i="28"/>
  <c r="G37" i="28" s="1"/>
  <c r="I37" i="28" s="1"/>
  <c r="F123" i="28"/>
  <c r="F62" i="28"/>
  <c r="F61" i="28"/>
  <c r="F155" i="28"/>
  <c r="G155" i="28" s="1"/>
  <c r="I155" i="28" s="1"/>
  <c r="F31" i="28"/>
  <c r="F96" i="28"/>
  <c r="G96" i="28" s="1"/>
  <c r="I96" i="28" s="1"/>
  <c r="F53" i="28"/>
  <c r="F78" i="28"/>
  <c r="F77" i="28"/>
  <c r="G77" i="28" s="1"/>
  <c r="I77" i="28" s="1"/>
  <c r="F32" i="28"/>
  <c r="F63" i="28"/>
  <c r="G63" i="28" s="1"/>
  <c r="I63" i="28" s="1"/>
  <c r="F136" i="28"/>
  <c r="F68" i="28"/>
  <c r="G68" i="28" s="1"/>
  <c r="F94" i="28"/>
  <c r="G94" i="28" s="1"/>
  <c r="F24" i="28"/>
  <c r="F93" i="28"/>
  <c r="G93" i="28" s="1"/>
  <c r="I93" i="28" s="1"/>
  <c r="F105" i="28"/>
  <c r="F95" i="28"/>
  <c r="F69" i="28"/>
  <c r="F100" i="28"/>
  <c r="G100" i="28" s="1"/>
  <c r="F15" i="28"/>
  <c r="F103" i="28"/>
  <c r="G103" i="28" s="1"/>
  <c r="I103" i="28" s="1"/>
  <c r="F18" i="28"/>
  <c r="G18" i="28" s="1"/>
  <c r="I18" i="28" s="1"/>
  <c r="F19" i="28"/>
  <c r="G19" i="28" s="1"/>
  <c r="I19" i="28" s="1"/>
  <c r="F152" i="28"/>
  <c r="G152" i="28" s="1"/>
  <c r="I152" i="28" s="1"/>
  <c r="F150" i="28"/>
  <c r="F117" i="28"/>
  <c r="F85" i="28"/>
  <c r="G85" i="28" s="1"/>
  <c r="I85" i="28" s="1"/>
  <c r="F76" i="28"/>
  <c r="G76" i="28" s="1"/>
  <c r="F47" i="28"/>
  <c r="G47" i="28" s="1"/>
  <c r="F151" i="28"/>
  <c r="G151" i="28" s="1"/>
  <c r="F51" i="28"/>
  <c r="G51" i="28" s="1"/>
  <c r="I51" i="28" s="1"/>
  <c r="F139" i="28"/>
  <c r="F10" i="28"/>
  <c r="F35" i="28"/>
  <c r="F127" i="28"/>
  <c r="F9" i="28"/>
  <c r="F79" i="28"/>
  <c r="G79" i="28" s="1"/>
  <c r="I79" i="28" s="1"/>
  <c r="F83" i="28"/>
  <c r="G83" i="28" s="1"/>
  <c r="I83" i="28" s="1"/>
  <c r="F49" i="28"/>
  <c r="F156" i="28"/>
  <c r="G156" i="28" s="1"/>
  <c r="I156" i="28" s="1"/>
  <c r="F60" i="28"/>
  <c r="G60" i="28" s="1"/>
  <c r="F99" i="28"/>
  <c r="G99" i="28" s="1"/>
  <c r="I99" i="28" s="1"/>
  <c r="F41" i="28"/>
  <c r="F128" i="28"/>
  <c r="G128" i="28" s="1"/>
  <c r="F58" i="28"/>
  <c r="G58" i="28" s="1"/>
  <c r="F120" i="28"/>
  <c r="F57" i="28"/>
  <c r="F149" i="28"/>
  <c r="F82" i="28"/>
  <c r="G82" i="28" s="1"/>
  <c r="I82" i="28" s="1"/>
  <c r="F44" i="28"/>
  <c r="F56" i="28"/>
  <c r="G56" i="28" s="1"/>
  <c r="F97" i="28"/>
  <c r="G97" i="28" s="1"/>
  <c r="I97" i="28" s="1"/>
  <c r="F27" i="28"/>
  <c r="G27" i="28" s="1"/>
  <c r="I27" i="28" s="1"/>
  <c r="F159" i="28"/>
  <c r="G159" i="28" s="1"/>
  <c r="I159" i="28" s="1"/>
  <c r="F148" i="28"/>
  <c r="G148" i="28" s="1"/>
  <c r="I191" i="28"/>
  <c r="H191" i="28"/>
  <c r="I230" i="28"/>
  <c r="H230" i="28"/>
  <c r="I171" i="28"/>
  <c r="H171" i="28"/>
  <c r="I188" i="28"/>
  <c r="H188" i="28"/>
  <c r="I163" i="28"/>
  <c r="H163" i="28"/>
  <c r="I241" i="28"/>
  <c r="H241" i="28"/>
  <c r="I176" i="28"/>
  <c r="H176" i="28"/>
  <c r="I238" i="28"/>
  <c r="H238" i="28"/>
  <c r="I218" i="28"/>
  <c r="H218" i="28"/>
  <c r="I187" i="28"/>
  <c r="H187" i="28"/>
  <c r="I204" i="28"/>
  <c r="H204" i="28"/>
  <c r="I200" i="28"/>
  <c r="H200" i="28"/>
  <c r="I237" i="28"/>
  <c r="H237" i="28"/>
  <c r="I170" i="28"/>
  <c r="H170" i="28"/>
  <c r="I202" i="28"/>
  <c r="H202" i="28"/>
  <c r="I208" i="28"/>
  <c r="H208" i="28"/>
  <c r="I243" i="28"/>
  <c r="H243" i="28"/>
  <c r="I183" i="28"/>
  <c r="H183" i="28"/>
  <c r="I224" i="28"/>
  <c r="H224" i="28"/>
  <c r="I179" i="28"/>
  <c r="H179" i="28"/>
  <c r="I221" i="28"/>
  <c r="H221" i="28"/>
  <c r="I190" i="28"/>
  <c r="H190" i="28"/>
  <c r="I192" i="28"/>
  <c r="H192" i="28"/>
  <c r="I209" i="28"/>
  <c r="H209" i="28"/>
  <c r="I197" i="28"/>
  <c r="H197" i="28"/>
  <c r="I232" i="28"/>
  <c r="H232" i="28"/>
  <c r="I186" i="28"/>
  <c r="H186" i="28"/>
  <c r="I227" i="28"/>
  <c r="H227" i="28"/>
  <c r="I240" i="28"/>
  <c r="H240" i="28"/>
  <c r="I206" i="28"/>
  <c r="H206" i="28"/>
  <c r="I231" i="28"/>
  <c r="H231" i="28"/>
  <c r="I167" i="28"/>
  <c r="H167" i="28"/>
  <c r="I194" i="28"/>
  <c r="H194" i="28"/>
  <c r="I165" i="28"/>
  <c r="H165" i="28"/>
  <c r="I212" i="28"/>
  <c r="H212" i="28"/>
  <c r="I228" i="28"/>
  <c r="H228" i="28"/>
  <c r="I196" i="28"/>
  <c r="H196" i="28"/>
  <c r="I234" i="28"/>
  <c r="H234" i="28"/>
  <c r="I219" i="28"/>
  <c r="H219" i="28"/>
  <c r="I4" i="16"/>
  <c r="I216" i="28"/>
  <c r="H216" i="28"/>
  <c r="H81" i="28"/>
  <c r="I210" i="28"/>
  <c r="H210" i="28"/>
  <c r="I213" i="28"/>
  <c r="H213" i="28"/>
  <c r="I222" i="28"/>
  <c r="H222" i="28"/>
  <c r="I198" i="28"/>
  <c r="H198" i="28"/>
  <c r="I235" i="28"/>
  <c r="H235" i="28"/>
  <c r="I172" i="28"/>
  <c r="H172" i="28"/>
  <c r="I215" i="28"/>
  <c r="H215" i="28"/>
  <c r="I225" i="28"/>
  <c r="H225" i="28"/>
  <c r="I169" i="28"/>
  <c r="H169" i="28"/>
  <c r="I201" i="28"/>
  <c r="H201" i="28"/>
  <c r="I164" i="28"/>
  <c r="H164" i="28"/>
  <c r="I207" i="28"/>
  <c r="H207" i="28"/>
  <c r="I242" i="28"/>
  <c r="H242" i="28"/>
  <c r="I182" i="28"/>
  <c r="H182" i="28"/>
  <c r="I223" i="28"/>
  <c r="H223" i="28"/>
  <c r="I199" i="28"/>
  <c r="H199" i="28"/>
  <c r="I236" i="28"/>
  <c r="H236" i="28"/>
  <c r="I168" i="28"/>
  <c r="H168" i="28"/>
  <c r="I211" i="28"/>
  <c r="H211" i="28"/>
  <c r="H77" i="28"/>
  <c r="I141" i="28"/>
  <c r="H141" i="28"/>
  <c r="I173" i="28"/>
  <c r="H173" i="28"/>
  <c r="I205" i="28"/>
  <c r="H205" i="28"/>
  <c r="I174" i="28"/>
  <c r="H174" i="28"/>
  <c r="I12" i="28"/>
  <c r="H12" i="28"/>
  <c r="I177" i="28"/>
  <c r="H177" i="28"/>
  <c r="I175" i="28"/>
  <c r="H175" i="28"/>
  <c r="I5" i="28"/>
  <c r="H5" i="28"/>
  <c r="I181" i="28"/>
  <c r="H181" i="28"/>
  <c r="I180" i="28"/>
  <c r="H180" i="28"/>
  <c r="I184" i="28"/>
  <c r="H184" i="28"/>
  <c r="I195" i="28"/>
  <c r="H195" i="28"/>
  <c r="I233" i="28"/>
  <c r="H233" i="28"/>
  <c r="I65" i="28"/>
  <c r="H65" i="28"/>
  <c r="I193" i="28"/>
  <c r="H193" i="28"/>
  <c r="I214" i="28"/>
  <c r="H214" i="28"/>
  <c r="I185" i="28"/>
  <c r="H185" i="28"/>
  <c r="I217" i="28"/>
  <c r="H217" i="28"/>
  <c r="I226" i="28"/>
  <c r="H226" i="28"/>
  <c r="I203" i="28"/>
  <c r="H203" i="28"/>
  <c r="I239" i="28"/>
  <c r="H239" i="28"/>
  <c r="I178" i="28"/>
  <c r="H178" i="28"/>
  <c r="I220" i="28"/>
  <c r="H220" i="28"/>
  <c r="I229" i="28"/>
  <c r="H229" i="28"/>
  <c r="I189" i="28"/>
  <c r="H189" i="28"/>
  <c r="I166" i="28"/>
  <c r="H166" i="28"/>
  <c r="I4" i="15"/>
  <c r="F10" i="42"/>
  <c r="E12" i="42"/>
  <c r="B12" i="42"/>
  <c r="A13" i="42"/>
  <c r="D11" i="42"/>
  <c r="C11" i="42"/>
  <c r="F3" i="16"/>
  <c r="I3" i="16" s="1"/>
  <c r="F3" i="15"/>
  <c r="D73" i="14"/>
  <c r="H4" i="15"/>
  <c r="N28" i="24"/>
  <c r="H4" i="16"/>
  <c r="H59" i="28" l="1"/>
  <c r="H102" i="28"/>
  <c r="H114" i="28"/>
  <c r="H42" i="28"/>
  <c r="H159" i="28"/>
  <c r="G9" i="28"/>
  <c r="H9" i="28"/>
  <c r="G86" i="28"/>
  <c r="H86" i="28"/>
  <c r="G54" i="28"/>
  <c r="H54" i="28"/>
  <c r="G53" i="28"/>
  <c r="H53" i="28"/>
  <c r="G55" i="28"/>
  <c r="H55" i="28"/>
  <c r="H108" i="28"/>
  <c r="G73" i="28"/>
  <c r="I73" i="28" s="1"/>
  <c r="H73" i="28"/>
  <c r="G33" i="28"/>
  <c r="H33" i="28"/>
  <c r="G49" i="28"/>
  <c r="H49" i="28"/>
  <c r="G150" i="28"/>
  <c r="H150" i="28"/>
  <c r="G136" i="28"/>
  <c r="H136" i="28"/>
  <c r="G105" i="28"/>
  <c r="H105" i="28"/>
  <c r="G117" i="28"/>
  <c r="H117" i="28"/>
  <c r="G115" i="28"/>
  <c r="H115" i="28"/>
  <c r="G80" i="28"/>
  <c r="H80" i="28"/>
  <c r="G124" i="28"/>
  <c r="H124" i="28"/>
  <c r="H161" i="28"/>
  <c r="H152" i="28"/>
  <c r="G140" i="28"/>
  <c r="H140" i="28"/>
  <c r="G144" i="28"/>
  <c r="H144" i="28"/>
  <c r="G71" i="28"/>
  <c r="H71" i="28"/>
  <c r="G32" i="28"/>
  <c r="H32" i="28"/>
  <c r="G66" i="28"/>
  <c r="H66" i="28"/>
  <c r="G89" i="28"/>
  <c r="H89" i="28"/>
  <c r="G31" i="28"/>
  <c r="I31" i="28" s="1"/>
  <c r="H31" i="28"/>
  <c r="G44" i="28"/>
  <c r="H44" i="28"/>
  <c r="G45" i="28"/>
  <c r="H45" i="28"/>
  <c r="G126" i="28"/>
  <c r="H126" i="28"/>
  <c r="H18" i="28"/>
  <c r="H85" i="28"/>
  <c r="G95" i="28"/>
  <c r="I95" i="28" s="1"/>
  <c r="H95" i="28"/>
  <c r="G61" i="28"/>
  <c r="H61" i="28"/>
  <c r="G74" i="28"/>
  <c r="H74" i="28"/>
  <c r="G41" i="28"/>
  <c r="I41" i="28" s="1"/>
  <c r="H41" i="28"/>
  <c r="G24" i="28"/>
  <c r="H24" i="28"/>
  <c r="G40" i="28"/>
  <c r="H40" i="28"/>
  <c r="H143" i="28"/>
  <c r="H99" i="28"/>
  <c r="H155" i="28"/>
  <c r="H38" i="28"/>
  <c r="H157" i="28"/>
  <c r="H156" i="28"/>
  <c r="H8" i="28"/>
  <c r="H27" i="28"/>
  <c r="H118" i="28"/>
  <c r="H129" i="28"/>
  <c r="H63" i="28"/>
  <c r="H125" i="28"/>
  <c r="H160" i="28"/>
  <c r="H131" i="28"/>
  <c r="H34" i="28"/>
  <c r="H135" i="28"/>
  <c r="H111" i="28"/>
  <c r="H91" i="28"/>
  <c r="H56" i="28"/>
  <c r="H153" i="28"/>
  <c r="H97" i="28"/>
  <c r="H146" i="28"/>
  <c r="H88" i="28"/>
  <c r="H83" i="28"/>
  <c r="H87" i="28"/>
  <c r="H130" i="28"/>
  <c r="H43" i="28"/>
  <c r="H122" i="28"/>
  <c r="H52" i="28"/>
  <c r="H158" i="28"/>
  <c r="H82" i="28"/>
  <c r="H116" i="28"/>
  <c r="H50" i="28"/>
  <c r="H90" i="28"/>
  <c r="G57" i="28"/>
  <c r="H57" i="28"/>
  <c r="G23" i="28"/>
  <c r="H23" i="28"/>
  <c r="G120" i="28"/>
  <c r="H120" i="28"/>
  <c r="G69" i="28"/>
  <c r="H69" i="28"/>
  <c r="G11" i="28"/>
  <c r="H11" i="28"/>
  <c r="H100" i="28"/>
  <c r="I58" i="28"/>
  <c r="G134" i="28"/>
  <c r="H134" i="28"/>
  <c r="G14" i="28"/>
  <c r="H14" i="28"/>
  <c r="I128" i="28"/>
  <c r="G113" i="28"/>
  <c r="H113" i="28"/>
  <c r="H48" i="28"/>
  <c r="H46" i="28"/>
  <c r="I47" i="28"/>
  <c r="G62" i="28"/>
  <c r="H62" i="28"/>
  <c r="G98" i="28"/>
  <c r="H98" i="28"/>
  <c r="G67" i="28"/>
  <c r="H67" i="28"/>
  <c r="G123" i="28"/>
  <c r="H123" i="28"/>
  <c r="H25" i="28"/>
  <c r="I39" i="28"/>
  <c r="H138" i="28"/>
  <c r="H20" i="28"/>
  <c r="H76" i="28"/>
  <c r="H109" i="28"/>
  <c r="G139" i="28"/>
  <c r="H139" i="28"/>
  <c r="G112" i="28"/>
  <c r="H112" i="28"/>
  <c r="G10" i="28"/>
  <c r="H10" i="28"/>
  <c r="G101" i="28"/>
  <c r="H101" i="28"/>
  <c r="G7" i="28"/>
  <c r="H7" i="28"/>
  <c r="I145" i="28"/>
  <c r="G107" i="28"/>
  <c r="H107" i="28"/>
  <c r="H72" i="28"/>
  <c r="H110" i="28"/>
  <c r="G70" i="28"/>
  <c r="H70" i="28"/>
  <c r="G6" i="28"/>
  <c r="H6" i="28"/>
  <c r="H51" i="28"/>
  <c r="H162" i="28"/>
  <c r="I72" i="28"/>
  <c r="I100" i="28"/>
  <c r="I110" i="28"/>
  <c r="G121" i="28"/>
  <c r="H121" i="28"/>
  <c r="I162" i="28"/>
  <c r="G29" i="28"/>
  <c r="H29" i="28"/>
  <c r="I48" i="28"/>
  <c r="I46" i="28"/>
  <c r="G92" i="28"/>
  <c r="H92" i="28"/>
  <c r="G26" i="28"/>
  <c r="H26" i="28"/>
  <c r="G36" i="28"/>
  <c r="H36" i="28"/>
  <c r="G106" i="28"/>
  <c r="H106" i="28"/>
  <c r="H47" i="28"/>
  <c r="H151" i="28"/>
  <c r="H128" i="28"/>
  <c r="H145" i="28"/>
  <c r="H142" i="28"/>
  <c r="I151" i="28"/>
  <c r="I25" i="28"/>
  <c r="I142" i="28"/>
  <c r="H64" i="28"/>
  <c r="H154" i="28"/>
  <c r="H39" i="28"/>
  <c r="I64" i="28"/>
  <c r="I154" i="28"/>
  <c r="I20" i="28"/>
  <c r="I76" i="28"/>
  <c r="I109" i="28"/>
  <c r="H58" i="28"/>
  <c r="H21" i="28"/>
  <c r="G127" i="28"/>
  <c r="H127" i="28"/>
  <c r="G78" i="28"/>
  <c r="H78" i="28"/>
  <c r="G75" i="28"/>
  <c r="H75" i="28"/>
  <c r="G147" i="28"/>
  <c r="H147" i="28"/>
  <c r="G137" i="28"/>
  <c r="H137" i="28"/>
  <c r="H93" i="28"/>
  <c r="H119" i="28"/>
  <c r="H96" i="28"/>
  <c r="H30" i="28"/>
  <c r="H132" i="28"/>
  <c r="I21" i="28"/>
  <c r="G149" i="28"/>
  <c r="H149" i="28"/>
  <c r="G35" i="28"/>
  <c r="H35" i="28"/>
  <c r="G15" i="28"/>
  <c r="H15" i="28"/>
  <c r="G84" i="28"/>
  <c r="H84" i="28"/>
  <c r="G17" i="28"/>
  <c r="H17" i="28"/>
  <c r="G104" i="28"/>
  <c r="H104" i="28"/>
  <c r="G13" i="28"/>
  <c r="H13" i="28"/>
  <c r="G22" i="28"/>
  <c r="H22" i="28"/>
  <c r="H79" i="28"/>
  <c r="H68" i="28"/>
  <c r="I68" i="28"/>
  <c r="H133" i="28"/>
  <c r="H94" i="28"/>
  <c r="H19" i="28"/>
  <c r="H28" i="28"/>
  <c r="H60" i="28"/>
  <c r="H148" i="28"/>
  <c r="I94" i="28"/>
  <c r="I28" i="28"/>
  <c r="I56" i="28"/>
  <c r="I60" i="28"/>
  <c r="I148" i="28"/>
  <c r="H37" i="28"/>
  <c r="H16" i="28"/>
  <c r="F171" i="16"/>
  <c r="G171" i="16" s="1"/>
  <c r="F86" i="16"/>
  <c r="G86" i="16" s="1"/>
  <c r="F43" i="16"/>
  <c r="G43" i="16" s="1"/>
  <c r="F202" i="16"/>
  <c r="G202" i="16" s="1"/>
  <c r="F116" i="16"/>
  <c r="G116" i="16" s="1"/>
  <c r="F31" i="16"/>
  <c r="G31" i="16" s="1"/>
  <c r="F187" i="16"/>
  <c r="G187" i="16" s="1"/>
  <c r="F102" i="16"/>
  <c r="G102" i="16" s="1"/>
  <c r="F16" i="16"/>
  <c r="G16" i="16" s="1"/>
  <c r="F164" i="16"/>
  <c r="G164" i="16" s="1"/>
  <c r="F79" i="16"/>
  <c r="G79" i="16" s="1"/>
  <c r="F238" i="16"/>
  <c r="G238" i="16" s="1"/>
  <c r="F195" i="16"/>
  <c r="G195" i="16" s="1"/>
  <c r="F152" i="16"/>
  <c r="G152" i="16" s="1"/>
  <c r="F88" i="16"/>
  <c r="G88" i="16" s="1"/>
  <c r="F46" i="16"/>
  <c r="G46" i="16" s="1"/>
  <c r="F242" i="16"/>
  <c r="G242" i="16" s="1"/>
  <c r="F92" i="16"/>
  <c r="G92" i="16" s="1"/>
  <c r="F6" i="16"/>
  <c r="G6" i="16" s="1"/>
  <c r="F5" i="16"/>
  <c r="G5" i="16" s="1"/>
  <c r="F203" i="16"/>
  <c r="G203" i="16" s="1"/>
  <c r="F160" i="16"/>
  <c r="G160" i="16" s="1"/>
  <c r="F118" i="16"/>
  <c r="G118" i="16" s="1"/>
  <c r="F75" i="16"/>
  <c r="G75" i="16" s="1"/>
  <c r="F32" i="16"/>
  <c r="G32" i="16" s="1"/>
  <c r="F234" i="16"/>
  <c r="G234" i="16" s="1"/>
  <c r="F191" i="16"/>
  <c r="G191" i="16" s="1"/>
  <c r="F148" i="16"/>
  <c r="G148" i="16" s="1"/>
  <c r="F106" i="16"/>
  <c r="G106" i="16" s="1"/>
  <c r="F63" i="16"/>
  <c r="G63" i="16" s="1"/>
  <c r="F20" i="16"/>
  <c r="G20" i="16" s="1"/>
  <c r="F219" i="16"/>
  <c r="G219" i="16" s="1"/>
  <c r="F176" i="16"/>
  <c r="G176" i="16" s="1"/>
  <c r="F134" i="16"/>
  <c r="G134" i="16" s="1"/>
  <c r="F91" i="16"/>
  <c r="G91" i="16" s="1"/>
  <c r="F48" i="16"/>
  <c r="G48" i="16" s="1"/>
  <c r="F239" i="16"/>
  <c r="G239" i="16" s="1"/>
  <c r="F196" i="16"/>
  <c r="G196" i="16" s="1"/>
  <c r="F154" i="16"/>
  <c r="G154" i="16" s="1"/>
  <c r="F111" i="16"/>
  <c r="G111" i="16" s="1"/>
  <c r="F68" i="16"/>
  <c r="G68" i="16" s="1"/>
  <c r="F26" i="16"/>
  <c r="G26" i="16" s="1"/>
  <c r="F232" i="16"/>
  <c r="G232" i="16" s="1"/>
  <c r="F211" i="16"/>
  <c r="G211" i="16" s="1"/>
  <c r="F190" i="16"/>
  <c r="G190" i="16" s="1"/>
  <c r="F168" i="16"/>
  <c r="G168" i="16" s="1"/>
  <c r="F147" i="16"/>
  <c r="G147" i="16" s="1"/>
  <c r="F126" i="16"/>
  <c r="G126" i="16" s="1"/>
  <c r="F104" i="16"/>
  <c r="G104" i="16" s="1"/>
  <c r="F83" i="16"/>
  <c r="G83" i="16" s="1"/>
  <c r="F62" i="16"/>
  <c r="G62" i="16" s="1"/>
  <c r="F40" i="16"/>
  <c r="G40" i="16" s="1"/>
  <c r="F19" i="16"/>
  <c r="G19" i="16" s="1"/>
  <c r="F236" i="16"/>
  <c r="G236" i="16" s="1"/>
  <c r="F215" i="16"/>
  <c r="G215" i="16" s="1"/>
  <c r="F194" i="16"/>
  <c r="G194" i="16" s="1"/>
  <c r="F172" i="16"/>
  <c r="G172" i="16" s="1"/>
  <c r="F151" i="16"/>
  <c r="G151" i="16" s="1"/>
  <c r="F130" i="16"/>
  <c r="G130" i="16" s="1"/>
  <c r="F108" i="16"/>
  <c r="G108" i="16" s="1"/>
  <c r="F87" i="16"/>
  <c r="G87" i="16" s="1"/>
  <c r="F66" i="16"/>
  <c r="G66" i="16" s="1"/>
  <c r="F44" i="16"/>
  <c r="G44" i="16" s="1"/>
  <c r="F23" i="16"/>
  <c r="G23" i="16" s="1"/>
  <c r="F241" i="16"/>
  <c r="G241" i="16" s="1"/>
  <c r="F225" i="16"/>
  <c r="G225" i="16" s="1"/>
  <c r="F209" i="16"/>
  <c r="G209" i="16" s="1"/>
  <c r="F193" i="16"/>
  <c r="G193" i="16" s="1"/>
  <c r="F177" i="16"/>
  <c r="G177" i="16" s="1"/>
  <c r="F161" i="16"/>
  <c r="G161" i="16" s="1"/>
  <c r="F145" i="16"/>
  <c r="G145" i="16" s="1"/>
  <c r="F129" i="16"/>
  <c r="G129" i="16" s="1"/>
  <c r="F113" i="16"/>
  <c r="G113" i="16" s="1"/>
  <c r="F97" i="16"/>
  <c r="G97" i="16" s="1"/>
  <c r="F81" i="16"/>
  <c r="G81" i="16" s="1"/>
  <c r="F65" i="16"/>
  <c r="G65" i="16" s="1"/>
  <c r="F49" i="16"/>
  <c r="G49" i="16" s="1"/>
  <c r="F33" i="16"/>
  <c r="G33" i="16" s="1"/>
  <c r="F17" i="16"/>
  <c r="G17" i="16" s="1"/>
  <c r="F222" i="15"/>
  <c r="F238" i="15"/>
  <c r="F150" i="15"/>
  <c r="F118" i="15"/>
  <c r="F86" i="15"/>
  <c r="F54" i="15"/>
  <c r="F22" i="15"/>
  <c r="F229" i="15"/>
  <c r="F197" i="15"/>
  <c r="F165" i="15"/>
  <c r="F133" i="15"/>
  <c r="F101" i="15"/>
  <c r="F69" i="15"/>
  <c r="F37" i="15"/>
  <c r="F242" i="15"/>
  <c r="F210" i="15"/>
  <c r="F178" i="15"/>
  <c r="F146" i="15"/>
  <c r="F114" i="15"/>
  <c r="F82" i="15"/>
  <c r="F50" i="15"/>
  <c r="F18" i="15"/>
  <c r="F225" i="15"/>
  <c r="F193" i="15"/>
  <c r="F161" i="15"/>
  <c r="F129" i="15"/>
  <c r="F97" i="15"/>
  <c r="F65" i="15"/>
  <c r="F33" i="15"/>
  <c r="F228" i="15"/>
  <c r="F212" i="15"/>
  <c r="F196" i="15"/>
  <c r="F180" i="15"/>
  <c r="F164" i="15"/>
  <c r="F148" i="15"/>
  <c r="F132" i="15"/>
  <c r="F116" i="15"/>
  <c r="F100" i="15"/>
  <c r="F84" i="15"/>
  <c r="F68" i="15"/>
  <c r="F52" i="15"/>
  <c r="F36" i="15"/>
  <c r="F20" i="15"/>
  <c r="F243" i="15"/>
  <c r="F227" i="15"/>
  <c r="F211" i="15"/>
  <c r="F195" i="15"/>
  <c r="F179" i="15"/>
  <c r="F163" i="15"/>
  <c r="F147" i="15"/>
  <c r="F131" i="15"/>
  <c r="F115" i="15"/>
  <c r="F99" i="15"/>
  <c r="F83" i="15"/>
  <c r="F67" i="15"/>
  <c r="F51" i="15"/>
  <c r="F35" i="15"/>
  <c r="F19" i="15"/>
  <c r="F235" i="16"/>
  <c r="G235" i="16" s="1"/>
  <c r="F192" i="16"/>
  <c r="G192" i="16" s="1"/>
  <c r="F150" i="16"/>
  <c r="G150" i="16" s="1"/>
  <c r="F107" i="16"/>
  <c r="G107" i="16" s="1"/>
  <c r="F64" i="16"/>
  <c r="G64" i="16" s="1"/>
  <c r="F22" i="16"/>
  <c r="G22" i="16" s="1"/>
  <c r="F223" i="16"/>
  <c r="G223" i="16" s="1"/>
  <c r="F180" i="16"/>
  <c r="G180" i="16" s="1"/>
  <c r="F138" i="16"/>
  <c r="G138" i="16" s="1"/>
  <c r="F95" i="16"/>
  <c r="G95" i="16" s="1"/>
  <c r="F52" i="16"/>
  <c r="G52" i="16" s="1"/>
  <c r="F10" i="16"/>
  <c r="G10" i="16" s="1"/>
  <c r="F208" i="16"/>
  <c r="G208" i="16" s="1"/>
  <c r="F166" i="16"/>
  <c r="G166" i="16" s="1"/>
  <c r="F123" i="16"/>
  <c r="G123" i="16" s="1"/>
  <c r="F80" i="16"/>
  <c r="G80" i="16" s="1"/>
  <c r="F38" i="16"/>
  <c r="G38" i="16" s="1"/>
  <c r="F228" i="16"/>
  <c r="G228" i="16" s="1"/>
  <c r="F186" i="16"/>
  <c r="G186" i="16" s="1"/>
  <c r="F143" i="16"/>
  <c r="G143" i="16" s="1"/>
  <c r="F100" i="16"/>
  <c r="G100" i="16" s="1"/>
  <c r="F58" i="16"/>
  <c r="G58" i="16" s="1"/>
  <c r="F15" i="16"/>
  <c r="G15" i="16" s="1"/>
  <c r="F227" i="16"/>
  <c r="G227" i="16" s="1"/>
  <c r="F206" i="16"/>
  <c r="G206" i="16" s="1"/>
  <c r="F184" i="16"/>
  <c r="G184" i="16" s="1"/>
  <c r="F163" i="16"/>
  <c r="G163" i="16" s="1"/>
  <c r="F142" i="16"/>
  <c r="G142" i="16" s="1"/>
  <c r="F120" i="16"/>
  <c r="G120" i="16" s="1"/>
  <c r="F99" i="16"/>
  <c r="G99" i="16" s="1"/>
  <c r="F78" i="16"/>
  <c r="G78" i="16" s="1"/>
  <c r="F56" i="16"/>
  <c r="G56" i="16" s="1"/>
  <c r="F35" i="16"/>
  <c r="G35" i="16" s="1"/>
  <c r="I35" i="16" s="1"/>
  <c r="F14" i="16"/>
  <c r="G14" i="16" s="1"/>
  <c r="F231" i="16"/>
  <c r="G231" i="16" s="1"/>
  <c r="F210" i="16"/>
  <c r="G210" i="16" s="1"/>
  <c r="F188" i="16"/>
  <c r="G188" i="16" s="1"/>
  <c r="F167" i="16"/>
  <c r="G167" i="16" s="1"/>
  <c r="F146" i="16"/>
  <c r="G146" i="16" s="1"/>
  <c r="F124" i="16"/>
  <c r="G124" i="16" s="1"/>
  <c r="F103" i="16"/>
  <c r="G103" i="16" s="1"/>
  <c r="F82" i="16"/>
  <c r="G82" i="16" s="1"/>
  <c r="F60" i="16"/>
  <c r="G60" i="16" s="1"/>
  <c r="F39" i="16"/>
  <c r="G39" i="16" s="1"/>
  <c r="F18" i="16"/>
  <c r="G18" i="16" s="1"/>
  <c r="F237" i="16"/>
  <c r="G237" i="16" s="1"/>
  <c r="F221" i="16"/>
  <c r="G221" i="16" s="1"/>
  <c r="F205" i="16"/>
  <c r="G205" i="16" s="1"/>
  <c r="F189" i="16"/>
  <c r="G189" i="16" s="1"/>
  <c r="F173" i="16"/>
  <c r="G173" i="16" s="1"/>
  <c r="F157" i="16"/>
  <c r="G157" i="16" s="1"/>
  <c r="F141" i="16"/>
  <c r="G141" i="16" s="1"/>
  <c r="F125" i="16"/>
  <c r="G125" i="16" s="1"/>
  <c r="F109" i="16"/>
  <c r="G109" i="16" s="1"/>
  <c r="F93" i="16"/>
  <c r="G93" i="16" s="1"/>
  <c r="F77" i="16"/>
  <c r="G77" i="16" s="1"/>
  <c r="F61" i="16"/>
  <c r="G61" i="16" s="1"/>
  <c r="F45" i="16"/>
  <c r="G45" i="16" s="1"/>
  <c r="F29" i="16"/>
  <c r="G29" i="16" s="1"/>
  <c r="F13" i="16"/>
  <c r="G13" i="16" s="1"/>
  <c r="F230" i="15"/>
  <c r="F190" i="15"/>
  <c r="F206" i="15"/>
  <c r="F142" i="15"/>
  <c r="F110" i="15"/>
  <c r="F78" i="15"/>
  <c r="F46" i="15"/>
  <c r="F14" i="15"/>
  <c r="F221" i="15"/>
  <c r="F189" i="15"/>
  <c r="F157" i="15"/>
  <c r="F125" i="15"/>
  <c r="F93" i="15"/>
  <c r="F61" i="15"/>
  <c r="F29" i="15"/>
  <c r="F234" i="15"/>
  <c r="F202" i="15"/>
  <c r="F170" i="15"/>
  <c r="F138" i="15"/>
  <c r="F106" i="15"/>
  <c r="F74" i="15"/>
  <c r="F42" i="15"/>
  <c r="F10" i="15"/>
  <c r="F217" i="15"/>
  <c r="F185" i="15"/>
  <c r="F153" i="15"/>
  <c r="F121" i="15"/>
  <c r="F89" i="15"/>
  <c r="F57" i="15"/>
  <c r="F25" i="15"/>
  <c r="F240" i="15"/>
  <c r="F224" i="15"/>
  <c r="F208" i="15"/>
  <c r="F192" i="15"/>
  <c r="F176" i="15"/>
  <c r="F160" i="15"/>
  <c r="F144" i="15"/>
  <c r="F128" i="15"/>
  <c r="F112" i="15"/>
  <c r="F96" i="15"/>
  <c r="F80" i="15"/>
  <c r="F64" i="15"/>
  <c r="F48" i="15"/>
  <c r="F32" i="15"/>
  <c r="F16" i="15"/>
  <c r="F239" i="15"/>
  <c r="F223" i="15"/>
  <c r="F207" i="15"/>
  <c r="F191" i="15"/>
  <c r="F175" i="15"/>
  <c r="F159" i="15"/>
  <c r="F143" i="15"/>
  <c r="F127" i="15"/>
  <c r="F111" i="15"/>
  <c r="F95" i="15"/>
  <c r="F79" i="15"/>
  <c r="F63" i="15"/>
  <c r="F47" i="15"/>
  <c r="F31" i="15"/>
  <c r="F15" i="15"/>
  <c r="F224" i="16"/>
  <c r="G224" i="16" s="1"/>
  <c r="F182" i="16"/>
  <c r="G182" i="16" s="1"/>
  <c r="F139" i="16"/>
  <c r="G139" i="16" s="1"/>
  <c r="F96" i="16"/>
  <c r="G96" i="16" s="1"/>
  <c r="F54" i="16"/>
  <c r="G54" i="16" s="1"/>
  <c r="F11" i="16"/>
  <c r="G11" i="16" s="1"/>
  <c r="F212" i="16"/>
  <c r="G212" i="16" s="1"/>
  <c r="F170" i="16"/>
  <c r="G170" i="16" s="1"/>
  <c r="F127" i="16"/>
  <c r="G127" i="16" s="1"/>
  <c r="F84" i="16"/>
  <c r="G84" i="16" s="1"/>
  <c r="F42" i="16"/>
  <c r="G42" i="16" s="1"/>
  <c r="F240" i="16"/>
  <c r="G240" i="16" s="1"/>
  <c r="F198" i="16"/>
  <c r="G198" i="16" s="1"/>
  <c r="F155" i="16"/>
  <c r="G155" i="16" s="1"/>
  <c r="F112" i="16"/>
  <c r="G112" i="16" s="1"/>
  <c r="F70" i="16"/>
  <c r="G70" i="16" s="1"/>
  <c r="F27" i="16"/>
  <c r="G27" i="16" s="1"/>
  <c r="F218" i="16"/>
  <c r="G218" i="16" s="1"/>
  <c r="F175" i="16"/>
  <c r="G175" i="16" s="1"/>
  <c r="F132" i="16"/>
  <c r="G132" i="16" s="1"/>
  <c r="F90" i="16"/>
  <c r="G90" i="16" s="1"/>
  <c r="F47" i="16"/>
  <c r="G47" i="16" s="1"/>
  <c r="F243" i="16"/>
  <c r="G243" i="16" s="1"/>
  <c r="F222" i="16"/>
  <c r="G222" i="16" s="1"/>
  <c r="F200" i="16"/>
  <c r="G200" i="16" s="1"/>
  <c r="F179" i="16"/>
  <c r="G179" i="16" s="1"/>
  <c r="F158" i="16"/>
  <c r="G158" i="16" s="1"/>
  <c r="F136" i="16"/>
  <c r="G136" i="16" s="1"/>
  <c r="F115" i="16"/>
  <c r="G115" i="16" s="1"/>
  <c r="F94" i="16"/>
  <c r="G94" i="16" s="1"/>
  <c r="F72" i="16"/>
  <c r="G72" i="16" s="1"/>
  <c r="F51" i="16"/>
  <c r="G51" i="16" s="1"/>
  <c r="F30" i="16"/>
  <c r="G30" i="16" s="1"/>
  <c r="F8" i="16"/>
  <c r="G8" i="16" s="1"/>
  <c r="F226" i="16"/>
  <c r="G226" i="16" s="1"/>
  <c r="F204" i="16"/>
  <c r="G204" i="16" s="1"/>
  <c r="F183" i="16"/>
  <c r="G183" i="16" s="1"/>
  <c r="F162" i="16"/>
  <c r="G162" i="16" s="1"/>
  <c r="F140" i="16"/>
  <c r="G140" i="16" s="1"/>
  <c r="F119" i="16"/>
  <c r="G119" i="16" s="1"/>
  <c r="F98" i="16"/>
  <c r="G98" i="16" s="1"/>
  <c r="F76" i="16"/>
  <c r="G76" i="16" s="1"/>
  <c r="F55" i="16"/>
  <c r="G55" i="16" s="1"/>
  <c r="F34" i="16"/>
  <c r="G34" i="16" s="1"/>
  <c r="F12" i="16"/>
  <c r="G12" i="16" s="1"/>
  <c r="F233" i="16"/>
  <c r="G233" i="16" s="1"/>
  <c r="F217" i="16"/>
  <c r="G217" i="16" s="1"/>
  <c r="F201" i="16"/>
  <c r="G201" i="16" s="1"/>
  <c r="F185" i="16"/>
  <c r="G185" i="16" s="1"/>
  <c r="F169" i="16"/>
  <c r="G169" i="16" s="1"/>
  <c r="F153" i="16"/>
  <c r="G153" i="16" s="1"/>
  <c r="F137" i="16"/>
  <c r="G137" i="16" s="1"/>
  <c r="F121" i="16"/>
  <c r="G121" i="16" s="1"/>
  <c r="F105" i="16"/>
  <c r="G105" i="16" s="1"/>
  <c r="F89" i="16"/>
  <c r="G89" i="16" s="1"/>
  <c r="F73" i="16"/>
  <c r="G73" i="16" s="1"/>
  <c r="F57" i="16"/>
  <c r="G57" i="16" s="1"/>
  <c r="F41" i="16"/>
  <c r="G41" i="16" s="1"/>
  <c r="F25" i="16"/>
  <c r="G25" i="16" s="1"/>
  <c r="F9" i="16"/>
  <c r="G9" i="16" s="1"/>
  <c r="F198" i="15"/>
  <c r="F214" i="15"/>
  <c r="F174" i="15"/>
  <c r="F134" i="15"/>
  <c r="F102" i="15"/>
  <c r="F70" i="15"/>
  <c r="F38" i="15"/>
  <c r="F6" i="15"/>
  <c r="G6" i="15" s="1"/>
  <c r="F5" i="15"/>
  <c r="G5" i="15" s="1"/>
  <c r="F213" i="15"/>
  <c r="F181" i="15"/>
  <c r="F149" i="15"/>
  <c r="F117" i="15"/>
  <c r="F85" i="15"/>
  <c r="F53" i="15"/>
  <c r="F21" i="15"/>
  <c r="F226" i="15"/>
  <c r="F194" i="15"/>
  <c r="F162" i="15"/>
  <c r="F130" i="15"/>
  <c r="F98" i="15"/>
  <c r="F66" i="15"/>
  <c r="F34" i="15"/>
  <c r="F241" i="15"/>
  <c r="F209" i="15"/>
  <c r="F177" i="15"/>
  <c r="F145" i="15"/>
  <c r="F113" i="15"/>
  <c r="F81" i="15"/>
  <c r="F49" i="15"/>
  <c r="F17" i="15"/>
  <c r="F236" i="15"/>
  <c r="F220" i="15"/>
  <c r="F204" i="15"/>
  <c r="F188" i="15"/>
  <c r="F172" i="15"/>
  <c r="F156" i="15"/>
  <c r="F140" i="15"/>
  <c r="F124" i="15"/>
  <c r="F108" i="15"/>
  <c r="F92" i="15"/>
  <c r="F76" i="15"/>
  <c r="F60" i="15"/>
  <c r="F44" i="15"/>
  <c r="F28" i="15"/>
  <c r="F12" i="15"/>
  <c r="F235" i="15"/>
  <c r="F219" i="15"/>
  <c r="F203" i="15"/>
  <c r="F187" i="15"/>
  <c r="F171" i="15"/>
  <c r="F155" i="15"/>
  <c r="F139" i="15"/>
  <c r="F123" i="15"/>
  <c r="F107" i="15"/>
  <c r="F91" i="15"/>
  <c r="F75" i="15"/>
  <c r="F59" i="15"/>
  <c r="F43" i="15"/>
  <c r="F27" i="15"/>
  <c r="F11" i="15"/>
  <c r="F214" i="16"/>
  <c r="G214" i="16" s="1"/>
  <c r="F128" i="16"/>
  <c r="G128" i="16" s="1"/>
  <c r="F159" i="16"/>
  <c r="G159" i="16" s="1"/>
  <c r="F74" i="16"/>
  <c r="G74" i="16" s="1"/>
  <c r="F230" i="16"/>
  <c r="G230" i="16" s="1"/>
  <c r="F144" i="16"/>
  <c r="G144" i="16" s="1"/>
  <c r="F59" i="16"/>
  <c r="G59" i="16" s="1"/>
  <c r="F207" i="16"/>
  <c r="G207" i="16" s="1"/>
  <c r="F122" i="16"/>
  <c r="G122" i="16" s="1"/>
  <c r="F36" i="16"/>
  <c r="G36" i="16" s="1"/>
  <c r="F216" i="16"/>
  <c r="G216" i="16" s="1"/>
  <c r="F174" i="16"/>
  <c r="G174" i="16" s="1"/>
  <c r="F131" i="16"/>
  <c r="G131" i="16" s="1"/>
  <c r="F110" i="16"/>
  <c r="G110" i="16" s="1"/>
  <c r="F67" i="16"/>
  <c r="G67" i="16" s="1"/>
  <c r="F24" i="16"/>
  <c r="G24" i="16" s="1"/>
  <c r="F220" i="16"/>
  <c r="G220" i="16" s="1"/>
  <c r="F199" i="16"/>
  <c r="G199" i="16" s="1"/>
  <c r="F178" i="16"/>
  <c r="G178" i="16" s="1"/>
  <c r="F156" i="16"/>
  <c r="G156" i="16" s="1"/>
  <c r="F135" i="16"/>
  <c r="G135" i="16" s="1"/>
  <c r="F114" i="16"/>
  <c r="G114" i="16" s="1"/>
  <c r="F71" i="16"/>
  <c r="G71" i="16" s="1"/>
  <c r="F50" i="16"/>
  <c r="G50" i="16" s="1"/>
  <c r="F28" i="16"/>
  <c r="G28" i="16" s="1"/>
  <c r="F7" i="16"/>
  <c r="G7" i="16" s="1"/>
  <c r="F229" i="16"/>
  <c r="G229" i="16" s="1"/>
  <c r="F213" i="16"/>
  <c r="G213" i="16" s="1"/>
  <c r="F197" i="16"/>
  <c r="G197" i="16" s="1"/>
  <c r="F181" i="16"/>
  <c r="G181" i="16" s="1"/>
  <c r="F165" i="16"/>
  <c r="G165" i="16" s="1"/>
  <c r="F149" i="16"/>
  <c r="G149" i="16" s="1"/>
  <c r="F133" i="16"/>
  <c r="G133" i="16" s="1"/>
  <c r="F117" i="16"/>
  <c r="G117" i="16" s="1"/>
  <c r="F101" i="16"/>
  <c r="G101" i="16" s="1"/>
  <c r="F85" i="16"/>
  <c r="G85" i="16" s="1"/>
  <c r="F69" i="16"/>
  <c r="G69" i="16" s="1"/>
  <c r="F53" i="16"/>
  <c r="G53" i="16" s="1"/>
  <c r="F37" i="16"/>
  <c r="G37" i="16" s="1"/>
  <c r="F21" i="16"/>
  <c r="G21" i="16" s="1"/>
  <c r="F166" i="15"/>
  <c r="F182" i="15"/>
  <c r="F158" i="15"/>
  <c r="F126" i="15"/>
  <c r="F94" i="15"/>
  <c r="F62" i="15"/>
  <c r="F30" i="15"/>
  <c r="F237" i="15"/>
  <c r="F205" i="15"/>
  <c r="F173" i="15"/>
  <c r="F141" i="15"/>
  <c r="F109" i="15"/>
  <c r="F77" i="15"/>
  <c r="F45" i="15"/>
  <c r="F13" i="15"/>
  <c r="F218" i="15"/>
  <c r="F186" i="15"/>
  <c r="F154" i="15"/>
  <c r="F122" i="15"/>
  <c r="F90" i="15"/>
  <c r="F58" i="15"/>
  <c r="F26" i="15"/>
  <c r="F233" i="15"/>
  <c r="F201" i="15"/>
  <c r="F169" i="15"/>
  <c r="F137" i="15"/>
  <c r="F105" i="15"/>
  <c r="F73" i="15"/>
  <c r="F41" i="15"/>
  <c r="F9" i="15"/>
  <c r="F232" i="15"/>
  <c r="F216" i="15"/>
  <c r="F200" i="15"/>
  <c r="F184" i="15"/>
  <c r="F168" i="15"/>
  <c r="F152" i="15"/>
  <c r="F136" i="15"/>
  <c r="F120" i="15"/>
  <c r="F104" i="15"/>
  <c r="F88" i="15"/>
  <c r="F72" i="15"/>
  <c r="F56" i="15"/>
  <c r="F40" i="15"/>
  <c r="F24" i="15"/>
  <c r="F8" i="15"/>
  <c r="G8" i="15" s="1"/>
  <c r="F231" i="15"/>
  <c r="F215" i="15"/>
  <c r="F199" i="15"/>
  <c r="F183" i="15"/>
  <c r="F167" i="15"/>
  <c r="F151" i="15"/>
  <c r="F135" i="15"/>
  <c r="F119" i="15"/>
  <c r="F103" i="15"/>
  <c r="F87" i="15"/>
  <c r="F71" i="15"/>
  <c r="F55" i="15"/>
  <c r="F39" i="15"/>
  <c r="F23" i="15"/>
  <c r="F7" i="15"/>
  <c r="G7" i="15" s="1"/>
  <c r="G3" i="15"/>
  <c r="I3" i="15" s="1"/>
  <c r="N27" i="24"/>
  <c r="F11" i="42"/>
  <c r="E13" i="42"/>
  <c r="A14" i="42"/>
  <c r="B13" i="42"/>
  <c r="D12" i="42"/>
  <c r="C12" i="42"/>
  <c r="H3" i="15"/>
  <c r="A18" i="11"/>
  <c r="A19" i="11"/>
  <c r="A20" i="11"/>
  <c r="A21" i="11"/>
  <c r="A22" i="11"/>
  <c r="A23" i="11"/>
  <c r="A17" i="11"/>
  <c r="B17" i="11"/>
  <c r="B18" i="11"/>
  <c r="B19" i="11"/>
  <c r="B20" i="11"/>
  <c r="B21" i="11"/>
  <c r="B22" i="11"/>
  <c r="H103" i="28" l="1"/>
  <c r="I54" i="28"/>
  <c r="I86" i="28"/>
  <c r="I9" i="28"/>
  <c r="I117" i="28"/>
  <c r="I150" i="28"/>
  <c r="I80" i="28"/>
  <c r="I33" i="28"/>
  <c r="I55" i="28"/>
  <c r="I105" i="28"/>
  <c r="I53" i="28"/>
  <c r="I136" i="28"/>
  <c r="I124" i="28"/>
  <c r="I49" i="28"/>
  <c r="I115" i="28"/>
  <c r="I144" i="28"/>
  <c r="I45" i="28"/>
  <c r="I44" i="28"/>
  <c r="I140" i="28"/>
  <c r="I32" i="28"/>
  <c r="I126" i="28"/>
  <c r="I71" i="28"/>
  <c r="I89" i="28"/>
  <c r="I66" i="28"/>
  <c r="I40" i="28"/>
  <c r="I61" i="28"/>
  <c r="I24" i="28"/>
  <c r="I74" i="28"/>
  <c r="I15" i="28"/>
  <c r="I36" i="28"/>
  <c r="I69" i="28"/>
  <c r="I7" i="28"/>
  <c r="I75" i="28"/>
  <c r="I26" i="28"/>
  <c r="I101" i="28"/>
  <c r="I22" i="28"/>
  <c r="I78" i="28"/>
  <c r="I23" i="28"/>
  <c r="I10" i="28"/>
  <c r="I147" i="28"/>
  <c r="I113" i="28"/>
  <c r="I35" i="28"/>
  <c r="I120" i="28"/>
  <c r="I123" i="28"/>
  <c r="I149" i="28"/>
  <c r="I92" i="28"/>
  <c r="I6" i="28"/>
  <c r="I14" i="28"/>
  <c r="I13" i="28"/>
  <c r="I67" i="28"/>
  <c r="I112" i="28"/>
  <c r="I104" i="28"/>
  <c r="I17" i="28"/>
  <c r="I62" i="28"/>
  <c r="I127" i="28"/>
  <c r="I57" i="28"/>
  <c r="I70" i="28"/>
  <c r="I134" i="28"/>
  <c r="I29" i="28"/>
  <c r="I98" i="28"/>
  <c r="I139" i="28"/>
  <c r="I121" i="28"/>
  <c r="I84" i="28"/>
  <c r="I137" i="28"/>
  <c r="I106" i="28"/>
  <c r="I107" i="28"/>
  <c r="I11" i="28"/>
  <c r="G44" i="15"/>
  <c r="I44" i="15" s="1"/>
  <c r="G108" i="15"/>
  <c r="I108" i="15" s="1"/>
  <c r="G172" i="15"/>
  <c r="I172" i="15" s="1"/>
  <c r="G236" i="15"/>
  <c r="I236" i="15" s="1"/>
  <c r="G38" i="15"/>
  <c r="I38" i="15" s="1"/>
  <c r="G102" i="15"/>
  <c r="I102" i="15" s="1"/>
  <c r="G25" i="15"/>
  <c r="I25" i="15" s="1"/>
  <c r="G153" i="15"/>
  <c r="I153" i="15" s="1"/>
  <c r="G42" i="15"/>
  <c r="I42" i="15" s="1"/>
  <c r="G170" i="15"/>
  <c r="I170" i="15" s="1"/>
  <c r="G61" i="15"/>
  <c r="I61" i="15" s="1"/>
  <c r="G78" i="15"/>
  <c r="I78" i="15" s="1"/>
  <c r="G190" i="15"/>
  <c r="I190" i="15" s="1"/>
  <c r="G114" i="15"/>
  <c r="I114" i="15" s="1"/>
  <c r="G129" i="15"/>
  <c r="I129" i="15" s="1"/>
  <c r="G18" i="15"/>
  <c r="I18" i="15" s="1"/>
  <c r="G146" i="15"/>
  <c r="I146" i="15" s="1"/>
  <c r="G37" i="15"/>
  <c r="I37" i="15" s="1"/>
  <c r="G165" i="15"/>
  <c r="I165" i="15" s="1"/>
  <c r="G238" i="15"/>
  <c r="I238" i="15" s="1"/>
  <c r="G87" i="15"/>
  <c r="I87" i="15" s="1"/>
  <c r="G214" i="15"/>
  <c r="I214" i="15" s="1"/>
  <c r="G200" i="15"/>
  <c r="I200" i="15" s="1"/>
  <c r="G26" i="15"/>
  <c r="I26" i="15" s="1"/>
  <c r="G76" i="15"/>
  <c r="I76" i="15" s="1"/>
  <c r="G30" i="15"/>
  <c r="I30" i="15" s="1"/>
  <c r="G94" i="15"/>
  <c r="I94" i="15" s="1"/>
  <c r="G158" i="15"/>
  <c r="I158" i="15" s="1"/>
  <c r="G166" i="15"/>
  <c r="I166" i="15" s="1"/>
  <c r="G139" i="15"/>
  <c r="I139" i="15" s="1"/>
  <c r="G241" i="15"/>
  <c r="I241" i="15" s="1"/>
  <c r="G46" i="15"/>
  <c r="I46" i="15" s="1"/>
  <c r="G79" i="15"/>
  <c r="I79" i="15" s="1"/>
  <c r="G127" i="15"/>
  <c r="I127" i="15" s="1"/>
  <c r="G175" i="15"/>
  <c r="I175" i="15" s="1"/>
  <c r="G207" i="15"/>
  <c r="I207" i="15" s="1"/>
  <c r="G239" i="15"/>
  <c r="I239" i="15" s="1"/>
  <c r="G64" i="15"/>
  <c r="I64" i="15" s="1"/>
  <c r="G128" i="15"/>
  <c r="I128" i="15" s="1"/>
  <c r="G192" i="15"/>
  <c r="I192" i="15" s="1"/>
  <c r="G189" i="15"/>
  <c r="I189" i="15" s="1"/>
  <c r="G50" i="15"/>
  <c r="I50" i="15" s="1"/>
  <c r="G83" i="15"/>
  <c r="I83" i="15" s="1"/>
  <c r="G131" i="15"/>
  <c r="I131" i="15" s="1"/>
  <c r="G178" i="15"/>
  <c r="I178" i="15" s="1"/>
  <c r="G211" i="15"/>
  <c r="I211" i="15" s="1"/>
  <c r="G36" i="15"/>
  <c r="I36" i="15" s="1"/>
  <c r="G100" i="15"/>
  <c r="I100" i="15" s="1"/>
  <c r="G164" i="15"/>
  <c r="I164" i="15" s="1"/>
  <c r="G228" i="15"/>
  <c r="I228" i="15" s="1"/>
  <c r="G41" i="15"/>
  <c r="I41" i="15" s="1"/>
  <c r="G185" i="15"/>
  <c r="I185" i="15" s="1"/>
  <c r="G204" i="15"/>
  <c r="I204" i="15" s="1"/>
  <c r="G187" i="15"/>
  <c r="I187" i="15" s="1"/>
  <c r="G176" i="15"/>
  <c r="I176" i="15" s="1"/>
  <c r="G130" i="15"/>
  <c r="I130" i="15" s="1"/>
  <c r="G21" i="15"/>
  <c r="I21" i="15" s="1"/>
  <c r="G149" i="15"/>
  <c r="I149" i="15" s="1"/>
  <c r="G70" i="15"/>
  <c r="I70" i="15" s="1"/>
  <c r="G134" i="15"/>
  <c r="I134" i="15" s="1"/>
  <c r="G167" i="15"/>
  <c r="I167" i="15" s="1"/>
  <c r="G215" i="15"/>
  <c r="I215" i="15" s="1"/>
  <c r="G24" i="15"/>
  <c r="I24" i="15" s="1"/>
  <c r="G88" i="15"/>
  <c r="I88" i="15" s="1"/>
  <c r="G152" i="15"/>
  <c r="I152" i="15" s="1"/>
  <c r="G216" i="15"/>
  <c r="I216" i="15" s="1"/>
  <c r="G73" i="15"/>
  <c r="I73" i="15" s="1"/>
  <c r="G201" i="15"/>
  <c r="I201" i="15" s="1"/>
  <c r="G57" i="15"/>
  <c r="I57" i="15" s="1"/>
  <c r="G122" i="15"/>
  <c r="I122" i="15" s="1"/>
  <c r="G186" i="15"/>
  <c r="I186" i="15" s="1"/>
  <c r="G13" i="15"/>
  <c r="I13" i="15" s="1"/>
  <c r="G77" i="15"/>
  <c r="I77" i="15" s="1"/>
  <c r="G141" i="15"/>
  <c r="I141" i="15" s="1"/>
  <c r="G205" i="15"/>
  <c r="I205" i="15" s="1"/>
  <c r="G125" i="15"/>
  <c r="I125" i="15" s="1"/>
  <c r="G181" i="15"/>
  <c r="I181" i="15" s="1"/>
  <c r="G11" i="15"/>
  <c r="I11" i="15" s="1"/>
  <c r="G59" i="15"/>
  <c r="I59" i="15" s="1"/>
  <c r="G106" i="15"/>
  <c r="I106" i="15" s="1"/>
  <c r="G155" i="15"/>
  <c r="I155" i="15" s="1"/>
  <c r="G202" i="15"/>
  <c r="I202" i="15" s="1"/>
  <c r="G235" i="15"/>
  <c r="I235" i="15" s="1"/>
  <c r="G60" i="15"/>
  <c r="I60" i="15" s="1"/>
  <c r="G124" i="15"/>
  <c r="I124" i="15" s="1"/>
  <c r="G188" i="15"/>
  <c r="I188" i="15" s="1"/>
  <c r="G17" i="15"/>
  <c r="I17" i="15" s="1"/>
  <c r="G112" i="15"/>
  <c r="I112" i="15" s="1"/>
  <c r="G177" i="15"/>
  <c r="I177" i="15" s="1"/>
  <c r="G33" i="15"/>
  <c r="I33" i="15" s="1"/>
  <c r="G97" i="15"/>
  <c r="I97" i="15" s="1"/>
  <c r="G161" i="15"/>
  <c r="I161" i="15" s="1"/>
  <c r="G225" i="15"/>
  <c r="I225" i="15" s="1"/>
  <c r="G52" i="15"/>
  <c r="I52" i="15" s="1"/>
  <c r="G116" i="15"/>
  <c r="I116" i="15" s="1"/>
  <c r="G180" i="15"/>
  <c r="I180" i="15" s="1"/>
  <c r="G69" i="15"/>
  <c r="I69" i="15" s="1"/>
  <c r="G133" i="15"/>
  <c r="I133" i="15" s="1"/>
  <c r="G197" i="15"/>
  <c r="I197" i="15" s="1"/>
  <c r="G14" i="15"/>
  <c r="I14" i="15" s="1"/>
  <c r="G47" i="15"/>
  <c r="I47" i="15" s="1"/>
  <c r="G95" i="15"/>
  <c r="I95" i="15" s="1"/>
  <c r="G142" i="15"/>
  <c r="I142" i="15" s="1"/>
  <c r="G222" i="15"/>
  <c r="I222" i="15" s="1"/>
  <c r="G16" i="15"/>
  <c r="I16" i="15" s="1"/>
  <c r="G80" i="15"/>
  <c r="I80" i="15" s="1"/>
  <c r="G144" i="15"/>
  <c r="I144" i="15" s="1"/>
  <c r="G208" i="15"/>
  <c r="I208" i="15" s="1"/>
  <c r="G221" i="15"/>
  <c r="I221" i="15" s="1"/>
  <c r="G51" i="15"/>
  <c r="I51" i="15" s="1"/>
  <c r="G99" i="15"/>
  <c r="I99" i="15" s="1"/>
  <c r="G179" i="15"/>
  <c r="I179" i="15" s="1"/>
  <c r="G227" i="15"/>
  <c r="I227" i="15" s="1"/>
  <c r="G23" i="15"/>
  <c r="I23" i="15" s="1"/>
  <c r="G119" i="15"/>
  <c r="I119" i="15" s="1"/>
  <c r="G72" i="15"/>
  <c r="I72" i="15" s="1"/>
  <c r="G169" i="15"/>
  <c r="I169" i="15" s="1"/>
  <c r="G12" i="15"/>
  <c r="I12" i="15" s="1"/>
  <c r="G140" i="15"/>
  <c r="I140" i="15" s="1"/>
  <c r="G91" i="15"/>
  <c r="I91" i="15" s="1"/>
  <c r="G234" i="15"/>
  <c r="I234" i="15" s="1"/>
  <c r="G66" i="15"/>
  <c r="I66" i="15" s="1"/>
  <c r="G194" i="15"/>
  <c r="I194" i="15" s="1"/>
  <c r="G85" i="15"/>
  <c r="I85" i="15" s="1"/>
  <c r="G213" i="15"/>
  <c r="I213" i="15" s="1"/>
  <c r="G39" i="15"/>
  <c r="I39" i="15" s="1"/>
  <c r="G71" i="15"/>
  <c r="I71" i="15" s="1"/>
  <c r="G103" i="15"/>
  <c r="I103" i="15" s="1"/>
  <c r="G135" i="15"/>
  <c r="I135" i="15" s="1"/>
  <c r="G183" i="15"/>
  <c r="I183" i="15" s="1"/>
  <c r="G230" i="15"/>
  <c r="I230" i="15" s="1"/>
  <c r="G40" i="15"/>
  <c r="I40" i="15" s="1"/>
  <c r="G104" i="15"/>
  <c r="I104" i="15" s="1"/>
  <c r="G168" i="15"/>
  <c r="I168" i="15" s="1"/>
  <c r="G232" i="15"/>
  <c r="I232" i="15" s="1"/>
  <c r="G105" i="15"/>
  <c r="I105" i="15" s="1"/>
  <c r="G233" i="15"/>
  <c r="I233" i="15" s="1"/>
  <c r="G58" i="15"/>
  <c r="I58" i="15" s="1"/>
  <c r="G217" i="15"/>
  <c r="I217" i="15" s="1"/>
  <c r="G62" i="15"/>
  <c r="I62" i="15" s="1"/>
  <c r="G126" i="15"/>
  <c r="I126" i="15" s="1"/>
  <c r="G182" i="15"/>
  <c r="I182" i="15" s="1"/>
  <c r="G27" i="15"/>
  <c r="I27" i="15" s="1"/>
  <c r="G74" i="15"/>
  <c r="I74" i="15" s="1"/>
  <c r="G107" i="15"/>
  <c r="I107" i="15" s="1"/>
  <c r="G203" i="15"/>
  <c r="I203" i="15" s="1"/>
  <c r="G48" i="15"/>
  <c r="I48" i="15" s="1"/>
  <c r="G113" i="15"/>
  <c r="I113" i="15" s="1"/>
  <c r="G209" i="15"/>
  <c r="I209" i="15" s="1"/>
  <c r="G34" i="15"/>
  <c r="I34" i="15" s="1"/>
  <c r="G98" i="15"/>
  <c r="I98" i="15" s="1"/>
  <c r="G162" i="15"/>
  <c r="I162" i="15" s="1"/>
  <c r="G226" i="15"/>
  <c r="I226" i="15" s="1"/>
  <c r="G53" i="15"/>
  <c r="I53" i="15" s="1"/>
  <c r="G117" i="15"/>
  <c r="I117" i="15" s="1"/>
  <c r="G198" i="15"/>
  <c r="I198" i="15" s="1"/>
  <c r="G15" i="15"/>
  <c r="I15" i="15" s="1"/>
  <c r="G63" i="15"/>
  <c r="I63" i="15" s="1"/>
  <c r="G110" i="15"/>
  <c r="I110" i="15" s="1"/>
  <c r="G143" i="15"/>
  <c r="I143" i="15" s="1"/>
  <c r="G191" i="15"/>
  <c r="I191" i="15" s="1"/>
  <c r="G223" i="15"/>
  <c r="I223" i="15" s="1"/>
  <c r="G32" i="15"/>
  <c r="I32" i="15" s="1"/>
  <c r="G96" i="15"/>
  <c r="I96" i="15" s="1"/>
  <c r="G160" i="15"/>
  <c r="I160" i="15" s="1"/>
  <c r="G224" i="15"/>
  <c r="I224" i="15" s="1"/>
  <c r="G19" i="15"/>
  <c r="I19" i="15" s="1"/>
  <c r="G67" i="15"/>
  <c r="I67" i="15" s="1"/>
  <c r="G147" i="15"/>
  <c r="I147" i="15" s="1"/>
  <c r="G195" i="15"/>
  <c r="I195" i="15" s="1"/>
  <c r="G243" i="15"/>
  <c r="I243" i="15" s="1"/>
  <c r="G68" i="15"/>
  <c r="I68" i="15" s="1"/>
  <c r="G132" i="15"/>
  <c r="I132" i="15" s="1"/>
  <c r="G196" i="15"/>
  <c r="I196" i="15" s="1"/>
  <c r="G229" i="15"/>
  <c r="I229" i="15" s="1"/>
  <c r="G55" i="15"/>
  <c r="I55" i="15" s="1"/>
  <c r="G151" i="15"/>
  <c r="I151" i="15" s="1"/>
  <c r="G136" i="15"/>
  <c r="I136" i="15" s="1"/>
  <c r="G90" i="15"/>
  <c r="I90" i="15" s="1"/>
  <c r="G43" i="15"/>
  <c r="I43" i="15" s="1"/>
  <c r="G81" i="15"/>
  <c r="I81" i="15" s="1"/>
  <c r="G22" i="15"/>
  <c r="I22" i="15" s="1"/>
  <c r="G54" i="15"/>
  <c r="I54" i="15" s="1"/>
  <c r="G86" i="15"/>
  <c r="I86" i="15" s="1"/>
  <c r="G118" i="15"/>
  <c r="I118" i="15" s="1"/>
  <c r="G150" i="15"/>
  <c r="I150" i="15" s="1"/>
  <c r="G199" i="15"/>
  <c r="I199" i="15" s="1"/>
  <c r="G231" i="15"/>
  <c r="I231" i="15" s="1"/>
  <c r="G56" i="15"/>
  <c r="I56" i="15" s="1"/>
  <c r="G120" i="15"/>
  <c r="I120" i="15" s="1"/>
  <c r="G184" i="15"/>
  <c r="I184" i="15" s="1"/>
  <c r="G9" i="15"/>
  <c r="I9" i="15" s="1"/>
  <c r="G137" i="15"/>
  <c r="I137" i="15" s="1"/>
  <c r="G89" i="15"/>
  <c r="I89" i="15" s="1"/>
  <c r="G154" i="15"/>
  <c r="I154" i="15" s="1"/>
  <c r="G218" i="15"/>
  <c r="I218" i="15" s="1"/>
  <c r="G45" i="15"/>
  <c r="I45" i="15" s="1"/>
  <c r="G109" i="15"/>
  <c r="I109" i="15" s="1"/>
  <c r="G173" i="15"/>
  <c r="I173" i="15" s="1"/>
  <c r="G237" i="15"/>
  <c r="I237" i="15" s="1"/>
  <c r="G93" i="15"/>
  <c r="I93" i="15" s="1"/>
  <c r="G157" i="15"/>
  <c r="I157" i="15" s="1"/>
  <c r="G75" i="15"/>
  <c r="I75" i="15" s="1"/>
  <c r="G123" i="15"/>
  <c r="I123" i="15" s="1"/>
  <c r="G171" i="15"/>
  <c r="I171" i="15" s="1"/>
  <c r="G219" i="15"/>
  <c r="I219" i="15" s="1"/>
  <c r="G28" i="15"/>
  <c r="I28" i="15" s="1"/>
  <c r="G92" i="15"/>
  <c r="I92" i="15" s="1"/>
  <c r="G156" i="15"/>
  <c r="I156" i="15" s="1"/>
  <c r="G220" i="15"/>
  <c r="I220" i="15" s="1"/>
  <c r="G49" i="15"/>
  <c r="I49" i="15" s="1"/>
  <c r="G145" i="15"/>
  <c r="I145" i="15" s="1"/>
  <c r="G240" i="15"/>
  <c r="I240" i="15" s="1"/>
  <c r="G65" i="15"/>
  <c r="I65" i="15" s="1"/>
  <c r="G193" i="15"/>
  <c r="I193" i="15" s="1"/>
  <c r="G20" i="15"/>
  <c r="I20" i="15" s="1"/>
  <c r="G84" i="15"/>
  <c r="I84" i="15" s="1"/>
  <c r="G148" i="15"/>
  <c r="I148" i="15" s="1"/>
  <c r="G212" i="15"/>
  <c r="I212" i="15" s="1"/>
  <c r="G101" i="15"/>
  <c r="I101" i="15" s="1"/>
  <c r="G174" i="15"/>
  <c r="I174" i="15" s="1"/>
  <c r="G31" i="15"/>
  <c r="I31" i="15" s="1"/>
  <c r="G111" i="15"/>
  <c r="I111" i="15" s="1"/>
  <c r="G159" i="15"/>
  <c r="I159" i="15" s="1"/>
  <c r="G206" i="15"/>
  <c r="I206" i="15" s="1"/>
  <c r="G121" i="15"/>
  <c r="I121" i="15" s="1"/>
  <c r="G10" i="15"/>
  <c r="I10" i="15" s="1"/>
  <c r="G138" i="15"/>
  <c r="I138" i="15" s="1"/>
  <c r="G29" i="15"/>
  <c r="I29" i="15" s="1"/>
  <c r="G35" i="15"/>
  <c r="I35" i="15" s="1"/>
  <c r="G82" i="15"/>
  <c r="I82" i="15" s="1"/>
  <c r="G115" i="15"/>
  <c r="I115" i="15" s="1"/>
  <c r="G163" i="15"/>
  <c r="I163" i="15" s="1"/>
  <c r="G210" i="15"/>
  <c r="I210" i="15" s="1"/>
  <c r="G242" i="15"/>
  <c r="I242" i="15" s="1"/>
  <c r="I21" i="16"/>
  <c r="I230" i="16"/>
  <c r="I159" i="16"/>
  <c r="I214" i="16"/>
  <c r="I233" i="16"/>
  <c r="I34" i="16"/>
  <c r="I119" i="16"/>
  <c r="I162" i="16"/>
  <c r="I112" i="16"/>
  <c r="I96" i="16"/>
  <c r="I45" i="16"/>
  <c r="I77" i="16"/>
  <c r="I18" i="16"/>
  <c r="I14" i="16"/>
  <c r="I78" i="16"/>
  <c r="I15" i="16"/>
  <c r="I22" i="16"/>
  <c r="I107" i="16"/>
  <c r="I193" i="16"/>
  <c r="I194" i="16"/>
  <c r="I37" i="16"/>
  <c r="I69" i="16"/>
  <c r="I101" i="16"/>
  <c r="I133" i="16"/>
  <c r="I165" i="16"/>
  <c r="I197" i="16"/>
  <c r="I229" i="16"/>
  <c r="I28" i="16"/>
  <c r="I71" i="16"/>
  <c r="I135" i="16"/>
  <c r="I178" i="16"/>
  <c r="I220" i="16"/>
  <c r="I67" i="16"/>
  <c r="I131" i="16"/>
  <c r="I216" i="16"/>
  <c r="I122" i="16"/>
  <c r="I59" i="16"/>
  <c r="I105" i="16"/>
  <c r="I137" i="16"/>
  <c r="I201" i="16"/>
  <c r="I30" i="16"/>
  <c r="I222" i="16"/>
  <c r="I47" i="16"/>
  <c r="I175" i="16"/>
  <c r="I240" i="16"/>
  <c r="I170" i="16"/>
  <c r="I224" i="16"/>
  <c r="I189" i="16"/>
  <c r="I82" i="16"/>
  <c r="I167" i="16"/>
  <c r="I210" i="16"/>
  <c r="I150" i="16"/>
  <c r="I235" i="16"/>
  <c r="I87" i="16"/>
  <c r="I151" i="16"/>
  <c r="I62" i="16"/>
  <c r="I147" i="16"/>
  <c r="I74" i="16"/>
  <c r="I51" i="16"/>
  <c r="I115" i="16"/>
  <c r="I61" i="16"/>
  <c r="I125" i="16"/>
  <c r="I237" i="16"/>
  <c r="I39" i="16"/>
  <c r="I231" i="16"/>
  <c r="I99" i="16"/>
  <c r="I163" i="16"/>
  <c r="I186" i="16"/>
  <c r="I208" i="16"/>
  <c r="I64" i="16"/>
  <c r="I65" i="16"/>
  <c r="I8" i="15"/>
  <c r="H8" i="15"/>
  <c r="I7" i="15"/>
  <c r="H7" i="15"/>
  <c r="I53" i="16"/>
  <c r="I85" i="16"/>
  <c r="I117" i="16"/>
  <c r="I149" i="16"/>
  <c r="I181" i="16"/>
  <c r="I213" i="16"/>
  <c r="I7" i="16"/>
  <c r="H7" i="16"/>
  <c r="I50" i="16"/>
  <c r="I114" i="16"/>
  <c r="I156" i="16"/>
  <c r="I199" i="16"/>
  <c r="I24" i="16"/>
  <c r="I110" i="16"/>
  <c r="I174" i="16"/>
  <c r="I36" i="16"/>
  <c r="I207" i="16"/>
  <c r="I144" i="16"/>
  <c r="I128" i="16"/>
  <c r="I25" i="16"/>
  <c r="I153" i="16"/>
  <c r="I185" i="16"/>
  <c r="I90" i="16"/>
  <c r="I218" i="16"/>
  <c r="I42" i="16"/>
  <c r="I205" i="16"/>
  <c r="I103" i="16"/>
  <c r="I146" i="16"/>
  <c r="I80" i="16"/>
  <c r="I192" i="16"/>
  <c r="I241" i="16"/>
  <c r="I19" i="16"/>
  <c r="I190" i="16"/>
  <c r="I91" i="16"/>
  <c r="I68" i="16"/>
  <c r="I100" i="16"/>
  <c r="I132" i="16"/>
  <c r="I164" i="16"/>
  <c r="I196" i="16"/>
  <c r="I228" i="16"/>
  <c r="I27" i="16"/>
  <c r="I70" i="16"/>
  <c r="I134" i="16"/>
  <c r="I177" i="16"/>
  <c r="I219" i="16"/>
  <c r="I66" i="16"/>
  <c r="I130" i="16"/>
  <c r="I215" i="16"/>
  <c r="I121" i="16"/>
  <c r="I58" i="16"/>
  <c r="I158" i="16"/>
  <c r="I16" i="16"/>
  <c r="I48" i="16"/>
  <c r="I176" i="16"/>
  <c r="I43" i="16"/>
  <c r="I86" i="16"/>
  <c r="I129" i="16"/>
  <c r="I171" i="16"/>
  <c r="I238" i="16"/>
  <c r="I31" i="16"/>
  <c r="I202" i="16"/>
  <c r="I56" i="16"/>
  <c r="I88" i="16"/>
  <c r="I120" i="16"/>
  <c r="I152" i="16"/>
  <c r="I184" i="16"/>
  <c r="I11" i="16"/>
  <c r="I54" i="16"/>
  <c r="I97" i="16"/>
  <c r="I139" i="16"/>
  <c r="I182" i="16"/>
  <c r="I225" i="16"/>
  <c r="I29" i="16"/>
  <c r="I157" i="16"/>
  <c r="I242" i="16"/>
  <c r="I89" i="16"/>
  <c r="I26" i="16"/>
  <c r="I111" i="16"/>
  <c r="I41" i="16"/>
  <c r="I126" i="16"/>
  <c r="I211" i="16"/>
  <c r="I138" i="16"/>
  <c r="I223" i="16"/>
  <c r="I60" i="16"/>
  <c r="I92" i="16"/>
  <c r="I124" i="16"/>
  <c r="I188" i="16"/>
  <c r="I17" i="16"/>
  <c r="I102" i="16"/>
  <c r="I145" i="16"/>
  <c r="I187" i="16"/>
  <c r="I63" i="16"/>
  <c r="I234" i="16"/>
  <c r="I127" i="16"/>
  <c r="I6" i="15"/>
  <c r="H6" i="15"/>
  <c r="I20" i="16"/>
  <c r="I52" i="16"/>
  <c r="I84" i="16"/>
  <c r="I116" i="16"/>
  <c r="I148" i="16"/>
  <c r="I180" i="16"/>
  <c r="I212" i="16"/>
  <c r="I6" i="16"/>
  <c r="H6" i="16"/>
  <c r="I49" i="16"/>
  <c r="I113" i="16"/>
  <c r="I155" i="16"/>
  <c r="I198" i="16"/>
  <c r="I23" i="16"/>
  <c r="I109" i="16"/>
  <c r="I173" i="16"/>
  <c r="I206" i="16"/>
  <c r="I143" i="16"/>
  <c r="I73" i="16"/>
  <c r="I243" i="16"/>
  <c r="I32" i="16"/>
  <c r="I160" i="16"/>
  <c r="I195" i="16"/>
  <c r="I5" i="16"/>
  <c r="H5" i="16"/>
  <c r="I5" i="15"/>
  <c r="H5" i="15"/>
  <c r="I8" i="16"/>
  <c r="H8" i="16"/>
  <c r="I40" i="16"/>
  <c r="I72" i="16"/>
  <c r="I104" i="16"/>
  <c r="I136" i="16"/>
  <c r="I168" i="16"/>
  <c r="I200" i="16"/>
  <c r="I232" i="16"/>
  <c r="I33" i="16"/>
  <c r="I75" i="16"/>
  <c r="I118" i="16"/>
  <c r="I161" i="16"/>
  <c r="I203" i="16"/>
  <c r="I93" i="16"/>
  <c r="I221" i="16"/>
  <c r="I46" i="16"/>
  <c r="I217" i="16"/>
  <c r="I154" i="16"/>
  <c r="I239" i="16"/>
  <c r="I83" i="16"/>
  <c r="I169" i="16"/>
  <c r="I10" i="16"/>
  <c r="H10" i="16"/>
  <c r="I95" i="16"/>
  <c r="I12" i="16"/>
  <c r="I44" i="16"/>
  <c r="I76" i="16"/>
  <c r="I108" i="16"/>
  <c r="I140" i="16"/>
  <c r="I172" i="16"/>
  <c r="I204" i="16"/>
  <c r="I236" i="16"/>
  <c r="I38" i="16"/>
  <c r="I81" i="16"/>
  <c r="I123" i="16"/>
  <c r="I166" i="16"/>
  <c r="I209" i="16"/>
  <c r="I13" i="16"/>
  <c r="I55" i="16"/>
  <c r="I98" i="16"/>
  <c r="I141" i="16"/>
  <c r="I183" i="16"/>
  <c r="I226" i="16"/>
  <c r="I57" i="16"/>
  <c r="I142" i="16"/>
  <c r="I227" i="16"/>
  <c r="I79" i="16"/>
  <c r="I9" i="16"/>
  <c r="H9" i="16"/>
  <c r="I94" i="16"/>
  <c r="I179" i="16"/>
  <c r="I106" i="16"/>
  <c r="I191" i="16"/>
  <c r="F12" i="42"/>
  <c r="D13" i="42"/>
  <c r="C13" i="42"/>
  <c r="E14" i="42"/>
  <c r="A15" i="42"/>
  <c r="B14" i="42"/>
  <c r="F87" i="8" l="1"/>
  <c r="F79" i="8"/>
  <c r="F71" i="8"/>
  <c r="F63" i="8"/>
  <c r="F190" i="8"/>
  <c r="F126" i="8"/>
  <c r="F62" i="8"/>
  <c r="F235" i="8"/>
  <c r="F171" i="8"/>
  <c r="F107" i="8"/>
  <c r="F43" i="8"/>
  <c r="F218" i="8"/>
  <c r="F154" i="8"/>
  <c r="F90" i="8"/>
  <c r="F26" i="8"/>
  <c r="F225" i="8"/>
  <c r="F193" i="8"/>
  <c r="F145" i="8"/>
  <c r="F113" i="8"/>
  <c r="F81" i="8"/>
  <c r="F49" i="8"/>
  <c r="F17" i="8"/>
  <c r="F224" i="8"/>
  <c r="F192" i="8"/>
  <c r="F160" i="8"/>
  <c r="F144" i="8"/>
  <c r="F128" i="8"/>
  <c r="F112" i="8"/>
  <c r="F96" i="8"/>
  <c r="F80" i="8"/>
  <c r="F64" i="8"/>
  <c r="F32" i="8"/>
  <c r="F16" i="8"/>
  <c r="F215" i="8"/>
  <c r="F207" i="8"/>
  <c r="F199" i="8"/>
  <c r="F191" i="8"/>
  <c r="F222" i="8"/>
  <c r="F158" i="8"/>
  <c r="F94" i="8"/>
  <c r="F30" i="8"/>
  <c r="F203" i="8"/>
  <c r="F139" i="8"/>
  <c r="F75" i="8"/>
  <c r="F11" i="8"/>
  <c r="F186" i="8"/>
  <c r="F122" i="8"/>
  <c r="F58" i="8"/>
  <c r="F241" i="8"/>
  <c r="F209" i="8"/>
  <c r="F177" i="8"/>
  <c r="F161" i="8"/>
  <c r="F129" i="8"/>
  <c r="F97" i="8"/>
  <c r="F65" i="8"/>
  <c r="F33" i="8"/>
  <c r="F240" i="8"/>
  <c r="F208" i="8"/>
  <c r="F176" i="8"/>
  <c r="F48" i="8"/>
  <c r="F183" i="8"/>
  <c r="F55" i="8"/>
  <c r="F175" i="8"/>
  <c r="F47" i="8"/>
  <c r="F167" i="8"/>
  <c r="F39" i="8"/>
  <c r="F159" i="8"/>
  <c r="F31" i="8"/>
  <c r="F214" i="8"/>
  <c r="F182" i="8"/>
  <c r="F150" i="8"/>
  <c r="F118" i="8"/>
  <c r="F86" i="8"/>
  <c r="F54" i="8"/>
  <c r="F22" i="8"/>
  <c r="F227" i="8"/>
  <c r="F195" i="8"/>
  <c r="F163" i="8"/>
  <c r="F131" i="8"/>
  <c r="F99" i="8"/>
  <c r="F67" i="8"/>
  <c r="F35" i="8"/>
  <c r="F242" i="8"/>
  <c r="F210" i="8"/>
  <c r="F178" i="8"/>
  <c r="F146" i="8"/>
  <c r="F114" i="8"/>
  <c r="F82" i="8"/>
  <c r="F50" i="8"/>
  <c r="F18" i="8"/>
  <c r="F237" i="8"/>
  <c r="F221" i="8"/>
  <c r="F205" i="8"/>
  <c r="F189" i="8"/>
  <c r="F173" i="8"/>
  <c r="F157" i="8"/>
  <c r="F141" i="8"/>
  <c r="F125" i="8"/>
  <c r="F109" i="8"/>
  <c r="F93" i="8"/>
  <c r="F77" i="8"/>
  <c r="F61" i="8"/>
  <c r="F45" i="8"/>
  <c r="F29" i="8"/>
  <c r="F13" i="8"/>
  <c r="F236" i="8"/>
  <c r="F220" i="8"/>
  <c r="F204" i="8"/>
  <c r="F188" i="8"/>
  <c r="F172" i="8"/>
  <c r="F156" i="8"/>
  <c r="F140" i="8"/>
  <c r="F124" i="8"/>
  <c r="F108" i="8"/>
  <c r="F92" i="8"/>
  <c r="F76" i="8"/>
  <c r="F60" i="8"/>
  <c r="F44" i="8"/>
  <c r="F28" i="8"/>
  <c r="F12" i="8"/>
  <c r="F151" i="8"/>
  <c r="F23" i="8"/>
  <c r="F143" i="8"/>
  <c r="F15" i="8"/>
  <c r="F135" i="8"/>
  <c r="F7" i="8"/>
  <c r="F127" i="8"/>
  <c r="F238" i="8"/>
  <c r="F206" i="8"/>
  <c r="F174" i="8"/>
  <c r="F142" i="8"/>
  <c r="F110" i="8"/>
  <c r="F78" i="8"/>
  <c r="F46" i="8"/>
  <c r="F14" i="8"/>
  <c r="F219" i="8"/>
  <c r="F187" i="8"/>
  <c r="F155" i="8"/>
  <c r="F123" i="8"/>
  <c r="F91" i="8"/>
  <c r="F59" i="8"/>
  <c r="F27" i="8"/>
  <c r="F234" i="8"/>
  <c r="F202" i="8"/>
  <c r="F170" i="8"/>
  <c r="F138" i="8"/>
  <c r="F106" i="8"/>
  <c r="F74" i="8"/>
  <c r="F42" i="8"/>
  <c r="F10" i="8"/>
  <c r="F233" i="8"/>
  <c r="F217" i="8"/>
  <c r="F201" i="8"/>
  <c r="F185" i="8"/>
  <c r="F169" i="8"/>
  <c r="F153" i="8"/>
  <c r="F137" i="8"/>
  <c r="F121" i="8"/>
  <c r="F105" i="8"/>
  <c r="F89" i="8"/>
  <c r="F73" i="8"/>
  <c r="F57" i="8"/>
  <c r="F41" i="8"/>
  <c r="F25" i="8"/>
  <c r="F9" i="8"/>
  <c r="F232" i="8"/>
  <c r="F216" i="8"/>
  <c r="F200" i="8"/>
  <c r="F184" i="8"/>
  <c r="F168" i="8"/>
  <c r="F152" i="8"/>
  <c r="F136" i="8"/>
  <c r="F120" i="8"/>
  <c r="F104" i="8"/>
  <c r="F88" i="8"/>
  <c r="F72" i="8"/>
  <c r="F56" i="8"/>
  <c r="F40" i="8"/>
  <c r="F24" i="8"/>
  <c r="F8" i="8"/>
  <c r="F119" i="8"/>
  <c r="F239" i="8"/>
  <c r="F111" i="8"/>
  <c r="F231" i="8"/>
  <c r="F103" i="8"/>
  <c r="F223" i="8"/>
  <c r="F95" i="8"/>
  <c r="F230" i="8"/>
  <c r="F198" i="8"/>
  <c r="F166" i="8"/>
  <c r="F134" i="8"/>
  <c r="F102" i="8"/>
  <c r="F70" i="8"/>
  <c r="F38" i="8"/>
  <c r="F211" i="8"/>
  <c r="F179" i="8"/>
  <c r="F147" i="8"/>
  <c r="F115" i="8"/>
  <c r="F83" i="8"/>
  <c r="F51" i="8"/>
  <c r="F19" i="8"/>
  <c r="F226" i="8"/>
  <c r="F194" i="8"/>
  <c r="F162" i="8"/>
  <c r="F130" i="8"/>
  <c r="F98" i="8"/>
  <c r="F66" i="8"/>
  <c r="F34" i="8"/>
  <c r="F6" i="8"/>
  <c r="G6" i="8" s="1"/>
  <c r="F5" i="8"/>
  <c r="G5" i="8" s="1"/>
  <c r="F229" i="8"/>
  <c r="F213" i="8"/>
  <c r="F197" i="8"/>
  <c r="F181" i="8"/>
  <c r="F165" i="8"/>
  <c r="F149" i="8"/>
  <c r="F133" i="8"/>
  <c r="F117" i="8"/>
  <c r="F101" i="8"/>
  <c r="F85" i="8"/>
  <c r="F69" i="8"/>
  <c r="F53" i="8"/>
  <c r="F37" i="8"/>
  <c r="F21" i="8"/>
  <c r="F228" i="8"/>
  <c r="F212" i="8"/>
  <c r="F196" i="8"/>
  <c r="F180" i="8"/>
  <c r="F164" i="8"/>
  <c r="F148" i="8"/>
  <c r="F132" i="8"/>
  <c r="F116" i="8"/>
  <c r="F100" i="8"/>
  <c r="F84" i="8"/>
  <c r="F68" i="8"/>
  <c r="F52" i="8"/>
  <c r="F36" i="8"/>
  <c r="F20" i="8"/>
  <c r="I3" i="8"/>
  <c r="F13" i="42"/>
  <c r="E15" i="42"/>
  <c r="B15" i="42"/>
  <c r="A16" i="42"/>
  <c r="D14" i="42"/>
  <c r="C14" i="42"/>
  <c r="G8" i="8" l="1"/>
  <c r="I8" i="8" s="1"/>
  <c r="G36" i="8"/>
  <c r="I36" i="8" s="1"/>
  <c r="G100" i="8"/>
  <c r="I100" i="8" s="1"/>
  <c r="G132" i="8"/>
  <c r="I132" i="8" s="1"/>
  <c r="G196" i="8"/>
  <c r="I196" i="8" s="1"/>
  <c r="G228" i="8"/>
  <c r="I228" i="8" s="1"/>
  <c r="G69" i="8"/>
  <c r="I69" i="8" s="1"/>
  <c r="G133" i="8"/>
  <c r="I133" i="8" s="1"/>
  <c r="G197" i="8"/>
  <c r="I197" i="8" s="1"/>
  <c r="G66" i="8"/>
  <c r="I66" i="8" s="1"/>
  <c r="G130" i="8"/>
  <c r="I130" i="8" s="1"/>
  <c r="G194" i="8"/>
  <c r="I194" i="8" s="1"/>
  <c r="G70" i="8"/>
  <c r="I70" i="8" s="1"/>
  <c r="G198" i="8"/>
  <c r="I198" i="8" s="1"/>
  <c r="G222" i="8"/>
  <c r="I222" i="8" s="1"/>
  <c r="G110" i="8"/>
  <c r="I110" i="8" s="1"/>
  <c r="G118" i="8"/>
  <c r="I118" i="8" s="1"/>
  <c r="G23" i="8"/>
  <c r="I23" i="8" s="1"/>
  <c r="G55" i="8"/>
  <c r="I55" i="8" s="1"/>
  <c r="G87" i="8"/>
  <c r="I87" i="8" s="1"/>
  <c r="G135" i="8"/>
  <c r="I135" i="8" s="1"/>
  <c r="G167" i="8"/>
  <c r="I167" i="8" s="1"/>
  <c r="G199" i="8"/>
  <c r="I199" i="8" s="1"/>
  <c r="G232" i="8"/>
  <c r="I232" i="8" s="1"/>
  <c r="G41" i="8"/>
  <c r="I41" i="8" s="1"/>
  <c r="G105" i="8"/>
  <c r="I105" i="8" s="1"/>
  <c r="G169" i="8"/>
  <c r="I169" i="8" s="1"/>
  <c r="G233" i="8"/>
  <c r="I233" i="8" s="1"/>
  <c r="G106" i="8"/>
  <c r="I106" i="8" s="1"/>
  <c r="G234" i="8"/>
  <c r="I234" i="8" s="1"/>
  <c r="G59" i="8"/>
  <c r="I59" i="8" s="1"/>
  <c r="G123" i="8"/>
  <c r="I123" i="8" s="1"/>
  <c r="G187" i="8"/>
  <c r="I187" i="8" s="1"/>
  <c r="G14" i="8"/>
  <c r="I14" i="8" s="1"/>
  <c r="G78" i="8"/>
  <c r="I78" i="8" s="1"/>
  <c r="G142" i="8"/>
  <c r="I142" i="8" s="1"/>
  <c r="G206" i="8"/>
  <c r="I206" i="8" s="1"/>
  <c r="G127" i="8"/>
  <c r="I127" i="8" s="1"/>
  <c r="G143" i="8"/>
  <c r="I143" i="8" s="1"/>
  <c r="G11" i="8"/>
  <c r="I11" i="8" s="1"/>
  <c r="G44" i="8"/>
  <c r="I44" i="8" s="1"/>
  <c r="G92" i="8"/>
  <c r="I92" i="8" s="1"/>
  <c r="G140" i="8"/>
  <c r="I140" i="8" s="1"/>
  <c r="G188" i="8"/>
  <c r="I188" i="8" s="1"/>
  <c r="G235" i="8"/>
  <c r="I235" i="8" s="1"/>
  <c r="G145" i="8"/>
  <c r="I145" i="8" s="1"/>
  <c r="G150" i="8"/>
  <c r="I150" i="8" s="1"/>
  <c r="G159" i="8"/>
  <c r="I159" i="8" s="1"/>
  <c r="G175" i="8"/>
  <c r="I175" i="8" s="1"/>
  <c r="G176" i="8"/>
  <c r="I176" i="8" s="1"/>
  <c r="G128" i="8"/>
  <c r="I128" i="8" s="1"/>
  <c r="G177" i="8"/>
  <c r="I177" i="8" s="1"/>
  <c r="G139" i="8"/>
  <c r="I139" i="8" s="1"/>
  <c r="G158" i="8"/>
  <c r="I158" i="8" s="1"/>
  <c r="G207" i="8"/>
  <c r="I207" i="8" s="1"/>
  <c r="G63" i="8"/>
  <c r="I63" i="8" s="1"/>
  <c r="G112" i="8"/>
  <c r="I112" i="8" s="1"/>
  <c r="G192" i="8"/>
  <c r="I192" i="8" s="1"/>
  <c r="G19" i="8"/>
  <c r="I19" i="8" s="1"/>
  <c r="G51" i="8"/>
  <c r="I51" i="8" s="1"/>
  <c r="G83" i="8"/>
  <c r="I83" i="8" s="1"/>
  <c r="G115" i="8"/>
  <c r="I115" i="8" s="1"/>
  <c r="G147" i="8"/>
  <c r="I147" i="8" s="1"/>
  <c r="G179" i="8"/>
  <c r="I179" i="8" s="1"/>
  <c r="G211" i="8"/>
  <c r="I211" i="8" s="1"/>
  <c r="G21" i="8"/>
  <c r="I21" i="8" s="1"/>
  <c r="G85" i="8"/>
  <c r="I85" i="8" s="1"/>
  <c r="G149" i="8"/>
  <c r="I149" i="8" s="1"/>
  <c r="G213" i="8"/>
  <c r="I213" i="8" s="1"/>
  <c r="G33" i="8"/>
  <c r="I33" i="8" s="1"/>
  <c r="G97" i="8"/>
  <c r="I97" i="8" s="1"/>
  <c r="G161" i="8"/>
  <c r="I161" i="8" s="1"/>
  <c r="G225" i="8"/>
  <c r="I225" i="8" s="1"/>
  <c r="G50" i="8"/>
  <c r="I50" i="8" s="1"/>
  <c r="G114" i="8"/>
  <c r="I114" i="8" s="1"/>
  <c r="G178" i="8"/>
  <c r="I178" i="8" s="1"/>
  <c r="G242" i="8"/>
  <c r="I242" i="8" s="1"/>
  <c r="G102" i="8"/>
  <c r="I102" i="8" s="1"/>
  <c r="G230" i="8"/>
  <c r="I230" i="8" s="1"/>
  <c r="G223" i="8"/>
  <c r="I223" i="8" s="1"/>
  <c r="G111" i="8"/>
  <c r="I111" i="8" s="1"/>
  <c r="G119" i="8"/>
  <c r="I119" i="8" s="1"/>
  <c r="G24" i="8"/>
  <c r="I24" i="8" s="1"/>
  <c r="G56" i="8"/>
  <c r="I56" i="8" s="1"/>
  <c r="G88" i="8"/>
  <c r="I88" i="8" s="1"/>
  <c r="G136" i="8"/>
  <c r="I136" i="8" s="1"/>
  <c r="G168" i="8"/>
  <c r="I168" i="8" s="1"/>
  <c r="G200" i="8"/>
  <c r="I200" i="8" s="1"/>
  <c r="G57" i="8"/>
  <c r="I57" i="8" s="1"/>
  <c r="G121" i="8"/>
  <c r="I121" i="8" s="1"/>
  <c r="G185" i="8"/>
  <c r="I185" i="8" s="1"/>
  <c r="G10" i="8"/>
  <c r="I10" i="8" s="1"/>
  <c r="G138" i="8"/>
  <c r="I138" i="8" s="1"/>
  <c r="G26" i="8"/>
  <c r="I26" i="8" s="1"/>
  <c r="G90" i="8"/>
  <c r="I90" i="8" s="1"/>
  <c r="G154" i="8"/>
  <c r="I154" i="8" s="1"/>
  <c r="G218" i="8"/>
  <c r="I218" i="8" s="1"/>
  <c r="G45" i="8"/>
  <c r="I45" i="8" s="1"/>
  <c r="G109" i="8"/>
  <c r="I109" i="8" s="1"/>
  <c r="G173" i="8"/>
  <c r="I173" i="8" s="1"/>
  <c r="G237" i="8"/>
  <c r="I237" i="8" s="1"/>
  <c r="G22" i="8"/>
  <c r="I22" i="8" s="1"/>
  <c r="G12" i="8"/>
  <c r="I12" i="8" s="1"/>
  <c r="G60" i="8"/>
  <c r="I60" i="8" s="1"/>
  <c r="G107" i="8"/>
  <c r="I107" i="8" s="1"/>
  <c r="G156" i="8"/>
  <c r="I156" i="8" s="1"/>
  <c r="G203" i="8"/>
  <c r="I203" i="8" s="1"/>
  <c r="G236" i="8"/>
  <c r="I236" i="8" s="1"/>
  <c r="G61" i="8"/>
  <c r="I61" i="8" s="1"/>
  <c r="G125" i="8"/>
  <c r="I125" i="8" s="1"/>
  <c r="G189" i="8"/>
  <c r="I189" i="8" s="1"/>
  <c r="G17" i="8"/>
  <c r="I17" i="8" s="1"/>
  <c r="G81" i="8"/>
  <c r="I81" i="8" s="1"/>
  <c r="G54" i="8"/>
  <c r="I54" i="8" s="1"/>
  <c r="G182" i="8"/>
  <c r="I182" i="8" s="1"/>
  <c r="G208" i="8"/>
  <c r="I208" i="8" s="1"/>
  <c r="G209" i="8"/>
  <c r="I209" i="8" s="1"/>
  <c r="G64" i="8"/>
  <c r="I64" i="8" s="1"/>
  <c r="G224" i="8"/>
  <c r="I224" i="8" s="1"/>
  <c r="G113" i="8"/>
  <c r="I113" i="8" s="1"/>
  <c r="G62" i="8"/>
  <c r="I62" i="8" s="1"/>
  <c r="G68" i="8"/>
  <c r="I68" i="8" s="1"/>
  <c r="G164" i="8"/>
  <c r="I164" i="8" s="1"/>
  <c r="G20" i="8"/>
  <c r="I20" i="8" s="1"/>
  <c r="G52" i="8"/>
  <c r="I52" i="8" s="1"/>
  <c r="G84" i="8"/>
  <c r="I84" i="8" s="1"/>
  <c r="G116" i="8"/>
  <c r="I116" i="8" s="1"/>
  <c r="G148" i="8"/>
  <c r="I148" i="8" s="1"/>
  <c r="G180" i="8"/>
  <c r="I180" i="8" s="1"/>
  <c r="G212" i="8"/>
  <c r="I212" i="8" s="1"/>
  <c r="G37" i="8"/>
  <c r="I37" i="8" s="1"/>
  <c r="G101" i="8"/>
  <c r="I101" i="8" s="1"/>
  <c r="G165" i="8"/>
  <c r="I165" i="8" s="1"/>
  <c r="G229" i="8"/>
  <c r="I229" i="8" s="1"/>
  <c r="G34" i="8"/>
  <c r="I34" i="8" s="1"/>
  <c r="G98" i="8"/>
  <c r="I98" i="8" s="1"/>
  <c r="G162" i="8"/>
  <c r="I162" i="8" s="1"/>
  <c r="G226" i="8"/>
  <c r="I226" i="8" s="1"/>
  <c r="G134" i="8"/>
  <c r="I134" i="8" s="1"/>
  <c r="G94" i="8"/>
  <c r="I94" i="8" s="1"/>
  <c r="G103" i="8"/>
  <c r="I103" i="8" s="1"/>
  <c r="G238" i="8"/>
  <c r="I238" i="8" s="1"/>
  <c r="G7" i="8"/>
  <c r="I7" i="8" s="1"/>
  <c r="G39" i="8"/>
  <c r="I39" i="8" s="1"/>
  <c r="G71" i="8"/>
  <c r="I71" i="8" s="1"/>
  <c r="G104" i="8"/>
  <c r="I104" i="8" s="1"/>
  <c r="G151" i="8"/>
  <c r="I151" i="8" s="1"/>
  <c r="G183" i="8"/>
  <c r="I183" i="8" s="1"/>
  <c r="G215" i="8"/>
  <c r="I215" i="8" s="1"/>
  <c r="G9" i="8"/>
  <c r="I9" i="8" s="1"/>
  <c r="G73" i="8"/>
  <c r="I73" i="8" s="1"/>
  <c r="G137" i="8"/>
  <c r="I137" i="8" s="1"/>
  <c r="G201" i="8"/>
  <c r="I201" i="8" s="1"/>
  <c r="G42" i="8"/>
  <c r="I42" i="8" s="1"/>
  <c r="G170" i="8"/>
  <c r="I170" i="8" s="1"/>
  <c r="G27" i="8"/>
  <c r="I27" i="8" s="1"/>
  <c r="G91" i="8"/>
  <c r="I91" i="8" s="1"/>
  <c r="G155" i="8"/>
  <c r="I155" i="8" s="1"/>
  <c r="G219" i="8"/>
  <c r="I219" i="8" s="1"/>
  <c r="G46" i="8"/>
  <c r="I46" i="8" s="1"/>
  <c r="G174" i="8"/>
  <c r="I174" i="8" s="1"/>
  <c r="G28" i="8"/>
  <c r="I28" i="8" s="1"/>
  <c r="G75" i="8"/>
  <c r="I75" i="8" s="1"/>
  <c r="G108" i="8"/>
  <c r="I108" i="8" s="1"/>
  <c r="G171" i="8"/>
  <c r="I171" i="8" s="1"/>
  <c r="G204" i="8"/>
  <c r="I204" i="8" s="1"/>
  <c r="G86" i="8"/>
  <c r="I86" i="8" s="1"/>
  <c r="G214" i="8"/>
  <c r="I214" i="8" s="1"/>
  <c r="G240" i="8"/>
  <c r="I240" i="8" s="1"/>
  <c r="G96" i="8"/>
  <c r="I96" i="8" s="1"/>
  <c r="G160" i="8"/>
  <c r="I160" i="8" s="1"/>
  <c r="G241" i="8"/>
  <c r="I241" i="8" s="1"/>
  <c r="G30" i="8"/>
  <c r="I30" i="8" s="1"/>
  <c r="G191" i="8"/>
  <c r="I191" i="8" s="1"/>
  <c r="G16" i="8"/>
  <c r="I16" i="8" s="1"/>
  <c r="G80" i="8"/>
  <c r="I80" i="8" s="1"/>
  <c r="G144" i="8"/>
  <c r="I144" i="8" s="1"/>
  <c r="G79" i="8"/>
  <c r="I79" i="8" s="1"/>
  <c r="G35" i="8"/>
  <c r="I35" i="8" s="1"/>
  <c r="G67" i="8"/>
  <c r="I67" i="8" s="1"/>
  <c r="G99" i="8"/>
  <c r="I99" i="8" s="1"/>
  <c r="G131" i="8"/>
  <c r="I131" i="8" s="1"/>
  <c r="G163" i="8"/>
  <c r="I163" i="8" s="1"/>
  <c r="G195" i="8"/>
  <c r="I195" i="8" s="1"/>
  <c r="G227" i="8"/>
  <c r="I227" i="8" s="1"/>
  <c r="G53" i="8"/>
  <c r="I53" i="8" s="1"/>
  <c r="G117" i="8"/>
  <c r="I117" i="8" s="1"/>
  <c r="G181" i="8"/>
  <c r="I181" i="8" s="1"/>
  <c r="G65" i="8"/>
  <c r="I65" i="8" s="1"/>
  <c r="G129" i="8"/>
  <c r="I129" i="8" s="1"/>
  <c r="G193" i="8"/>
  <c r="I193" i="8" s="1"/>
  <c r="G18" i="8"/>
  <c r="I18" i="8" s="1"/>
  <c r="G82" i="8"/>
  <c r="I82" i="8" s="1"/>
  <c r="G146" i="8"/>
  <c r="I146" i="8" s="1"/>
  <c r="G210" i="8"/>
  <c r="I210" i="8" s="1"/>
  <c r="G38" i="8"/>
  <c r="I38" i="8" s="1"/>
  <c r="G166" i="8"/>
  <c r="I166" i="8" s="1"/>
  <c r="G95" i="8"/>
  <c r="I95" i="8" s="1"/>
  <c r="G231" i="8"/>
  <c r="I231" i="8" s="1"/>
  <c r="G239" i="8"/>
  <c r="I239" i="8" s="1"/>
  <c r="G40" i="8"/>
  <c r="I40" i="8" s="1"/>
  <c r="G72" i="8"/>
  <c r="I72" i="8" s="1"/>
  <c r="G120" i="8"/>
  <c r="I120" i="8" s="1"/>
  <c r="G152" i="8"/>
  <c r="I152" i="8" s="1"/>
  <c r="G184" i="8"/>
  <c r="I184" i="8" s="1"/>
  <c r="G216" i="8"/>
  <c r="I216" i="8" s="1"/>
  <c r="G25" i="8"/>
  <c r="I25" i="8" s="1"/>
  <c r="G89" i="8"/>
  <c r="I89" i="8" s="1"/>
  <c r="G153" i="8"/>
  <c r="I153" i="8" s="1"/>
  <c r="G217" i="8"/>
  <c r="I217" i="8" s="1"/>
  <c r="G74" i="8"/>
  <c r="I74" i="8" s="1"/>
  <c r="G202" i="8"/>
  <c r="I202" i="8" s="1"/>
  <c r="G58" i="8"/>
  <c r="I58" i="8" s="1"/>
  <c r="G122" i="8"/>
  <c r="I122" i="8" s="1"/>
  <c r="G186" i="8"/>
  <c r="I186" i="8" s="1"/>
  <c r="G13" i="8"/>
  <c r="I13" i="8" s="1"/>
  <c r="G77" i="8"/>
  <c r="I77" i="8" s="1"/>
  <c r="G141" i="8"/>
  <c r="I141" i="8" s="1"/>
  <c r="G205" i="8"/>
  <c r="I205" i="8" s="1"/>
  <c r="G126" i="8"/>
  <c r="I126" i="8" s="1"/>
  <c r="G15" i="8"/>
  <c r="I15" i="8" s="1"/>
  <c r="G43" i="8"/>
  <c r="I43" i="8" s="1"/>
  <c r="G76" i="8"/>
  <c r="I76" i="8" s="1"/>
  <c r="G124" i="8"/>
  <c r="I124" i="8" s="1"/>
  <c r="G172" i="8"/>
  <c r="I172" i="8" s="1"/>
  <c r="G220" i="8"/>
  <c r="I220" i="8" s="1"/>
  <c r="G29" i="8"/>
  <c r="I29" i="8" s="1"/>
  <c r="G93" i="8"/>
  <c r="I93" i="8" s="1"/>
  <c r="G157" i="8"/>
  <c r="I157" i="8" s="1"/>
  <c r="G221" i="8"/>
  <c r="I221" i="8" s="1"/>
  <c r="G49" i="8"/>
  <c r="I49" i="8" s="1"/>
  <c r="G31" i="8"/>
  <c r="I31" i="8" s="1"/>
  <c r="G47" i="8"/>
  <c r="I47" i="8" s="1"/>
  <c r="G48" i="8"/>
  <c r="I48" i="8" s="1"/>
  <c r="G32" i="8"/>
  <c r="I32" i="8" s="1"/>
  <c r="G190" i="8"/>
  <c r="I190" i="8" s="1"/>
  <c r="I6" i="8"/>
  <c r="H6" i="8"/>
  <c r="I5" i="8"/>
  <c r="H5" i="8"/>
  <c r="F14" i="42"/>
  <c r="E16" i="42"/>
  <c r="A17" i="42"/>
  <c r="B16" i="42"/>
  <c r="D15" i="42"/>
  <c r="C15" i="42"/>
  <c r="H4" i="20"/>
  <c r="F15" i="42" l="1"/>
  <c r="D16" i="42"/>
  <c r="C16" i="42"/>
  <c r="E17" i="42"/>
  <c r="A18" i="42"/>
  <c r="B17" i="42"/>
  <c r="E18" i="42" l="1"/>
  <c r="A19" i="42"/>
  <c r="B18" i="42"/>
  <c r="F16" i="42"/>
  <c r="D17" i="42"/>
  <c r="C17" i="42"/>
  <c r="K61" i="14"/>
  <c r="L61" i="14"/>
  <c r="M61" i="14"/>
  <c r="K75" i="14"/>
  <c r="K78" i="14" s="1"/>
  <c r="L75" i="14"/>
  <c r="L78" i="14" s="1"/>
  <c r="M75" i="14"/>
  <c r="M78" i="14" s="1"/>
  <c r="J75" i="14"/>
  <c r="J78" i="14" s="1"/>
  <c r="I75" i="14"/>
  <c r="I78" i="14" s="1"/>
  <c r="H75" i="14"/>
  <c r="H78" i="14" s="1"/>
  <c r="G75" i="14"/>
  <c r="G78" i="14" s="1"/>
  <c r="F75" i="14"/>
  <c r="F78" i="14" s="1"/>
  <c r="E75" i="14"/>
  <c r="J61" i="14"/>
  <c r="I61" i="14"/>
  <c r="H61" i="14"/>
  <c r="G61" i="14"/>
  <c r="F61" i="14"/>
  <c r="E61" i="14"/>
  <c r="E78" i="14" l="1"/>
  <c r="D18" i="42"/>
  <c r="C18" i="42"/>
  <c r="F17" i="42"/>
  <c r="E19" i="42"/>
  <c r="A20" i="42"/>
  <c r="B19" i="42"/>
  <c r="D61" i="14"/>
  <c r="D75" i="14"/>
  <c r="D78" i="14" s="1"/>
  <c r="R14" i="14"/>
  <c r="A12" i="36" l="1"/>
  <c r="AQ10" i="36" s="1"/>
  <c r="H35" i="14"/>
  <c r="S10" i="36"/>
  <c r="W10" i="36"/>
  <c r="J10" i="36"/>
  <c r="M35" i="14"/>
  <c r="N35" i="14"/>
  <c r="K35" i="14"/>
  <c r="AQ9" i="36" s="1"/>
  <c r="O35" i="14"/>
  <c r="L35" i="14"/>
  <c r="F18" i="42"/>
  <c r="D19" i="42"/>
  <c r="C19" i="42"/>
  <c r="E20" i="42"/>
  <c r="A21" i="42"/>
  <c r="B20" i="42"/>
  <c r="K50" i="14"/>
  <c r="O50" i="14"/>
  <c r="L50" i="14"/>
  <c r="M50" i="14"/>
  <c r="N50" i="14"/>
  <c r="H3" i="20"/>
  <c r="I3" i="20" s="1"/>
  <c r="M34" i="14"/>
  <c r="N34" i="14"/>
  <c r="K34" i="14"/>
  <c r="O34" i="14"/>
  <c r="L34" i="14"/>
  <c r="E35" i="14"/>
  <c r="F35" i="14"/>
  <c r="AL9" i="36" s="1"/>
  <c r="AL10" i="36" s="1"/>
  <c r="G35" i="14"/>
  <c r="AM9" i="36" s="1"/>
  <c r="AM10" i="36" s="1"/>
  <c r="H34" i="14"/>
  <c r="I35" i="14"/>
  <c r="AO9" i="36" s="1"/>
  <c r="AO10" i="36" s="1"/>
  <c r="J35" i="14"/>
  <c r="AP9" i="36" s="1"/>
  <c r="AP10" i="36" s="1"/>
  <c r="E23" i="14"/>
  <c r="F23" i="14"/>
  <c r="G23" i="14"/>
  <c r="H23" i="14"/>
  <c r="I23" i="14"/>
  <c r="J23" i="14"/>
  <c r="N5" i="36"/>
  <c r="X5" i="36"/>
  <c r="AH5" i="36"/>
  <c r="AR5" i="36"/>
  <c r="BB5" i="36"/>
  <c r="AI10" i="36" l="1"/>
  <c r="AA10" i="36"/>
  <c r="K10" i="36"/>
  <c r="Z10" i="36"/>
  <c r="Y10" i="36"/>
  <c r="X10" i="36"/>
  <c r="AC5" i="36"/>
  <c r="S5" i="36"/>
  <c r="AW5" i="36"/>
  <c r="J34" i="14"/>
  <c r="J36" i="14" s="1"/>
  <c r="I34" i="14"/>
  <c r="I36" i="14" s="1"/>
  <c r="BG5" i="36"/>
  <c r="M36" i="14"/>
  <c r="O36" i="14"/>
  <c r="N36" i="14"/>
  <c r="K36" i="14"/>
  <c r="L36" i="14"/>
  <c r="F19" i="42"/>
  <c r="E34" i="14"/>
  <c r="G34" i="14"/>
  <c r="E21" i="42"/>
  <c r="A22" i="42"/>
  <c r="B21" i="42"/>
  <c r="D20" i="42"/>
  <c r="C20" i="42"/>
  <c r="R15" i="14"/>
  <c r="K52" i="14"/>
  <c r="K51" i="14"/>
  <c r="M52" i="14"/>
  <c r="M51" i="14"/>
  <c r="L52" i="14"/>
  <c r="L51" i="14"/>
  <c r="O52" i="14"/>
  <c r="O51" i="14"/>
  <c r="N52" i="14"/>
  <c r="N51" i="14"/>
  <c r="F34" i="14"/>
  <c r="E8" i="11"/>
  <c r="C8" i="11"/>
  <c r="D8" i="11"/>
  <c r="F8" i="11"/>
  <c r="J8" i="11" s="1"/>
  <c r="C9" i="11"/>
  <c r="D9" i="11"/>
  <c r="E9" i="11"/>
  <c r="F9" i="11"/>
  <c r="J9" i="11" s="1"/>
  <c r="C10" i="11"/>
  <c r="D10" i="11"/>
  <c r="E10" i="11"/>
  <c r="F10" i="11"/>
  <c r="J10" i="11" s="1"/>
  <c r="C11" i="11"/>
  <c r="D11" i="11"/>
  <c r="E11" i="11"/>
  <c r="F11" i="11"/>
  <c r="J11" i="11" s="1"/>
  <c r="C12" i="11"/>
  <c r="D12" i="11"/>
  <c r="E12" i="11"/>
  <c r="F12" i="11"/>
  <c r="J12" i="11" s="1"/>
  <c r="C13" i="11"/>
  <c r="D13" i="11"/>
  <c r="E13" i="11"/>
  <c r="F13" i="11"/>
  <c r="J13" i="11" s="1"/>
  <c r="C14" i="11"/>
  <c r="D14" i="11"/>
  <c r="E14" i="11"/>
  <c r="F14" i="11"/>
  <c r="J14" i="11" s="1"/>
  <c r="D7" i="11"/>
  <c r="E7" i="11"/>
  <c r="F7" i="11"/>
  <c r="J7" i="11" s="1"/>
  <c r="C7" i="11"/>
  <c r="AN9" i="36" l="1"/>
  <c r="AN10" i="36" s="1"/>
  <c r="H36" i="14"/>
  <c r="AM5" i="36"/>
  <c r="F36" i="14"/>
  <c r="F20" i="42"/>
  <c r="E36" i="14"/>
  <c r="G36" i="14"/>
  <c r="D21" i="42"/>
  <c r="C21" i="42"/>
  <c r="E22" i="42"/>
  <c r="A23" i="42"/>
  <c r="B22" i="42"/>
  <c r="G14" i="11"/>
  <c r="H14" i="11"/>
  <c r="G13" i="11"/>
  <c r="H13" i="11"/>
  <c r="G12" i="11"/>
  <c r="H12" i="11"/>
  <c r="G10" i="11"/>
  <c r="H10" i="11"/>
  <c r="G11" i="11"/>
  <c r="H11" i="11"/>
  <c r="G9" i="11"/>
  <c r="H9" i="11"/>
  <c r="G8" i="11"/>
  <c r="H8" i="11"/>
  <c r="G7" i="11"/>
  <c r="H7" i="11"/>
  <c r="F21" i="42" l="1"/>
  <c r="E23" i="42"/>
  <c r="A24" i="42"/>
  <c r="B23" i="42"/>
  <c r="D22" i="42"/>
  <c r="C22" i="42"/>
  <c r="D11" i="14"/>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193" i="8"/>
  <c r="H197" i="8"/>
  <c r="H201" i="8"/>
  <c r="H205" i="8"/>
  <c r="H209" i="8"/>
  <c r="H213" i="8"/>
  <c r="H217" i="8"/>
  <c r="H221" i="8"/>
  <c r="H225" i="8"/>
  <c r="H226" i="8"/>
  <c r="H229" i="8"/>
  <c r="H230" i="8"/>
  <c r="H231" i="8"/>
  <c r="H232" i="8"/>
  <c r="H233" i="8"/>
  <c r="H234" i="8"/>
  <c r="H235" i="8"/>
  <c r="H236" i="8"/>
  <c r="H237" i="8"/>
  <c r="H238" i="8"/>
  <c r="H239" i="8"/>
  <c r="H240" i="8"/>
  <c r="H241" i="8"/>
  <c r="H242" i="8"/>
  <c r="D20" i="14"/>
  <c r="D32" i="14" l="1"/>
  <c r="D18" i="14"/>
  <c r="D5" i="36" s="1"/>
  <c r="C10" i="36"/>
  <c r="U7" i="36" s="1"/>
  <c r="C5" i="36"/>
  <c r="F22" i="42"/>
  <c r="D23" i="42"/>
  <c r="C23" i="42"/>
  <c r="E24" i="42"/>
  <c r="A25" i="42"/>
  <c r="B24" i="42"/>
  <c r="D83" i="14"/>
  <c r="D48" i="14"/>
  <c r="D23" i="14"/>
  <c r="D16" i="14"/>
  <c r="F243" i="8"/>
  <c r="G243" i="8" s="1"/>
  <c r="H185" i="8"/>
  <c r="H173" i="8"/>
  <c r="H169" i="8"/>
  <c r="H153" i="8"/>
  <c r="H137" i="8"/>
  <c r="H117" i="8"/>
  <c r="H227" i="8"/>
  <c r="H223" i="8"/>
  <c r="H219" i="8"/>
  <c r="H215" i="8"/>
  <c r="H211" i="8"/>
  <c r="H207" i="8"/>
  <c r="H203" i="8"/>
  <c r="H199" i="8"/>
  <c r="H195" i="8"/>
  <c r="H191" i="8"/>
  <c r="H187" i="8"/>
  <c r="H183" i="8"/>
  <c r="H179" i="8"/>
  <c r="H175" i="8"/>
  <c r="H171" i="8"/>
  <c r="H167" i="8"/>
  <c r="H163" i="8"/>
  <c r="H159" i="8"/>
  <c r="H155" i="8"/>
  <c r="H151" i="8"/>
  <c r="H147" i="8"/>
  <c r="H143" i="8"/>
  <c r="H139" i="8"/>
  <c r="H135" i="8"/>
  <c r="H131" i="8"/>
  <c r="H127" i="8"/>
  <c r="H123" i="8"/>
  <c r="H119" i="8"/>
  <c r="H115" i="8"/>
  <c r="H111" i="8"/>
  <c r="H181" i="8"/>
  <c r="H161" i="8"/>
  <c r="H149" i="8"/>
  <c r="H141" i="8"/>
  <c r="H129" i="8"/>
  <c r="H121" i="8"/>
  <c r="H222" i="8"/>
  <c r="H218" i="8"/>
  <c r="H214" i="8"/>
  <c r="H210" i="8"/>
  <c r="H206" i="8"/>
  <c r="H202" i="8"/>
  <c r="H198" i="8"/>
  <c r="H194" i="8"/>
  <c r="H190" i="8"/>
  <c r="H186" i="8"/>
  <c r="H182" i="8"/>
  <c r="H178" i="8"/>
  <c r="H174" i="8"/>
  <c r="H170" i="8"/>
  <c r="H166" i="8"/>
  <c r="H162" i="8"/>
  <c r="H158" i="8"/>
  <c r="H154" i="8"/>
  <c r="H150" i="8"/>
  <c r="H146" i="8"/>
  <c r="H142" i="8"/>
  <c r="H138" i="8"/>
  <c r="H134" i="8"/>
  <c r="H130" i="8"/>
  <c r="H126" i="8"/>
  <c r="H122" i="8"/>
  <c r="H118" i="8"/>
  <c r="H114" i="8"/>
  <c r="H110" i="8"/>
  <c r="H189" i="8"/>
  <c r="H177" i="8"/>
  <c r="H165" i="8"/>
  <c r="H157" i="8"/>
  <c r="H145" i="8"/>
  <c r="H133" i="8"/>
  <c r="H125" i="8"/>
  <c r="H113" i="8"/>
  <c r="H228" i="8"/>
  <c r="H224" i="8"/>
  <c r="H220" i="8"/>
  <c r="H216" i="8"/>
  <c r="H212" i="8"/>
  <c r="H208" i="8"/>
  <c r="H204" i="8"/>
  <c r="H200" i="8"/>
  <c r="H196" i="8"/>
  <c r="H192" i="8"/>
  <c r="H188" i="8"/>
  <c r="H184" i="8"/>
  <c r="H180" i="8"/>
  <c r="H176" i="8"/>
  <c r="H172" i="8"/>
  <c r="H168" i="8"/>
  <c r="H164" i="8"/>
  <c r="H160" i="8"/>
  <c r="H156" i="8"/>
  <c r="H152" i="8"/>
  <c r="H148" i="8"/>
  <c r="H144" i="8"/>
  <c r="H140" i="8"/>
  <c r="H136" i="8"/>
  <c r="H132" i="8"/>
  <c r="H128" i="8"/>
  <c r="H124" i="8"/>
  <c r="H120" i="8"/>
  <c r="H116" i="8"/>
  <c r="H112" i="8"/>
  <c r="H57" i="14"/>
  <c r="M73" i="14"/>
  <c r="M57" i="14"/>
  <c r="L73" i="14"/>
  <c r="H73" i="14"/>
  <c r="G73" i="14"/>
  <c r="I73" i="14"/>
  <c r="E73" i="14"/>
  <c r="F57" i="14"/>
  <c r="J57" i="14"/>
  <c r="K57" i="14"/>
  <c r="F73" i="14"/>
  <c r="J73" i="14"/>
  <c r="G57" i="14"/>
  <c r="D77" i="14"/>
  <c r="D79" i="14" s="1"/>
  <c r="L57" i="14"/>
  <c r="D67" i="14"/>
  <c r="K73" i="14"/>
  <c r="E57" i="14"/>
  <c r="I57" i="14"/>
  <c r="H14" i="14"/>
  <c r="P9" i="36" s="1"/>
  <c r="I14" i="14"/>
  <c r="Q9" i="36" s="1"/>
  <c r="E14" i="14"/>
  <c r="G14" i="14"/>
  <c r="O9" i="36" s="1"/>
  <c r="J14" i="14"/>
  <c r="R9" i="36" s="1"/>
  <c r="R10" i="36" s="1"/>
  <c r="F14" i="14"/>
  <c r="N9" i="36" s="1"/>
  <c r="O14" i="14"/>
  <c r="O33" i="14" s="1"/>
  <c r="K14" i="14"/>
  <c r="L14" i="14"/>
  <c r="L33" i="14" s="1"/>
  <c r="N14" i="14"/>
  <c r="N33" i="14" s="1"/>
  <c r="M14" i="14"/>
  <c r="M33" i="14" s="1"/>
  <c r="D27" i="14"/>
  <c r="D26" i="14"/>
  <c r="D29" i="14"/>
  <c r="D12" i="14"/>
  <c r="D40" i="14"/>
  <c r="D28" i="14"/>
  <c r="D13" i="14"/>
  <c r="D25" i="14"/>
  <c r="V9" i="36" l="1"/>
  <c r="V10" i="36" s="1"/>
  <c r="U9" i="36"/>
  <c r="S9" i="36"/>
  <c r="K33" i="14"/>
  <c r="M39" i="14"/>
  <c r="L39" i="14"/>
  <c r="E67" i="14"/>
  <c r="E81" i="14" s="1"/>
  <c r="P10" i="36"/>
  <c r="O10" i="36"/>
  <c r="N10" i="36"/>
  <c r="P5" i="36"/>
  <c r="J33" i="14"/>
  <c r="I33" i="14"/>
  <c r="AY5" i="36" s="1"/>
  <c r="Q10" i="36"/>
  <c r="M67" i="14"/>
  <c r="M81" i="14" s="1"/>
  <c r="K24" i="14"/>
  <c r="K38" i="14" s="1"/>
  <c r="K19" i="14"/>
  <c r="K37" i="14" s="1"/>
  <c r="J24" i="14"/>
  <c r="J38" i="14" s="1"/>
  <c r="H24" i="14"/>
  <c r="H38" i="14" s="1"/>
  <c r="D81" i="14"/>
  <c r="F67" i="14"/>
  <c r="F81" i="14" s="1"/>
  <c r="H67" i="14"/>
  <c r="H81" i="14" s="1"/>
  <c r="N19" i="14"/>
  <c r="N37" i="14" s="1"/>
  <c r="N39" i="14" s="1"/>
  <c r="N24" i="14"/>
  <c r="N38" i="14" s="1"/>
  <c r="E24" i="14"/>
  <c r="E38" i="14" s="1"/>
  <c r="K67" i="14"/>
  <c r="K81" i="14" s="1"/>
  <c r="M19" i="14"/>
  <c r="M37" i="14" s="1"/>
  <c r="M24" i="14"/>
  <c r="M38" i="14" s="1"/>
  <c r="O24" i="14"/>
  <c r="O38" i="14" s="1"/>
  <c r="O19" i="14"/>
  <c r="O37" i="14" s="1"/>
  <c r="O39" i="14" s="1"/>
  <c r="G24" i="14"/>
  <c r="G38" i="14" s="1"/>
  <c r="I67" i="14"/>
  <c r="I81" i="14" s="1"/>
  <c r="L67" i="14"/>
  <c r="L81" i="14" s="1"/>
  <c r="L24" i="14"/>
  <c r="L38" i="14" s="1"/>
  <c r="L19" i="14"/>
  <c r="L37" i="14" s="1"/>
  <c r="F24" i="14"/>
  <c r="F38" i="14" s="1"/>
  <c r="I24" i="14"/>
  <c r="I38" i="14" s="1"/>
  <c r="G67" i="14"/>
  <c r="G81" i="14" s="1"/>
  <c r="J67" i="14"/>
  <c r="J81" i="14" s="1"/>
  <c r="E76" i="14"/>
  <c r="G76" i="14"/>
  <c r="J76" i="14"/>
  <c r="K76" i="14"/>
  <c r="M76" i="14"/>
  <c r="AJ5" i="36"/>
  <c r="F76" i="14"/>
  <c r="H76" i="14"/>
  <c r="Z5" i="36"/>
  <c r="I76" i="14"/>
  <c r="L76" i="14"/>
  <c r="I243" i="8"/>
  <c r="AT5" i="36"/>
  <c r="BD5" i="36"/>
  <c r="H33" i="14"/>
  <c r="AO5" i="36" s="1"/>
  <c r="F23" i="42"/>
  <c r="E25" i="42"/>
  <c r="A26" i="42"/>
  <c r="B25" i="42"/>
  <c r="D24" i="42"/>
  <c r="C24" i="42"/>
  <c r="G33" i="14"/>
  <c r="AE5" i="36" s="1"/>
  <c r="F33" i="14"/>
  <c r="U5" i="36" s="1"/>
  <c r="E33" i="14"/>
  <c r="F77" i="14"/>
  <c r="F79" i="14" s="1"/>
  <c r="E77" i="14"/>
  <c r="E79" i="14" s="1"/>
  <c r="L77" i="14"/>
  <c r="L79" i="14" s="1"/>
  <c r="K77" i="14"/>
  <c r="K79" i="14" s="1"/>
  <c r="G77" i="14"/>
  <c r="G79" i="14" s="1"/>
  <c r="M77" i="14"/>
  <c r="M79" i="14" s="1"/>
  <c r="I77" i="14"/>
  <c r="I79" i="14" s="1"/>
  <c r="D76" i="14"/>
  <c r="J77" i="14"/>
  <c r="J79" i="14" s="1"/>
  <c r="H77" i="14"/>
  <c r="H79" i="14" s="1"/>
  <c r="H243" i="8"/>
  <c r="H109" i="8"/>
  <c r="AI9" i="36" l="1"/>
  <c r="K39" i="14"/>
  <c r="BI5" i="36"/>
  <c r="R19" i="14"/>
  <c r="D25" i="42"/>
  <c r="C25" i="42"/>
  <c r="E26" i="42"/>
  <c r="A27" i="42"/>
  <c r="B26" i="42"/>
  <c r="F24" i="42"/>
  <c r="N31" i="14"/>
  <c r="M31" i="14"/>
  <c r="L31" i="14"/>
  <c r="O31" i="14"/>
  <c r="K31" i="14"/>
  <c r="H108" i="8"/>
  <c r="H10" i="36" l="1"/>
  <c r="F10" i="36"/>
  <c r="G10" i="36"/>
  <c r="F25" i="42"/>
  <c r="E27" i="42"/>
  <c r="A28" i="42"/>
  <c r="B27" i="42"/>
  <c r="D26" i="42"/>
  <c r="C26" i="42"/>
  <c r="H107" i="8"/>
  <c r="I10" i="36" l="1"/>
  <c r="F26" i="42"/>
  <c r="D27" i="42"/>
  <c r="C27" i="42"/>
  <c r="E28" i="42"/>
  <c r="A29" i="42"/>
  <c r="B28" i="42"/>
  <c r="H106" i="8"/>
  <c r="F27" i="42" l="1"/>
  <c r="D28" i="42"/>
  <c r="C28" i="42"/>
  <c r="E29" i="42"/>
  <c r="A30" i="42"/>
  <c r="B29" i="42"/>
  <c r="H105" i="8"/>
  <c r="F28" i="42" l="1"/>
  <c r="E30" i="42"/>
  <c r="A31" i="42"/>
  <c r="B30" i="42"/>
  <c r="D29" i="42"/>
  <c r="C29" i="42"/>
  <c r="H104" i="8"/>
  <c r="F29" i="42" l="1"/>
  <c r="D30" i="42"/>
  <c r="C30" i="42"/>
  <c r="E31" i="42"/>
  <c r="A32" i="42"/>
  <c r="B31" i="42"/>
  <c r="H103" i="8"/>
  <c r="F30" i="42" l="1"/>
  <c r="E32" i="42"/>
  <c r="A33" i="42"/>
  <c r="B32" i="42"/>
  <c r="D31" i="42"/>
  <c r="C31" i="42"/>
  <c r="H102" i="8"/>
  <c r="F31" i="42" l="1"/>
  <c r="D32" i="42"/>
  <c r="C32" i="42"/>
  <c r="E33" i="42"/>
  <c r="A34" i="42"/>
  <c r="B33" i="42"/>
  <c r="H101" i="8"/>
  <c r="F32" i="42" l="1"/>
  <c r="D33" i="42"/>
  <c r="C33" i="42"/>
  <c r="E34" i="42"/>
  <c r="A35" i="42"/>
  <c r="B34" i="42"/>
  <c r="H100" i="8"/>
  <c r="F33" i="42" l="1"/>
  <c r="E35" i="42"/>
  <c r="A36" i="42"/>
  <c r="B35" i="42"/>
  <c r="D34" i="42"/>
  <c r="C34" i="42"/>
  <c r="H99" i="8"/>
  <c r="F34" i="42" l="1"/>
  <c r="D35" i="42"/>
  <c r="C35" i="42"/>
  <c r="E36" i="42"/>
  <c r="A37" i="42"/>
  <c r="B36" i="42"/>
  <c r="H98" i="8"/>
  <c r="F35" i="42" l="1"/>
  <c r="E37" i="42"/>
  <c r="A38" i="42"/>
  <c r="B37" i="42"/>
  <c r="D36" i="42"/>
  <c r="C36" i="42"/>
  <c r="H97" i="8"/>
  <c r="D37" i="42" l="1"/>
  <c r="C37" i="42"/>
  <c r="E38" i="42"/>
  <c r="A39" i="42"/>
  <c r="B38" i="42"/>
  <c r="F36" i="42"/>
  <c r="H96" i="8"/>
  <c r="F37" i="42" l="1"/>
  <c r="E39" i="42"/>
  <c r="A40" i="42"/>
  <c r="B39" i="42"/>
  <c r="D38" i="42"/>
  <c r="C38" i="42"/>
  <c r="H95" i="8"/>
  <c r="F38" i="42" l="1"/>
  <c r="D39" i="42"/>
  <c r="C39" i="42"/>
  <c r="E40" i="42"/>
  <c r="A41" i="42"/>
  <c r="B40" i="42"/>
  <c r="H94" i="8"/>
  <c r="F39" i="42" l="1"/>
  <c r="E41" i="42"/>
  <c r="A42" i="42"/>
  <c r="B41" i="42"/>
  <c r="D40" i="42"/>
  <c r="C40" i="42"/>
  <c r="H93" i="8"/>
  <c r="D41" i="42" l="1"/>
  <c r="C41" i="42"/>
  <c r="E42" i="42"/>
  <c r="B42" i="42"/>
  <c r="A43" i="42"/>
  <c r="F40" i="42"/>
  <c r="H92" i="8"/>
  <c r="F41" i="42" l="1"/>
  <c r="D42" i="42"/>
  <c r="C42" i="42"/>
  <c r="E43" i="42"/>
  <c r="A44" i="42"/>
  <c r="B43" i="42"/>
  <c r="H91" i="8"/>
  <c r="F42" i="42" l="1"/>
  <c r="E44" i="42"/>
  <c r="A45" i="42"/>
  <c r="B44" i="42"/>
  <c r="D43" i="42"/>
  <c r="C43" i="42"/>
  <c r="H90" i="8"/>
  <c r="C35" i="14" l="1"/>
  <c r="D35" i="14"/>
  <c r="AK9" i="36" s="1"/>
  <c r="AK10" i="36" s="1"/>
  <c r="D30" i="14"/>
  <c r="E5" i="36" s="1"/>
  <c r="D14" i="14"/>
  <c r="F43" i="42"/>
  <c r="D44" i="42"/>
  <c r="C44" i="42"/>
  <c r="E45" i="42"/>
  <c r="A46" i="42"/>
  <c r="B45" i="42"/>
  <c r="H89" i="8"/>
  <c r="I5" i="36" l="1"/>
  <c r="D34" i="14"/>
  <c r="D36" i="14" s="1"/>
  <c r="D33" i="14"/>
  <c r="K5" i="36" s="1"/>
  <c r="F5" i="36"/>
  <c r="M9" i="36"/>
  <c r="M10" i="36" s="1"/>
  <c r="E9" i="36"/>
  <c r="E10" i="36" s="1"/>
  <c r="F44" i="42"/>
  <c r="D45" i="42"/>
  <c r="C45" i="42"/>
  <c r="E46" i="42"/>
  <c r="A47" i="42"/>
  <c r="B46" i="42"/>
  <c r="H88" i="8"/>
  <c r="F45" i="42" l="1"/>
  <c r="E47" i="42"/>
  <c r="A48" i="42"/>
  <c r="B47" i="42"/>
  <c r="D46" i="42"/>
  <c r="C46" i="42"/>
  <c r="H87" i="8"/>
  <c r="F46" i="42" l="1"/>
  <c r="D47" i="42"/>
  <c r="C47" i="42"/>
  <c r="E48" i="42"/>
  <c r="A49" i="42"/>
  <c r="B48" i="42"/>
  <c r="H86" i="8"/>
  <c r="I15" i="14"/>
  <c r="K58" i="14"/>
  <c r="J15" i="14"/>
  <c r="H15" i="14"/>
  <c r="D21" i="14"/>
  <c r="J58" i="14"/>
  <c r="G58" i="14"/>
  <c r="E58" i="14"/>
  <c r="G15" i="14"/>
  <c r="D15" i="14"/>
  <c r="H58" i="14"/>
  <c r="F58" i="14"/>
  <c r="E15" i="14"/>
  <c r="M58" i="14"/>
  <c r="I58" i="14"/>
  <c r="G5" i="36"/>
  <c r="D58" i="14"/>
  <c r="F15" i="14"/>
  <c r="L58" i="14"/>
  <c r="J50" i="14" l="1"/>
  <c r="K62" i="14"/>
  <c r="K80" i="14" s="1"/>
  <c r="K82" i="14" s="1"/>
  <c r="K86" i="14"/>
  <c r="J62" i="14"/>
  <c r="J80" i="14" s="1"/>
  <c r="J82" i="14" s="1"/>
  <c r="J86" i="14"/>
  <c r="L86" i="14"/>
  <c r="L62" i="14"/>
  <c r="L80" i="14" s="1"/>
  <c r="L82" i="14" s="1"/>
  <c r="L5" i="36"/>
  <c r="E86" i="14"/>
  <c r="E62" i="14"/>
  <c r="E80" i="14" s="1"/>
  <c r="E82" i="14" s="1"/>
  <c r="J19" i="14"/>
  <c r="F62" i="14"/>
  <c r="F80" i="14" s="1"/>
  <c r="F82" i="14" s="1"/>
  <c r="F86" i="14"/>
  <c r="D24" i="14"/>
  <c r="U10" i="36"/>
  <c r="I50" i="14"/>
  <c r="I19" i="14"/>
  <c r="G50" i="14"/>
  <c r="G19" i="14"/>
  <c r="F19" i="14"/>
  <c r="F50" i="14"/>
  <c r="E19" i="14"/>
  <c r="E50" i="14"/>
  <c r="D86" i="14"/>
  <c r="D62" i="14"/>
  <c r="D80" i="14" s="1"/>
  <c r="D82" i="14" s="1"/>
  <c r="H62" i="14"/>
  <c r="H80" i="14" s="1"/>
  <c r="H82" i="14" s="1"/>
  <c r="H86" i="14"/>
  <c r="M62" i="14"/>
  <c r="M80" i="14" s="1"/>
  <c r="M82" i="14" s="1"/>
  <c r="M86" i="14"/>
  <c r="H19" i="14"/>
  <c r="H50" i="14"/>
  <c r="I62" i="14"/>
  <c r="I80" i="14" s="1"/>
  <c r="I82" i="14" s="1"/>
  <c r="I86" i="14"/>
  <c r="G62" i="14"/>
  <c r="G80" i="14" s="1"/>
  <c r="G82" i="14" s="1"/>
  <c r="G86" i="14"/>
  <c r="D50" i="14"/>
  <c r="D19" i="14"/>
  <c r="D37" i="14" s="1"/>
  <c r="F47" i="42"/>
  <c r="E49" i="42"/>
  <c r="A50" i="42"/>
  <c r="B49" i="42"/>
  <c r="D48" i="42"/>
  <c r="C48" i="42"/>
  <c r="H85" i="8"/>
  <c r="J31" i="14" l="1"/>
  <c r="J37" i="14"/>
  <c r="J52" i="14"/>
  <c r="J51" i="14"/>
  <c r="D88" i="14"/>
  <c r="D87" i="14"/>
  <c r="F31" i="14"/>
  <c r="F37" i="14"/>
  <c r="D38" i="14"/>
  <c r="H5" i="36" s="1"/>
  <c r="D31" i="14"/>
  <c r="D52" i="14"/>
  <c r="D51" i="14"/>
  <c r="I52" i="14"/>
  <c r="I51" i="14"/>
  <c r="M88" i="14"/>
  <c r="M87" i="14"/>
  <c r="F88" i="14"/>
  <c r="F87" i="14"/>
  <c r="H88" i="14"/>
  <c r="H87" i="14"/>
  <c r="E51" i="14"/>
  <c r="E52" i="14"/>
  <c r="G31" i="14"/>
  <c r="G37" i="14"/>
  <c r="G87" i="14"/>
  <c r="G88" i="14"/>
  <c r="H52" i="14"/>
  <c r="H51" i="14"/>
  <c r="E37" i="14"/>
  <c r="E39" i="14" s="1"/>
  <c r="E31" i="14"/>
  <c r="G52" i="14"/>
  <c r="G51" i="14"/>
  <c r="I87" i="14"/>
  <c r="I88" i="14"/>
  <c r="F51" i="14"/>
  <c r="F52" i="14"/>
  <c r="H37" i="14"/>
  <c r="H31" i="14"/>
  <c r="L87" i="14"/>
  <c r="L88" i="14"/>
  <c r="J88" i="14"/>
  <c r="J87" i="14"/>
  <c r="K88" i="14"/>
  <c r="K87" i="14"/>
  <c r="E88" i="14"/>
  <c r="E87" i="14"/>
  <c r="I31" i="14"/>
  <c r="I37" i="14"/>
  <c r="F48" i="42"/>
  <c r="D49" i="42"/>
  <c r="C49" i="42"/>
  <c r="E50" i="42"/>
  <c r="A51" i="42"/>
  <c r="B50" i="42"/>
  <c r="H84" i="8"/>
  <c r="J39" i="14" l="1"/>
  <c r="AH9" i="36"/>
  <c r="AH10" i="36" s="1"/>
  <c r="BH5" i="36"/>
  <c r="BF5" i="36"/>
  <c r="AX5" i="36"/>
  <c r="AV5" i="36"/>
  <c r="R18" i="14"/>
  <c r="AG9" i="36"/>
  <c r="AG10" i="36" s="1"/>
  <c r="I39" i="14"/>
  <c r="R20" i="14" s="1"/>
  <c r="D39" i="14"/>
  <c r="R8" i="14" s="1"/>
  <c r="AC9" i="36"/>
  <c r="AC10" i="36" s="1"/>
  <c r="J5" i="36"/>
  <c r="H39" i="14"/>
  <c r="AN5" i="36"/>
  <c r="AL5" i="36"/>
  <c r="AF9" i="36"/>
  <c r="AF10" i="36" s="1"/>
  <c r="G39" i="14"/>
  <c r="AD5" i="36"/>
  <c r="AB5" i="36"/>
  <c r="AE9" i="36"/>
  <c r="AE10" i="36" s="1"/>
  <c r="R5" i="36"/>
  <c r="AD9" i="36"/>
  <c r="AD10" i="36" s="1"/>
  <c r="F39" i="14"/>
  <c r="T5" i="36"/>
  <c r="F49" i="42"/>
  <c r="E51" i="42"/>
  <c r="A52" i="42"/>
  <c r="B51" i="42"/>
  <c r="D50" i="42"/>
  <c r="C50" i="42"/>
  <c r="H83" i="8"/>
  <c r="R21" i="14" l="1"/>
  <c r="R10" i="14"/>
  <c r="L46" i="14"/>
  <c r="L47" i="14" s="1"/>
  <c r="D44" i="14"/>
  <c r="R9" i="14"/>
  <c r="F46" i="14"/>
  <c r="F47" i="14" s="1"/>
  <c r="E44" i="14"/>
  <c r="G46" i="14"/>
  <c r="G47" i="14" s="1"/>
  <c r="I46" i="14"/>
  <c r="I47" i="14" s="1"/>
  <c r="K46" i="14"/>
  <c r="K47" i="14" s="1"/>
  <c r="O46" i="14"/>
  <c r="O47" i="14" s="1"/>
  <c r="M46" i="14"/>
  <c r="M47" i="14" s="1"/>
  <c r="J46" i="14"/>
  <c r="J47" i="14" s="1"/>
  <c r="N46" i="14"/>
  <c r="N47" i="14" s="1"/>
  <c r="R11" i="14"/>
  <c r="H46" i="14"/>
  <c r="H47" i="14" s="1"/>
  <c r="E46" i="14"/>
  <c r="E47" i="14" s="1"/>
  <c r="D46" i="14"/>
  <c r="D47" i="14" s="1"/>
  <c r="F50" i="42"/>
  <c r="D51" i="42"/>
  <c r="C51" i="42"/>
  <c r="E52" i="42"/>
  <c r="A53" i="42"/>
  <c r="B52" i="42"/>
  <c r="H82" i="8"/>
  <c r="E45" i="14" l="1"/>
  <c r="D45" i="14" s="1"/>
  <c r="E43" i="14"/>
  <c r="D43" i="14" s="1"/>
  <c r="J44" i="14"/>
  <c r="F42" i="14"/>
  <c r="N44" i="14"/>
  <c r="L44" i="14"/>
  <c r="G42" i="14"/>
  <c r="G44" i="14"/>
  <c r="M44" i="14"/>
  <c r="K42" i="14"/>
  <c r="H42" i="14"/>
  <c r="D42" i="14"/>
  <c r="O44" i="14"/>
  <c r="I44" i="14"/>
  <c r="H44" i="14"/>
  <c r="J42" i="14"/>
  <c r="K44" i="14"/>
  <c r="F44" i="14"/>
  <c r="L42" i="14"/>
  <c r="M42" i="14"/>
  <c r="O42" i="14"/>
  <c r="E42" i="14"/>
  <c r="N42" i="14"/>
  <c r="I42" i="14"/>
  <c r="F51" i="42"/>
  <c r="E53" i="42"/>
  <c r="A54" i="42"/>
  <c r="B53" i="42"/>
  <c r="D52" i="42"/>
  <c r="C52" i="42"/>
  <c r="H81" i="8"/>
  <c r="O43" i="14" l="1"/>
  <c r="O45" i="14"/>
  <c r="F45" i="14"/>
  <c r="F43" i="14"/>
  <c r="K45" i="14"/>
  <c r="K43" i="14"/>
  <c r="J45" i="14"/>
  <c r="J43" i="14"/>
  <c r="H43" i="14"/>
  <c r="H45" i="14"/>
  <c r="I43" i="14"/>
  <c r="I45" i="14"/>
  <c r="M45" i="14"/>
  <c r="M43" i="14"/>
  <c r="G43" i="14"/>
  <c r="G45" i="14"/>
  <c r="L45" i="14"/>
  <c r="L43" i="14"/>
  <c r="N43" i="14"/>
  <c r="N45" i="14"/>
  <c r="F52" i="42"/>
  <c r="D53" i="42"/>
  <c r="C53" i="42"/>
  <c r="E54" i="42"/>
  <c r="A55" i="42"/>
  <c r="B54" i="42"/>
  <c r="H80" i="8"/>
  <c r="F53" i="42" l="1"/>
  <c r="E55" i="42"/>
  <c r="A56" i="42"/>
  <c r="B55" i="42"/>
  <c r="D54" i="42"/>
  <c r="C54" i="42"/>
  <c r="H79" i="8"/>
  <c r="F54" i="42" l="1"/>
  <c r="D55" i="42"/>
  <c r="C55" i="42"/>
  <c r="E56" i="42"/>
  <c r="A57" i="42"/>
  <c r="B56" i="42"/>
  <c r="H78" i="8"/>
  <c r="F55" i="42" l="1"/>
  <c r="E57" i="42"/>
  <c r="A58" i="42"/>
  <c r="B57" i="42"/>
  <c r="D56" i="42"/>
  <c r="C56" i="42"/>
  <c r="H77" i="8"/>
  <c r="F56" i="42" l="1"/>
  <c r="D57" i="42"/>
  <c r="C57" i="42"/>
  <c r="E58" i="42"/>
  <c r="A59" i="42"/>
  <c r="B58" i="42"/>
  <c r="H76" i="8"/>
  <c r="F57" i="42" l="1"/>
  <c r="E59" i="42"/>
  <c r="A60" i="42"/>
  <c r="B59" i="42"/>
  <c r="D58" i="42"/>
  <c r="C58" i="42"/>
  <c r="H75" i="8"/>
  <c r="F58" i="42" l="1"/>
  <c r="D59" i="42"/>
  <c r="C59" i="42"/>
  <c r="E60" i="42"/>
  <c r="A61" i="42"/>
  <c r="B60" i="42"/>
  <c r="H74" i="8"/>
  <c r="F59" i="42" l="1"/>
  <c r="E61" i="42"/>
  <c r="A62" i="42"/>
  <c r="B61" i="42"/>
  <c r="D60" i="42"/>
  <c r="C60" i="42"/>
  <c r="H73" i="8"/>
  <c r="F60" i="42" l="1"/>
  <c r="D61" i="42"/>
  <c r="C61" i="42"/>
  <c r="E62" i="42"/>
  <c r="A63" i="42"/>
  <c r="B62" i="42"/>
  <c r="H72" i="8"/>
  <c r="F61" i="42" l="1"/>
  <c r="E63" i="42"/>
  <c r="A64" i="42"/>
  <c r="B63" i="42"/>
  <c r="D62" i="42"/>
  <c r="C62" i="42"/>
  <c r="H71" i="8"/>
  <c r="F62" i="42" l="1"/>
  <c r="D63" i="42"/>
  <c r="C63" i="42"/>
  <c r="E64" i="42"/>
  <c r="A65" i="42"/>
  <c r="B64" i="42"/>
  <c r="H70" i="8"/>
  <c r="F63" i="42" l="1"/>
  <c r="E65" i="42"/>
  <c r="A66" i="42"/>
  <c r="B65" i="42"/>
  <c r="D64" i="42"/>
  <c r="C64" i="42"/>
  <c r="H69" i="8"/>
  <c r="F64" i="42" l="1"/>
  <c r="D65" i="42"/>
  <c r="C65" i="42"/>
  <c r="E66" i="42"/>
  <c r="A67" i="42"/>
  <c r="B66" i="42"/>
  <c r="H68" i="8"/>
  <c r="F65" i="42" l="1"/>
  <c r="E67" i="42"/>
  <c r="A68" i="42"/>
  <c r="B67" i="42"/>
  <c r="D66" i="42"/>
  <c r="C66" i="42"/>
  <c r="H67" i="8"/>
  <c r="F66" i="42" l="1"/>
  <c r="D67" i="42"/>
  <c r="C67" i="42"/>
  <c r="E68" i="42"/>
  <c r="A69" i="42"/>
  <c r="B68" i="42"/>
  <c r="H66" i="8"/>
  <c r="F67" i="42" l="1"/>
  <c r="E69" i="42"/>
  <c r="A70" i="42"/>
  <c r="B69" i="42"/>
  <c r="D68" i="42"/>
  <c r="C68" i="42"/>
  <c r="H65" i="8"/>
  <c r="F68" i="42" l="1"/>
  <c r="D69" i="42"/>
  <c r="C69" i="42"/>
  <c r="E70" i="42"/>
  <c r="A71" i="42"/>
  <c r="B70" i="42"/>
  <c r="H64" i="8"/>
  <c r="F69" i="42" l="1"/>
  <c r="E71" i="42"/>
  <c r="A72" i="42"/>
  <c r="B71" i="42"/>
  <c r="D70" i="42"/>
  <c r="C70" i="42"/>
  <c r="H63" i="8"/>
  <c r="F70" i="42" l="1"/>
  <c r="D71" i="42"/>
  <c r="C71" i="42"/>
  <c r="E72" i="42"/>
  <c r="A73" i="42"/>
  <c r="B72" i="42"/>
  <c r="H62" i="8"/>
  <c r="F71" i="42" l="1"/>
  <c r="E73" i="42"/>
  <c r="A74" i="42"/>
  <c r="B73" i="42"/>
  <c r="D72" i="42"/>
  <c r="C72" i="42"/>
  <c r="H61" i="8"/>
  <c r="F72" i="42" l="1"/>
  <c r="D73" i="42"/>
  <c r="C73" i="42"/>
  <c r="E74" i="42"/>
  <c r="A75" i="42"/>
  <c r="B74" i="42"/>
  <c r="H60" i="8"/>
  <c r="F73" i="42" l="1"/>
  <c r="E75" i="42"/>
  <c r="A76" i="42"/>
  <c r="B75" i="42"/>
  <c r="D74" i="42"/>
  <c r="C74" i="42"/>
  <c r="H59" i="8"/>
  <c r="F74" i="42" l="1"/>
  <c r="D75" i="42"/>
  <c r="C75" i="42"/>
  <c r="E76" i="42"/>
  <c r="A77" i="42"/>
  <c r="B76" i="42"/>
  <c r="H58" i="8"/>
  <c r="F75" i="42" l="1"/>
  <c r="E77" i="42"/>
  <c r="A78" i="42"/>
  <c r="B77" i="42"/>
  <c r="D76" i="42"/>
  <c r="C76" i="42"/>
  <c r="H57" i="8"/>
  <c r="F76" i="42" l="1"/>
  <c r="D77" i="42"/>
  <c r="C77" i="42"/>
  <c r="E78" i="42"/>
  <c r="A79" i="42"/>
  <c r="B78" i="42"/>
  <c r="H56" i="8"/>
  <c r="F77" i="42" l="1"/>
  <c r="E79" i="42"/>
  <c r="A80" i="42"/>
  <c r="B79" i="42"/>
  <c r="D78" i="42"/>
  <c r="C78" i="42"/>
  <c r="H55" i="8"/>
  <c r="F78" i="42" l="1"/>
  <c r="D79" i="42"/>
  <c r="C79" i="42"/>
  <c r="E80" i="42"/>
  <c r="B80" i="42"/>
  <c r="A81" i="42"/>
  <c r="H54" i="8"/>
  <c r="F79" i="42" l="1"/>
  <c r="D80" i="42"/>
  <c r="C80" i="42"/>
  <c r="E81" i="42"/>
  <c r="A82" i="42"/>
  <c r="B81" i="42"/>
  <c r="H53" i="8"/>
  <c r="F80" i="42" l="1"/>
  <c r="E82" i="42"/>
  <c r="A83" i="42"/>
  <c r="B82" i="42"/>
  <c r="D81" i="42"/>
  <c r="C81" i="42"/>
  <c r="H52" i="8"/>
  <c r="F81" i="42" l="1"/>
  <c r="D82" i="42"/>
  <c r="C82" i="42"/>
  <c r="E83" i="42"/>
  <c r="A84" i="42"/>
  <c r="B83" i="42"/>
  <c r="H51" i="8"/>
  <c r="F82" i="42" l="1"/>
  <c r="E84" i="42"/>
  <c r="A85" i="42"/>
  <c r="B84" i="42"/>
  <c r="D83" i="42"/>
  <c r="C83" i="42"/>
  <c r="H50" i="8"/>
  <c r="F83" i="42" l="1"/>
  <c r="D84" i="42"/>
  <c r="C84" i="42"/>
  <c r="E85" i="42"/>
  <c r="A86" i="42"/>
  <c r="B85" i="42"/>
  <c r="H49" i="8"/>
  <c r="F84" i="42" l="1"/>
  <c r="E86" i="42"/>
  <c r="A87" i="42"/>
  <c r="B86" i="42"/>
  <c r="D85" i="42"/>
  <c r="C85" i="42"/>
  <c r="H48" i="8"/>
  <c r="F85" i="42" l="1"/>
  <c r="D86" i="42"/>
  <c r="C86" i="42"/>
  <c r="E87" i="42"/>
  <c r="A88" i="42"/>
  <c r="B87" i="42"/>
  <c r="H47" i="8"/>
  <c r="F86" i="42" l="1"/>
  <c r="E88" i="42"/>
  <c r="A89" i="42"/>
  <c r="B88" i="42"/>
  <c r="D87" i="42"/>
  <c r="C87" i="42"/>
  <c r="H46" i="8"/>
  <c r="F87" i="42" l="1"/>
  <c r="D88" i="42"/>
  <c r="C88" i="42"/>
  <c r="E89" i="42"/>
  <c r="A90" i="42"/>
  <c r="B89" i="42"/>
  <c r="H45" i="8"/>
  <c r="F88" i="42" l="1"/>
  <c r="E90" i="42"/>
  <c r="A91" i="42"/>
  <c r="B90" i="42"/>
  <c r="D89" i="42"/>
  <c r="C89" i="42"/>
  <c r="H44" i="8"/>
  <c r="F89" i="42" l="1"/>
  <c r="D90" i="42"/>
  <c r="C90" i="42"/>
  <c r="E91" i="42"/>
  <c r="A92" i="42"/>
  <c r="B91" i="42"/>
  <c r="H43" i="8"/>
  <c r="F90" i="42" l="1"/>
  <c r="E92" i="42"/>
  <c r="A93" i="42"/>
  <c r="B92" i="42"/>
  <c r="D91" i="42"/>
  <c r="C91" i="42"/>
  <c r="H42" i="8"/>
  <c r="F91" i="42" l="1"/>
  <c r="D92" i="42"/>
  <c r="C92" i="42"/>
  <c r="E93" i="42"/>
  <c r="A94" i="42"/>
  <c r="B93" i="42"/>
  <c r="H41" i="8"/>
  <c r="F92" i="42" l="1"/>
  <c r="E94" i="42"/>
  <c r="A95" i="42"/>
  <c r="B94" i="42"/>
  <c r="D93" i="42"/>
  <c r="C93" i="42"/>
  <c r="H40" i="8"/>
  <c r="F93" i="42" l="1"/>
  <c r="D94" i="42"/>
  <c r="C94" i="42"/>
  <c r="E95" i="42"/>
  <c r="A96" i="42"/>
  <c r="B95" i="42"/>
  <c r="H39" i="8"/>
  <c r="F94" i="42" l="1"/>
  <c r="E96" i="42"/>
  <c r="A97" i="42"/>
  <c r="B96" i="42"/>
  <c r="D95" i="42"/>
  <c r="C95" i="42"/>
  <c r="H38" i="8"/>
  <c r="F95" i="42" l="1"/>
  <c r="D96" i="42"/>
  <c r="C96" i="42"/>
  <c r="E97" i="42"/>
  <c r="A98" i="42"/>
  <c r="B97" i="42"/>
  <c r="H37" i="8"/>
  <c r="F96" i="42" l="1"/>
  <c r="E98" i="42"/>
  <c r="A99" i="42"/>
  <c r="B98" i="42"/>
  <c r="D97" i="42"/>
  <c r="C97" i="42"/>
  <c r="H36" i="8"/>
  <c r="F97" i="42" l="1"/>
  <c r="D98" i="42"/>
  <c r="C98" i="42"/>
  <c r="E99" i="42"/>
  <c r="A100" i="42"/>
  <c r="B99" i="42"/>
  <c r="H35" i="8"/>
  <c r="F98" i="42" l="1"/>
  <c r="E100" i="42"/>
  <c r="A101" i="42"/>
  <c r="B100" i="42"/>
  <c r="D99" i="42"/>
  <c r="C99" i="42"/>
  <c r="H34" i="8"/>
  <c r="F99" i="42" l="1"/>
  <c r="D100" i="42"/>
  <c r="C100" i="42"/>
  <c r="E101" i="42"/>
  <c r="A102" i="42"/>
  <c r="B101" i="42"/>
  <c r="H33" i="8"/>
  <c r="F100" i="42" l="1"/>
  <c r="E102" i="42"/>
  <c r="B102" i="42"/>
  <c r="A103" i="42"/>
  <c r="D101" i="42"/>
  <c r="C101" i="42"/>
  <c r="H32" i="8"/>
  <c r="F101" i="42" l="1"/>
  <c r="E103" i="42"/>
  <c r="A104" i="42"/>
  <c r="B103" i="42"/>
  <c r="D102" i="42"/>
  <c r="C102" i="42"/>
  <c r="H31" i="8"/>
  <c r="F102" i="42" l="1"/>
  <c r="D103" i="42"/>
  <c r="C103" i="42"/>
  <c r="E104" i="42"/>
  <c r="B104" i="42"/>
  <c r="A105" i="42"/>
  <c r="H30" i="8"/>
  <c r="F103" i="42" l="1"/>
  <c r="D104" i="42"/>
  <c r="C104" i="42"/>
  <c r="E105" i="42"/>
  <c r="A106" i="42"/>
  <c r="B105" i="42"/>
  <c r="H29" i="8"/>
  <c r="F104" i="42" l="1"/>
  <c r="E106" i="42"/>
  <c r="B106" i="42"/>
  <c r="A107" i="42"/>
  <c r="D105" i="42"/>
  <c r="C105" i="42"/>
  <c r="H28" i="8"/>
  <c r="F105" i="42" l="1"/>
  <c r="E107" i="42"/>
  <c r="A108" i="42"/>
  <c r="B107" i="42"/>
  <c r="D106" i="42"/>
  <c r="C106" i="42"/>
  <c r="H27" i="8"/>
  <c r="F106" i="42" l="1"/>
  <c r="D107" i="42"/>
  <c r="C107" i="42"/>
  <c r="E108" i="42"/>
  <c r="A109" i="42"/>
  <c r="B108" i="42"/>
  <c r="H26" i="8"/>
  <c r="F107" i="42" l="1"/>
  <c r="E109" i="42"/>
  <c r="A110" i="42"/>
  <c r="B109" i="42"/>
  <c r="D108" i="42"/>
  <c r="C108" i="42"/>
  <c r="H25" i="8"/>
  <c r="F108" i="42" l="1"/>
  <c r="D109" i="42"/>
  <c r="C109" i="42"/>
  <c r="E110" i="42"/>
  <c r="A111" i="42"/>
  <c r="B110" i="42"/>
  <c r="H24" i="8"/>
  <c r="F109" i="42" l="1"/>
  <c r="E111" i="42"/>
  <c r="A112" i="42"/>
  <c r="B111" i="42"/>
  <c r="D110" i="42"/>
  <c r="C110" i="42"/>
  <c r="H23" i="8"/>
  <c r="F110" i="42" l="1"/>
  <c r="D111" i="42"/>
  <c r="C111" i="42"/>
  <c r="E112" i="42"/>
  <c r="A113" i="42"/>
  <c r="B112" i="42"/>
  <c r="H22" i="8"/>
  <c r="F111" i="42" l="1"/>
  <c r="E113" i="42"/>
  <c r="A114" i="42"/>
  <c r="B113" i="42"/>
  <c r="D112" i="42"/>
  <c r="C112" i="42"/>
  <c r="H21" i="8"/>
  <c r="F112" i="42" l="1"/>
  <c r="D113" i="42"/>
  <c r="C113" i="42"/>
  <c r="E114" i="42"/>
  <c r="A115" i="42"/>
  <c r="B114" i="42"/>
  <c r="H20" i="8"/>
  <c r="F113" i="42" l="1"/>
  <c r="E115" i="42"/>
  <c r="A116" i="42"/>
  <c r="B115" i="42"/>
  <c r="D114" i="42"/>
  <c r="C114" i="42"/>
  <c r="H19" i="8"/>
  <c r="F114" i="42" l="1"/>
  <c r="E116" i="42"/>
  <c r="A117" i="42"/>
  <c r="B116" i="42"/>
  <c r="D115" i="42"/>
  <c r="C115" i="42"/>
  <c r="H18" i="8"/>
  <c r="F115" i="42" l="1"/>
  <c r="D116" i="42"/>
  <c r="C116" i="42"/>
  <c r="E117" i="42"/>
  <c r="A118" i="42"/>
  <c r="B117" i="42"/>
  <c r="H17" i="8"/>
  <c r="F116" i="42" l="1"/>
  <c r="E118" i="42"/>
  <c r="A119" i="42"/>
  <c r="B118" i="42"/>
  <c r="D117" i="42"/>
  <c r="C117" i="42"/>
  <c r="H16" i="8"/>
  <c r="F117" i="42" l="1"/>
  <c r="D118" i="42"/>
  <c r="C118" i="42"/>
  <c r="E119" i="42"/>
  <c r="A120" i="42"/>
  <c r="B119" i="42"/>
  <c r="H15" i="8"/>
  <c r="F118" i="42" l="1"/>
  <c r="E120" i="42"/>
  <c r="A121" i="42"/>
  <c r="B120" i="42"/>
  <c r="D119" i="42"/>
  <c r="C119" i="42"/>
  <c r="H14" i="8"/>
  <c r="F119" i="42" l="1"/>
  <c r="D120" i="42"/>
  <c r="C120" i="42"/>
  <c r="E121" i="42"/>
  <c r="A122" i="42"/>
  <c r="B121" i="42"/>
  <c r="H13" i="8"/>
  <c r="F120" i="42" l="1"/>
  <c r="E122" i="42"/>
  <c r="A123" i="42"/>
  <c r="B122" i="42"/>
  <c r="D121" i="42"/>
  <c r="C121" i="42"/>
  <c r="H12" i="8"/>
  <c r="F121" i="42" l="1"/>
  <c r="D122" i="42"/>
  <c r="C122" i="42"/>
  <c r="E123" i="42"/>
  <c r="A124" i="42"/>
  <c r="B123" i="42"/>
  <c r="H11" i="8"/>
  <c r="F122" i="42" l="1"/>
  <c r="E124" i="42"/>
  <c r="A125" i="42"/>
  <c r="B124" i="42"/>
  <c r="D123" i="42"/>
  <c r="C123" i="42"/>
  <c r="H10" i="8"/>
  <c r="F123" i="42" l="1"/>
  <c r="D124" i="42"/>
  <c r="C124" i="42"/>
  <c r="E125" i="42"/>
  <c r="A126" i="42"/>
  <c r="B125" i="42"/>
  <c r="H9" i="8"/>
  <c r="F124" i="42" l="1"/>
  <c r="E126" i="42"/>
  <c r="A127" i="42"/>
  <c r="B126" i="42"/>
  <c r="D125" i="42"/>
  <c r="C125" i="42"/>
  <c r="H8" i="8"/>
  <c r="F125" i="42" l="1"/>
  <c r="D126" i="42"/>
  <c r="C126" i="42"/>
  <c r="E127" i="42"/>
  <c r="A128" i="42"/>
  <c r="B127" i="42"/>
  <c r="H7" i="8"/>
  <c r="F126" i="42" l="1"/>
  <c r="E128" i="42"/>
  <c r="A129" i="42"/>
  <c r="B128" i="42"/>
  <c r="D127" i="42"/>
  <c r="C127" i="42"/>
  <c r="F127" i="42" l="1"/>
  <c r="D128" i="42"/>
  <c r="C128" i="42"/>
  <c r="E129" i="42"/>
  <c r="A130" i="42"/>
  <c r="B129" i="42"/>
  <c r="F128" i="42" l="1"/>
  <c r="E130" i="42"/>
  <c r="A131" i="42"/>
  <c r="B130" i="42"/>
  <c r="D129" i="42"/>
  <c r="C129" i="42"/>
  <c r="F129" i="42" l="1"/>
  <c r="D130" i="42"/>
  <c r="C130" i="42"/>
  <c r="E131" i="42"/>
  <c r="A132" i="42"/>
  <c r="B131" i="42"/>
  <c r="F130" i="42" l="1"/>
  <c r="E132" i="42"/>
  <c r="A133" i="42"/>
  <c r="B132" i="42"/>
  <c r="D131" i="42"/>
  <c r="C131" i="42"/>
  <c r="F131" i="42" l="1"/>
  <c r="D132" i="42"/>
  <c r="C132" i="42"/>
  <c r="E133" i="42"/>
  <c r="A134" i="42"/>
  <c r="B133" i="42"/>
  <c r="F132" i="42" l="1"/>
  <c r="E134" i="42"/>
  <c r="A135" i="42"/>
  <c r="B134" i="42"/>
  <c r="D133" i="42"/>
  <c r="C133" i="42"/>
  <c r="F133" i="42" l="1"/>
  <c r="E135" i="42"/>
  <c r="A136" i="42"/>
  <c r="B135" i="42"/>
  <c r="D134" i="42"/>
  <c r="C134" i="42"/>
  <c r="F134" i="42" l="1"/>
  <c r="D135" i="42"/>
  <c r="C135" i="42"/>
  <c r="E136" i="42"/>
  <c r="A137" i="42"/>
  <c r="B136" i="42"/>
  <c r="F135" i="42" l="1"/>
  <c r="E137" i="42"/>
  <c r="A138" i="42"/>
  <c r="B137" i="42"/>
  <c r="D136" i="42"/>
  <c r="C136" i="42"/>
  <c r="F136" i="42" l="1"/>
  <c r="D137" i="42"/>
  <c r="C137" i="42"/>
  <c r="E138" i="42"/>
  <c r="A139" i="42"/>
  <c r="B138" i="42"/>
  <c r="F137" i="42" l="1"/>
  <c r="E139" i="42"/>
  <c r="A140" i="42"/>
  <c r="B139" i="42"/>
  <c r="D138" i="42"/>
  <c r="C138" i="42"/>
  <c r="F138" i="42" l="1"/>
  <c r="D139" i="42"/>
  <c r="C139" i="42"/>
  <c r="E140" i="42"/>
  <c r="A141" i="42"/>
  <c r="B140" i="42"/>
  <c r="F139" i="42" l="1"/>
  <c r="E141" i="42"/>
  <c r="A142" i="42"/>
  <c r="B141" i="42"/>
  <c r="D140" i="42"/>
  <c r="C140" i="42"/>
  <c r="F140" i="42" l="1"/>
  <c r="D141" i="42"/>
  <c r="C141" i="42"/>
  <c r="E142" i="42"/>
  <c r="A143" i="42"/>
  <c r="B142" i="42"/>
  <c r="F141" i="42" l="1"/>
  <c r="E143" i="42"/>
  <c r="A144" i="42"/>
  <c r="B143" i="42"/>
  <c r="D142" i="42"/>
  <c r="C142" i="42"/>
  <c r="F142" i="42" l="1"/>
  <c r="D143" i="42"/>
  <c r="C143" i="42"/>
  <c r="E144" i="42"/>
  <c r="A145" i="42"/>
  <c r="B144" i="42"/>
  <c r="F143" i="42" l="1"/>
  <c r="E145" i="42"/>
  <c r="A146" i="42"/>
  <c r="B145" i="42"/>
  <c r="D144" i="42"/>
  <c r="C144" i="42"/>
  <c r="F144" i="42" l="1"/>
  <c r="D145" i="42"/>
  <c r="C145" i="42"/>
  <c r="E146" i="42"/>
  <c r="A147" i="42"/>
  <c r="B146" i="42"/>
  <c r="F145" i="42" l="1"/>
  <c r="E147" i="42"/>
  <c r="A148" i="42"/>
  <c r="B147" i="42"/>
  <c r="D146" i="42"/>
  <c r="C146" i="42"/>
  <c r="F146" i="42" l="1"/>
  <c r="D147" i="42"/>
  <c r="C147" i="42"/>
  <c r="E148" i="42"/>
  <c r="A149" i="42"/>
  <c r="B148" i="42"/>
  <c r="F147" i="42" l="1"/>
  <c r="E149" i="42"/>
  <c r="A150" i="42"/>
  <c r="B149" i="42"/>
  <c r="D148" i="42"/>
  <c r="C148" i="42"/>
  <c r="F148" i="42" l="1"/>
  <c r="D149" i="42"/>
  <c r="C149" i="42"/>
  <c r="E150" i="42"/>
  <c r="A151" i="42"/>
  <c r="B150" i="42"/>
  <c r="F149" i="42" l="1"/>
  <c r="E151" i="42"/>
  <c r="A152" i="42"/>
  <c r="B151" i="42"/>
  <c r="D150" i="42"/>
  <c r="C150" i="42"/>
  <c r="F150" i="42" l="1"/>
  <c r="D151" i="42"/>
  <c r="C151" i="42"/>
  <c r="E152" i="42"/>
  <c r="A153" i="42"/>
  <c r="B152" i="42"/>
  <c r="F151" i="42" l="1"/>
  <c r="E153" i="42"/>
  <c r="A154" i="42"/>
  <c r="B153" i="42"/>
  <c r="D152" i="42"/>
  <c r="C152" i="42"/>
  <c r="F152" i="42" l="1"/>
  <c r="D153" i="42"/>
  <c r="C153" i="42"/>
  <c r="E154" i="42"/>
  <c r="A155" i="42"/>
  <c r="B154" i="42"/>
  <c r="F153" i="42" l="1"/>
  <c r="E155" i="42"/>
  <c r="A156" i="42"/>
  <c r="B155" i="42"/>
  <c r="D154" i="42"/>
  <c r="C154" i="42"/>
  <c r="F154" i="42" l="1"/>
  <c r="D155" i="42"/>
  <c r="C155" i="42"/>
  <c r="E156" i="42"/>
  <c r="B156" i="42"/>
  <c r="A157" i="42"/>
  <c r="F155" i="42" l="1"/>
  <c r="D156" i="42"/>
  <c r="C156" i="42"/>
  <c r="E157" i="42"/>
  <c r="A158" i="42"/>
  <c r="B157" i="42"/>
  <c r="F156" i="42" l="1"/>
  <c r="E158" i="42"/>
  <c r="A159" i="42"/>
  <c r="B158" i="42"/>
  <c r="D157" i="42"/>
  <c r="C157" i="42"/>
  <c r="F157" i="42" l="1"/>
  <c r="D158" i="42"/>
  <c r="C158" i="42"/>
  <c r="E159" i="42"/>
  <c r="A160" i="42"/>
  <c r="B159" i="42"/>
  <c r="E160" i="42" l="1"/>
  <c r="A161" i="42"/>
  <c r="B160" i="42"/>
  <c r="F158" i="42"/>
  <c r="D159" i="42"/>
  <c r="C159" i="42"/>
  <c r="D160" i="42" l="1"/>
  <c r="C160" i="42"/>
  <c r="F159" i="42"/>
  <c r="E161" i="42"/>
  <c r="A162" i="42"/>
  <c r="B161" i="42"/>
  <c r="F160" i="42" l="1"/>
  <c r="D161" i="42"/>
  <c r="C161" i="42"/>
  <c r="E162" i="42"/>
  <c r="B162" i="42"/>
  <c r="A163" i="42"/>
  <c r="F161" i="42" l="1"/>
  <c r="D162" i="42"/>
  <c r="C162" i="42"/>
  <c r="E163" i="42"/>
  <c r="A164" i="42"/>
  <c r="B163" i="42"/>
  <c r="F162" i="42" l="1"/>
  <c r="E164" i="42"/>
  <c r="A165" i="42"/>
  <c r="B164" i="42"/>
  <c r="D163" i="42"/>
  <c r="C163" i="42"/>
  <c r="F163" i="42" l="1"/>
  <c r="D164" i="42"/>
  <c r="C164" i="42"/>
  <c r="E165" i="42"/>
  <c r="A166" i="42"/>
  <c r="B165" i="42"/>
  <c r="F164" i="42" l="1"/>
  <c r="E166" i="42"/>
  <c r="A167" i="42"/>
  <c r="B166" i="42"/>
  <c r="D165" i="42"/>
  <c r="C165" i="42"/>
  <c r="F165" i="42" l="1"/>
  <c r="D166" i="42"/>
  <c r="C166" i="42"/>
  <c r="E167" i="42"/>
  <c r="A168" i="42"/>
  <c r="B167" i="42"/>
  <c r="F166" i="42" l="1"/>
  <c r="E168" i="42"/>
  <c r="A169" i="42"/>
  <c r="B168" i="42"/>
  <c r="D167" i="42"/>
  <c r="C167" i="42"/>
  <c r="F167" i="42" l="1"/>
  <c r="D168" i="42"/>
  <c r="C168" i="42"/>
  <c r="E169" i="42"/>
  <c r="A170" i="42"/>
  <c r="B169" i="42"/>
  <c r="F168" i="42" l="1"/>
  <c r="E170" i="42"/>
  <c r="A171" i="42"/>
  <c r="B170" i="42"/>
  <c r="D169" i="42"/>
  <c r="C169" i="42"/>
  <c r="F169" i="42" l="1"/>
  <c r="D170" i="42"/>
  <c r="C170" i="42"/>
  <c r="E171" i="42"/>
  <c r="A172" i="42"/>
  <c r="B171" i="42"/>
  <c r="F170" i="42" l="1"/>
  <c r="E172" i="42"/>
  <c r="A173" i="42"/>
  <c r="B172" i="42"/>
  <c r="D171" i="42"/>
  <c r="C171" i="42"/>
  <c r="F171" i="42" l="1"/>
  <c r="D172" i="42"/>
  <c r="C172" i="42"/>
  <c r="E173" i="42"/>
  <c r="A174" i="42"/>
  <c r="B173" i="42"/>
  <c r="F172" i="42" l="1"/>
  <c r="E174" i="42"/>
  <c r="A175" i="42"/>
  <c r="B174" i="42"/>
  <c r="D173" i="42"/>
  <c r="C173" i="42"/>
  <c r="F173" i="42" l="1"/>
  <c r="D174" i="42"/>
  <c r="C174" i="42"/>
  <c r="E175" i="42"/>
  <c r="A176" i="42"/>
  <c r="B175" i="42"/>
  <c r="F174" i="42" l="1"/>
  <c r="E176" i="42"/>
  <c r="A177" i="42"/>
  <c r="B176" i="42"/>
  <c r="D175" i="42"/>
  <c r="C175" i="42"/>
  <c r="F175" i="42" l="1"/>
  <c r="D176" i="42"/>
  <c r="C176" i="42"/>
  <c r="E177" i="42"/>
  <c r="A178" i="42"/>
  <c r="B177" i="42"/>
  <c r="F176" i="42" l="1"/>
  <c r="E178" i="42"/>
  <c r="A179" i="42"/>
  <c r="B178" i="42"/>
  <c r="D177" i="42"/>
  <c r="C177" i="42"/>
  <c r="F177" i="42" l="1"/>
  <c r="D178" i="42"/>
  <c r="C178" i="42"/>
  <c r="E179" i="42"/>
  <c r="A180" i="42"/>
  <c r="B179" i="42"/>
  <c r="F178" i="42" l="1"/>
  <c r="E180" i="42"/>
  <c r="A181" i="42"/>
  <c r="B180" i="42"/>
  <c r="D179" i="42"/>
  <c r="C179" i="42"/>
  <c r="F179" i="42" l="1"/>
  <c r="D180" i="42"/>
  <c r="C180" i="42"/>
  <c r="E181" i="42"/>
  <c r="A182" i="42"/>
  <c r="B181" i="42"/>
  <c r="F180" i="42" l="1"/>
  <c r="E182" i="42"/>
  <c r="A183" i="42"/>
  <c r="B182" i="42"/>
  <c r="D181" i="42"/>
  <c r="C181" i="42"/>
  <c r="F181" i="42" l="1"/>
  <c r="D182" i="42"/>
  <c r="C182" i="42"/>
  <c r="E183" i="42"/>
  <c r="A184" i="42"/>
  <c r="B183" i="42"/>
  <c r="F182" i="42" l="1"/>
  <c r="E184" i="42"/>
  <c r="A185" i="42"/>
  <c r="B184" i="42"/>
  <c r="D183" i="42"/>
  <c r="C183" i="42"/>
  <c r="F183" i="42" l="1"/>
  <c r="D184" i="42"/>
  <c r="C184" i="42"/>
  <c r="E185" i="42"/>
  <c r="A186" i="42"/>
  <c r="B185" i="42"/>
  <c r="F184" i="42" l="1"/>
  <c r="E186" i="42"/>
  <c r="A187" i="42"/>
  <c r="B186" i="42"/>
  <c r="D185" i="42"/>
  <c r="C185" i="42"/>
  <c r="F185" i="42" l="1"/>
  <c r="D186" i="42"/>
  <c r="C186" i="42"/>
  <c r="E187" i="42"/>
  <c r="A188" i="42"/>
  <c r="B187" i="42"/>
  <c r="F186" i="42" l="1"/>
  <c r="E188" i="42"/>
  <c r="A189" i="42"/>
  <c r="B188" i="42"/>
  <c r="D187" i="42"/>
  <c r="C187" i="42"/>
  <c r="F187" i="42" l="1"/>
  <c r="D188" i="42"/>
  <c r="C188" i="42"/>
  <c r="E189" i="42"/>
  <c r="A190" i="42"/>
  <c r="B189" i="42"/>
  <c r="F188" i="42" l="1"/>
  <c r="E190" i="42"/>
  <c r="A191" i="42"/>
  <c r="B190" i="42"/>
  <c r="D189" i="42"/>
  <c r="C189" i="42"/>
  <c r="F189" i="42" l="1"/>
  <c r="D190" i="42"/>
  <c r="C190" i="42"/>
  <c r="E191" i="42"/>
  <c r="A192" i="42"/>
  <c r="B191" i="42"/>
  <c r="F190" i="42" l="1"/>
  <c r="E192" i="42"/>
  <c r="A193" i="42"/>
  <c r="B192" i="42"/>
  <c r="D191" i="42"/>
  <c r="C191" i="42"/>
  <c r="F191" i="42" l="1"/>
  <c r="D192" i="42"/>
  <c r="C192" i="42"/>
  <c r="E193" i="42"/>
  <c r="A194" i="42"/>
  <c r="B193" i="42"/>
  <c r="F192" i="42" l="1"/>
  <c r="E194" i="42"/>
  <c r="A195" i="42"/>
  <c r="B194" i="42"/>
  <c r="D193" i="42"/>
  <c r="C193" i="42"/>
  <c r="F193" i="42" l="1"/>
  <c r="D194" i="42"/>
  <c r="C194" i="42"/>
  <c r="E195" i="42"/>
  <c r="A196" i="42"/>
  <c r="B195" i="42"/>
  <c r="F194" i="42" l="1"/>
  <c r="E196" i="42"/>
  <c r="A197" i="42"/>
  <c r="B196" i="42"/>
  <c r="D195" i="42"/>
  <c r="C195" i="42"/>
  <c r="F195" i="42" l="1"/>
  <c r="D196" i="42"/>
  <c r="C196" i="42"/>
  <c r="E197" i="42"/>
  <c r="A198" i="42"/>
  <c r="B197" i="42"/>
  <c r="F196" i="42" l="1"/>
  <c r="E198" i="42"/>
  <c r="A199" i="42"/>
  <c r="B198" i="42"/>
  <c r="D197" i="42"/>
  <c r="C197" i="42"/>
  <c r="F197" i="42" l="1"/>
  <c r="D198" i="42"/>
  <c r="C198" i="42"/>
  <c r="E199" i="42"/>
  <c r="A200" i="42"/>
  <c r="B199" i="42"/>
  <c r="F198" i="42" l="1"/>
  <c r="E200" i="42"/>
  <c r="A201" i="42"/>
  <c r="B200" i="42"/>
  <c r="D199" i="42"/>
  <c r="C199" i="42"/>
  <c r="F199" i="42" l="1"/>
  <c r="D200" i="42"/>
  <c r="C200" i="42"/>
  <c r="E201" i="42"/>
  <c r="A202" i="42"/>
  <c r="B201" i="42"/>
  <c r="F200" i="42" l="1"/>
  <c r="E202" i="42"/>
  <c r="A203" i="42"/>
  <c r="B202" i="42"/>
  <c r="D201" i="42"/>
  <c r="C201" i="42"/>
  <c r="F201" i="42" l="1"/>
  <c r="D202" i="42"/>
  <c r="C202" i="42"/>
  <c r="E203" i="42"/>
  <c r="A204" i="42"/>
  <c r="B203" i="42"/>
  <c r="F202" i="42" l="1"/>
  <c r="E204" i="42"/>
  <c r="A205" i="42"/>
  <c r="B204" i="42"/>
  <c r="D203" i="42"/>
  <c r="C203" i="42"/>
  <c r="F203" i="42" l="1"/>
  <c r="D204" i="42"/>
  <c r="C204" i="42"/>
  <c r="E205" i="42"/>
  <c r="A206" i="42"/>
  <c r="B205" i="42"/>
  <c r="F204" i="42" l="1"/>
  <c r="E206" i="42"/>
  <c r="B206" i="42"/>
  <c r="A207" i="42"/>
  <c r="D205" i="42"/>
  <c r="C205" i="42"/>
  <c r="F4" i="2"/>
  <c r="G4" i="2" s="1"/>
  <c r="B3" i="2"/>
  <c r="I4" i="2" l="1"/>
  <c r="F205" i="42"/>
  <c r="E207" i="42"/>
  <c r="A208" i="42"/>
  <c r="B207" i="42"/>
  <c r="D206" i="42"/>
  <c r="C206" i="42"/>
  <c r="F3" i="2"/>
  <c r="H4" i="2"/>
  <c r="F232" i="2" l="1"/>
  <c r="G232" i="2" s="1"/>
  <c r="F216" i="2"/>
  <c r="G216" i="2" s="1"/>
  <c r="F200" i="2"/>
  <c r="G200" i="2" s="1"/>
  <c r="F184" i="2"/>
  <c r="G184" i="2" s="1"/>
  <c r="F168" i="2"/>
  <c r="G168" i="2" s="1"/>
  <c r="F152" i="2"/>
  <c r="G152" i="2" s="1"/>
  <c r="F136" i="2"/>
  <c r="G136" i="2" s="1"/>
  <c r="F231" i="2"/>
  <c r="G231" i="2" s="1"/>
  <c r="F215" i="2"/>
  <c r="G215" i="2" s="1"/>
  <c r="F199" i="2"/>
  <c r="G199" i="2" s="1"/>
  <c r="F183" i="2"/>
  <c r="G183" i="2" s="1"/>
  <c r="F167" i="2"/>
  <c r="G167" i="2" s="1"/>
  <c r="F151" i="2"/>
  <c r="G151" i="2" s="1"/>
  <c r="F135" i="2"/>
  <c r="G135" i="2" s="1"/>
  <c r="F230" i="2"/>
  <c r="G230" i="2" s="1"/>
  <c r="F214" i="2"/>
  <c r="G214" i="2" s="1"/>
  <c r="F198" i="2"/>
  <c r="G198" i="2" s="1"/>
  <c r="F182" i="2"/>
  <c r="G182" i="2" s="1"/>
  <c r="F166" i="2"/>
  <c r="G166" i="2" s="1"/>
  <c r="F150" i="2"/>
  <c r="G150" i="2" s="1"/>
  <c r="F134" i="2"/>
  <c r="G134" i="2" s="1"/>
  <c r="F5" i="2"/>
  <c r="G5" i="2" s="1"/>
  <c r="F229" i="2"/>
  <c r="G229" i="2" s="1"/>
  <c r="F213" i="2"/>
  <c r="G213" i="2" s="1"/>
  <c r="F197" i="2"/>
  <c r="G197" i="2" s="1"/>
  <c r="F181" i="2"/>
  <c r="G181" i="2" s="1"/>
  <c r="F165" i="2"/>
  <c r="G165" i="2" s="1"/>
  <c r="F149" i="2"/>
  <c r="G149" i="2" s="1"/>
  <c r="F133" i="2"/>
  <c r="G133" i="2" s="1"/>
  <c r="F228" i="2"/>
  <c r="G228" i="2" s="1"/>
  <c r="F212" i="2"/>
  <c r="G212" i="2" s="1"/>
  <c r="F196" i="2"/>
  <c r="G196" i="2" s="1"/>
  <c r="F180" i="2"/>
  <c r="G180" i="2" s="1"/>
  <c r="F164" i="2"/>
  <c r="G164" i="2" s="1"/>
  <c r="F148" i="2"/>
  <c r="G148" i="2" s="1"/>
  <c r="F132" i="2"/>
  <c r="G132" i="2" s="1"/>
  <c r="F243" i="2"/>
  <c r="G243" i="2" s="1"/>
  <c r="F227" i="2"/>
  <c r="G227" i="2" s="1"/>
  <c r="F211" i="2"/>
  <c r="G211" i="2" s="1"/>
  <c r="F195" i="2"/>
  <c r="G195" i="2" s="1"/>
  <c r="F179" i="2"/>
  <c r="G179" i="2" s="1"/>
  <c r="F163" i="2"/>
  <c r="G163" i="2" s="1"/>
  <c r="F147" i="2"/>
  <c r="G147" i="2" s="1"/>
  <c r="F131" i="2"/>
  <c r="G131" i="2" s="1"/>
  <c r="F242" i="2"/>
  <c r="G242" i="2" s="1"/>
  <c r="F226" i="2"/>
  <c r="G226" i="2" s="1"/>
  <c r="F210" i="2"/>
  <c r="G210" i="2" s="1"/>
  <c r="F194" i="2"/>
  <c r="G194" i="2" s="1"/>
  <c r="F178" i="2"/>
  <c r="G178" i="2" s="1"/>
  <c r="F162" i="2"/>
  <c r="G162" i="2" s="1"/>
  <c r="F146" i="2"/>
  <c r="G146" i="2" s="1"/>
  <c r="F130" i="2"/>
  <c r="G130" i="2" s="1"/>
  <c r="F241" i="2"/>
  <c r="G241" i="2" s="1"/>
  <c r="F225" i="2"/>
  <c r="G225" i="2" s="1"/>
  <c r="F209" i="2"/>
  <c r="G209" i="2" s="1"/>
  <c r="F193" i="2"/>
  <c r="G193" i="2" s="1"/>
  <c r="F177" i="2"/>
  <c r="G177" i="2" s="1"/>
  <c r="F161" i="2"/>
  <c r="G161" i="2" s="1"/>
  <c r="F145" i="2"/>
  <c r="G145" i="2" s="1"/>
  <c r="F129" i="2"/>
  <c r="G129" i="2" s="1"/>
  <c r="F240" i="2"/>
  <c r="G240" i="2" s="1"/>
  <c r="F224" i="2"/>
  <c r="G224" i="2" s="1"/>
  <c r="F208" i="2"/>
  <c r="G208" i="2" s="1"/>
  <c r="F192" i="2"/>
  <c r="G192" i="2" s="1"/>
  <c r="F176" i="2"/>
  <c r="G176" i="2" s="1"/>
  <c r="F160" i="2"/>
  <c r="G160" i="2" s="1"/>
  <c r="F144" i="2"/>
  <c r="G144" i="2" s="1"/>
  <c r="F128" i="2"/>
  <c r="G128" i="2" s="1"/>
  <c r="F239" i="2"/>
  <c r="G239" i="2" s="1"/>
  <c r="F223" i="2"/>
  <c r="G223" i="2" s="1"/>
  <c r="F207" i="2"/>
  <c r="G207" i="2" s="1"/>
  <c r="F191" i="2"/>
  <c r="G191" i="2" s="1"/>
  <c r="F175" i="2"/>
  <c r="G175" i="2" s="1"/>
  <c r="F159" i="2"/>
  <c r="G159" i="2" s="1"/>
  <c r="F143" i="2"/>
  <c r="G143" i="2" s="1"/>
  <c r="F127" i="2"/>
  <c r="G127" i="2" s="1"/>
  <c r="F238" i="2"/>
  <c r="G238" i="2" s="1"/>
  <c r="F222" i="2"/>
  <c r="G222" i="2" s="1"/>
  <c r="F206" i="2"/>
  <c r="G206" i="2" s="1"/>
  <c r="F190" i="2"/>
  <c r="G190" i="2" s="1"/>
  <c r="F174" i="2"/>
  <c r="G174" i="2" s="1"/>
  <c r="F158" i="2"/>
  <c r="G158" i="2" s="1"/>
  <c r="F142" i="2"/>
  <c r="G142" i="2" s="1"/>
  <c r="F237" i="2"/>
  <c r="G237" i="2" s="1"/>
  <c r="F221" i="2"/>
  <c r="G221" i="2" s="1"/>
  <c r="F205" i="2"/>
  <c r="G205" i="2" s="1"/>
  <c r="F189" i="2"/>
  <c r="G189" i="2" s="1"/>
  <c r="F173" i="2"/>
  <c r="G173" i="2" s="1"/>
  <c r="F157" i="2"/>
  <c r="G157" i="2" s="1"/>
  <c r="F141" i="2"/>
  <c r="G141" i="2" s="1"/>
  <c r="F236" i="2"/>
  <c r="G236" i="2" s="1"/>
  <c r="F220" i="2"/>
  <c r="G220" i="2" s="1"/>
  <c r="F204" i="2"/>
  <c r="G204" i="2" s="1"/>
  <c r="F188" i="2"/>
  <c r="G188" i="2" s="1"/>
  <c r="F172" i="2"/>
  <c r="G172" i="2" s="1"/>
  <c r="F156" i="2"/>
  <c r="G156" i="2" s="1"/>
  <c r="F140" i="2"/>
  <c r="G140" i="2" s="1"/>
  <c r="F235" i="2"/>
  <c r="G235" i="2" s="1"/>
  <c r="F219" i="2"/>
  <c r="G219" i="2" s="1"/>
  <c r="F203" i="2"/>
  <c r="G203" i="2" s="1"/>
  <c r="F187" i="2"/>
  <c r="G187" i="2" s="1"/>
  <c r="F171" i="2"/>
  <c r="G171" i="2" s="1"/>
  <c r="F155" i="2"/>
  <c r="G155" i="2" s="1"/>
  <c r="F139" i="2"/>
  <c r="G139" i="2" s="1"/>
  <c r="F234" i="2"/>
  <c r="G234" i="2" s="1"/>
  <c r="F218" i="2"/>
  <c r="G218" i="2" s="1"/>
  <c r="F202" i="2"/>
  <c r="G202" i="2" s="1"/>
  <c r="F186" i="2"/>
  <c r="G186" i="2" s="1"/>
  <c r="F170" i="2"/>
  <c r="G170" i="2" s="1"/>
  <c r="F154" i="2"/>
  <c r="G154" i="2" s="1"/>
  <c r="F138" i="2"/>
  <c r="G138" i="2" s="1"/>
  <c r="F233" i="2"/>
  <c r="G233" i="2" s="1"/>
  <c r="F217" i="2"/>
  <c r="G217" i="2" s="1"/>
  <c r="F201" i="2"/>
  <c r="G201" i="2" s="1"/>
  <c r="F185" i="2"/>
  <c r="G185" i="2" s="1"/>
  <c r="F169" i="2"/>
  <c r="G169" i="2" s="1"/>
  <c r="F153" i="2"/>
  <c r="G153" i="2" s="1"/>
  <c r="F137" i="2"/>
  <c r="G137" i="2" s="1"/>
  <c r="F206" i="42"/>
  <c r="D207" i="42"/>
  <c r="C207" i="42"/>
  <c r="E208" i="42"/>
  <c r="A209" i="42"/>
  <c r="B208" i="42"/>
  <c r="B3" i="1"/>
  <c r="F91" i="2" l="1"/>
  <c r="G91" i="2" s="1"/>
  <c r="I91" i="2" s="1"/>
  <c r="F76" i="2"/>
  <c r="G76" i="2" s="1"/>
  <c r="I76" i="2" s="1"/>
  <c r="F46" i="2"/>
  <c r="G46" i="2" s="1"/>
  <c r="I46" i="2" s="1"/>
  <c r="F16" i="2"/>
  <c r="G16" i="2" s="1"/>
  <c r="F122" i="2"/>
  <c r="G122" i="2" s="1"/>
  <c r="I122" i="2" s="1"/>
  <c r="F92" i="2"/>
  <c r="G92" i="2" s="1"/>
  <c r="I92" i="2" s="1"/>
  <c r="F62" i="2"/>
  <c r="G62" i="2" s="1"/>
  <c r="F47" i="2"/>
  <c r="F17" i="2"/>
  <c r="G17" i="2" s="1"/>
  <c r="I17" i="2" s="1"/>
  <c r="F123" i="2"/>
  <c r="F78" i="2"/>
  <c r="G78" i="2" s="1"/>
  <c r="I78" i="2" s="1"/>
  <c r="F33" i="2"/>
  <c r="G33" i="2" s="1"/>
  <c r="I33" i="2" s="1"/>
  <c r="F124" i="2"/>
  <c r="G124" i="2" s="1"/>
  <c r="I124" i="2" s="1"/>
  <c r="F94" i="2"/>
  <c r="G94" i="2" s="1"/>
  <c r="I94" i="2" s="1"/>
  <c r="F64" i="2"/>
  <c r="G64" i="2" s="1"/>
  <c r="F49" i="2"/>
  <c r="G49" i="2" s="1"/>
  <c r="I49" i="2" s="1"/>
  <c r="F19" i="2"/>
  <c r="F125" i="2"/>
  <c r="G125" i="2" s="1"/>
  <c r="F110" i="2"/>
  <c r="G110" i="2" s="1"/>
  <c r="F95" i="2"/>
  <c r="G95" i="2" s="1"/>
  <c r="F80" i="2"/>
  <c r="G80" i="2" s="1"/>
  <c r="F65" i="2"/>
  <c r="F50" i="2"/>
  <c r="F35" i="2"/>
  <c r="G35" i="2" s="1"/>
  <c r="I35" i="2" s="1"/>
  <c r="F20" i="2"/>
  <c r="G20" i="2" s="1"/>
  <c r="I20" i="2" s="1"/>
  <c r="F21" i="2"/>
  <c r="G21" i="2" s="1"/>
  <c r="F96" i="2"/>
  <c r="G96" i="2" s="1"/>
  <c r="I96" i="2" s="1"/>
  <c r="F97" i="2"/>
  <c r="G97" i="2" s="1"/>
  <c r="I97" i="2" s="1"/>
  <c r="F67" i="2"/>
  <c r="G67" i="2" s="1"/>
  <c r="I67" i="2" s="1"/>
  <c r="F22" i="2"/>
  <c r="G22" i="2" s="1"/>
  <c r="F25" i="2"/>
  <c r="G25" i="2" s="1"/>
  <c r="F113" i="2"/>
  <c r="G113" i="2" s="1"/>
  <c r="F83" i="2"/>
  <c r="G83" i="2" s="1"/>
  <c r="I83" i="2" s="1"/>
  <c r="F68" i="2"/>
  <c r="G68" i="2" s="1"/>
  <c r="F38" i="2"/>
  <c r="F23" i="2"/>
  <c r="G23" i="2" s="1"/>
  <c r="F8" i="2"/>
  <c r="G8" i="2" s="1"/>
  <c r="I8" i="2" s="1"/>
  <c r="F41" i="2"/>
  <c r="G41" i="2" s="1"/>
  <c r="I41" i="2" s="1"/>
  <c r="F99" i="2"/>
  <c r="F57" i="2"/>
  <c r="G57" i="2" s="1"/>
  <c r="I57" i="2" s="1"/>
  <c r="F26" i="2"/>
  <c r="G26" i="2" s="1"/>
  <c r="F100" i="2"/>
  <c r="G100" i="2" s="1"/>
  <c r="F70" i="2"/>
  <c r="G70" i="2" s="1"/>
  <c r="F55" i="2"/>
  <c r="G55" i="2" s="1"/>
  <c r="F73" i="2"/>
  <c r="F27" i="2"/>
  <c r="G27" i="2" s="1"/>
  <c r="I27" i="2" s="1"/>
  <c r="F12" i="2"/>
  <c r="F116" i="2"/>
  <c r="G116" i="2" s="1"/>
  <c r="I116" i="2" s="1"/>
  <c r="F86" i="2"/>
  <c r="G86" i="2" s="1"/>
  <c r="I86" i="2" s="1"/>
  <c r="F71" i="2"/>
  <c r="G71" i="2" s="1"/>
  <c r="I71" i="2" s="1"/>
  <c r="F56" i="2"/>
  <c r="G56" i="2" s="1"/>
  <c r="I56" i="2" s="1"/>
  <c r="F89" i="2"/>
  <c r="G89" i="2" s="1"/>
  <c r="I89" i="2" s="1"/>
  <c r="F58" i="2"/>
  <c r="F43" i="2"/>
  <c r="G43" i="2" s="1"/>
  <c r="F13" i="2"/>
  <c r="G13" i="2" s="1"/>
  <c r="F87" i="2"/>
  <c r="G87" i="2" s="1"/>
  <c r="F72" i="2"/>
  <c r="G72" i="2" s="1"/>
  <c r="I72" i="2" s="1"/>
  <c r="F105" i="2"/>
  <c r="G105" i="2" s="1"/>
  <c r="F74" i="2"/>
  <c r="G74" i="2" s="1"/>
  <c r="F59" i="2"/>
  <c r="F44" i="2"/>
  <c r="G44" i="2" s="1"/>
  <c r="I44" i="2" s="1"/>
  <c r="F29" i="2"/>
  <c r="G29" i="2" s="1"/>
  <c r="I29" i="2" s="1"/>
  <c r="F14" i="2"/>
  <c r="G14" i="2" s="1"/>
  <c r="F118" i="2"/>
  <c r="G118" i="2" s="1"/>
  <c r="I118" i="2" s="1"/>
  <c r="F103" i="2"/>
  <c r="F88" i="2"/>
  <c r="G88" i="2" s="1"/>
  <c r="I88" i="2" s="1"/>
  <c r="F106" i="2"/>
  <c r="G106" i="2" s="1"/>
  <c r="F61" i="2"/>
  <c r="G61" i="2" s="1"/>
  <c r="F31" i="2"/>
  <c r="G31" i="2" s="1"/>
  <c r="F120" i="2"/>
  <c r="G120" i="2" s="1"/>
  <c r="F107" i="2"/>
  <c r="F77" i="2"/>
  <c r="G77" i="2" s="1"/>
  <c r="I77" i="2" s="1"/>
  <c r="F32" i="2"/>
  <c r="G32" i="2" s="1"/>
  <c r="I32" i="2" s="1"/>
  <c r="F108" i="2"/>
  <c r="G108" i="2" s="1"/>
  <c r="I108" i="2" s="1"/>
  <c r="F93" i="2"/>
  <c r="G93" i="2" s="1"/>
  <c r="I93" i="2" s="1"/>
  <c r="F63" i="2"/>
  <c r="G63" i="2" s="1"/>
  <c r="I63" i="2" s="1"/>
  <c r="F48" i="2"/>
  <c r="G48" i="2" s="1"/>
  <c r="I48" i="2" s="1"/>
  <c r="F18" i="2"/>
  <c r="G18" i="2" s="1"/>
  <c r="I18" i="2" s="1"/>
  <c r="F109" i="2"/>
  <c r="G109" i="2" s="1"/>
  <c r="I109" i="2" s="1"/>
  <c r="F79" i="2"/>
  <c r="G79" i="2" s="1"/>
  <c r="F34" i="2"/>
  <c r="G34" i="2" s="1"/>
  <c r="I34" i="2" s="1"/>
  <c r="F126" i="2"/>
  <c r="G126" i="2" s="1"/>
  <c r="F111" i="2"/>
  <c r="G111" i="2" s="1"/>
  <c r="F81" i="2"/>
  <c r="G81" i="2" s="1"/>
  <c r="F66" i="2"/>
  <c r="F51" i="2"/>
  <c r="F36" i="2"/>
  <c r="G36" i="2" s="1"/>
  <c r="I36" i="2" s="1"/>
  <c r="F37" i="2"/>
  <c r="G37" i="2" s="1"/>
  <c r="I37" i="2" s="1"/>
  <c r="F6" i="2"/>
  <c r="G6" i="2" s="1"/>
  <c r="I6" i="2" s="1"/>
  <c r="F9" i="2"/>
  <c r="G9" i="2" s="1"/>
  <c r="I9" i="2" s="1"/>
  <c r="F112" i="2"/>
  <c r="G112" i="2" s="1"/>
  <c r="I112" i="2" s="1"/>
  <c r="F82" i="2"/>
  <c r="G82" i="2" s="1"/>
  <c r="I82" i="2" s="1"/>
  <c r="F52" i="2"/>
  <c r="G52" i="2" s="1"/>
  <c r="F53" i="2"/>
  <c r="G53" i="2" s="1"/>
  <c r="I53" i="2" s="1"/>
  <c r="F7" i="2"/>
  <c r="G7" i="2" s="1"/>
  <c r="F98" i="2"/>
  <c r="G98" i="2" s="1"/>
  <c r="F69" i="2"/>
  <c r="F10" i="2"/>
  <c r="G10" i="2" s="1"/>
  <c r="I10" i="2" s="1"/>
  <c r="F114" i="2"/>
  <c r="G114" i="2" s="1"/>
  <c r="I114" i="2" s="1"/>
  <c r="F84" i="2"/>
  <c r="G84" i="2" s="1"/>
  <c r="I84" i="2" s="1"/>
  <c r="F85" i="2"/>
  <c r="G85" i="2" s="1"/>
  <c r="F54" i="2"/>
  <c r="F39" i="2"/>
  <c r="G39" i="2" s="1"/>
  <c r="I39" i="2" s="1"/>
  <c r="F24" i="2"/>
  <c r="G24" i="2" s="1"/>
  <c r="F11" i="2"/>
  <c r="G11" i="2" s="1"/>
  <c r="I11" i="2" s="1"/>
  <c r="F115" i="2"/>
  <c r="F101" i="2"/>
  <c r="G101" i="2" s="1"/>
  <c r="F40" i="2"/>
  <c r="G40" i="2" s="1"/>
  <c r="I40" i="2" s="1"/>
  <c r="F42" i="2"/>
  <c r="F117" i="2"/>
  <c r="F28" i="2"/>
  <c r="F102" i="2"/>
  <c r="G102" i="2" s="1"/>
  <c r="I102" i="2" s="1"/>
  <c r="F121" i="2"/>
  <c r="G121" i="2" s="1"/>
  <c r="I121" i="2" s="1"/>
  <c r="F90" i="2"/>
  <c r="F75" i="2"/>
  <c r="G75" i="2" s="1"/>
  <c r="I75" i="2" s="1"/>
  <c r="F60" i="2"/>
  <c r="G60" i="2" s="1"/>
  <c r="I60" i="2" s="1"/>
  <c r="F45" i="2"/>
  <c r="G45" i="2" s="1"/>
  <c r="I45" i="2" s="1"/>
  <c r="F30" i="2"/>
  <c r="G30" i="2" s="1"/>
  <c r="I30" i="2" s="1"/>
  <c r="F15" i="2"/>
  <c r="G15" i="2" s="1"/>
  <c r="I15" i="2" s="1"/>
  <c r="F119" i="2"/>
  <c r="G119" i="2" s="1"/>
  <c r="F104" i="2"/>
  <c r="G104" i="2" s="1"/>
  <c r="F228" i="1"/>
  <c r="G228" i="1" s="1"/>
  <c r="F186" i="1"/>
  <c r="G186" i="1" s="1"/>
  <c r="F202" i="1"/>
  <c r="G202" i="1" s="1"/>
  <c r="F100" i="1"/>
  <c r="G100" i="1" s="1"/>
  <c r="F209" i="1"/>
  <c r="G209" i="1" s="1"/>
  <c r="F233" i="1"/>
  <c r="G233" i="1" s="1"/>
  <c r="I127" i="2"/>
  <c r="H127" i="2"/>
  <c r="I159" i="2"/>
  <c r="H159" i="2"/>
  <c r="I191" i="2"/>
  <c r="H191" i="2"/>
  <c r="I223" i="2"/>
  <c r="H223" i="2"/>
  <c r="I160" i="2"/>
  <c r="H160" i="2"/>
  <c r="I224" i="2"/>
  <c r="H224" i="2"/>
  <c r="I177" i="2"/>
  <c r="H177" i="2"/>
  <c r="I241" i="2"/>
  <c r="H241" i="2"/>
  <c r="I130" i="2"/>
  <c r="H130" i="2"/>
  <c r="I147" i="2"/>
  <c r="H147" i="2"/>
  <c r="I211" i="2"/>
  <c r="H211" i="2"/>
  <c r="I164" i="2"/>
  <c r="H164" i="2"/>
  <c r="I228" i="2"/>
  <c r="H228" i="2"/>
  <c r="I133" i="2"/>
  <c r="H133" i="2"/>
  <c r="I197" i="2"/>
  <c r="H197" i="2"/>
  <c r="I134" i="2"/>
  <c r="H134" i="2"/>
  <c r="I198" i="2"/>
  <c r="H198" i="2"/>
  <c r="I151" i="2"/>
  <c r="H151" i="2"/>
  <c r="I215" i="2"/>
  <c r="H215" i="2"/>
  <c r="I176" i="2"/>
  <c r="H176" i="2"/>
  <c r="I240" i="2"/>
  <c r="H240" i="2"/>
  <c r="I129" i="2"/>
  <c r="H129" i="2"/>
  <c r="I193" i="2"/>
  <c r="H193" i="2"/>
  <c r="I146" i="2"/>
  <c r="H146" i="2"/>
  <c r="I210" i="2"/>
  <c r="H210" i="2"/>
  <c r="I163" i="2"/>
  <c r="H163" i="2"/>
  <c r="I227" i="2"/>
  <c r="H227" i="2"/>
  <c r="I180" i="2"/>
  <c r="H180" i="2"/>
  <c r="I149" i="2"/>
  <c r="H149" i="2"/>
  <c r="I213" i="2"/>
  <c r="H213" i="2"/>
  <c r="I150" i="2"/>
  <c r="H150" i="2"/>
  <c r="I214" i="2"/>
  <c r="H214" i="2"/>
  <c r="I167" i="2"/>
  <c r="H167" i="2"/>
  <c r="I231" i="2"/>
  <c r="H231" i="2"/>
  <c r="I209" i="2"/>
  <c r="H209" i="2"/>
  <c r="I143" i="2"/>
  <c r="H143" i="2"/>
  <c r="I175" i="2"/>
  <c r="H175" i="2"/>
  <c r="I207" i="2"/>
  <c r="H207" i="2"/>
  <c r="I239" i="2"/>
  <c r="H239" i="2"/>
  <c r="I128" i="2"/>
  <c r="H128" i="2"/>
  <c r="I192" i="2"/>
  <c r="H192" i="2"/>
  <c r="I145" i="2"/>
  <c r="H145" i="2"/>
  <c r="I162" i="2"/>
  <c r="H162" i="2"/>
  <c r="I226" i="2"/>
  <c r="H226" i="2"/>
  <c r="I179" i="2"/>
  <c r="H179" i="2"/>
  <c r="I243" i="2"/>
  <c r="H243" i="2"/>
  <c r="I132" i="2"/>
  <c r="H132" i="2"/>
  <c r="I196" i="2"/>
  <c r="H196" i="2"/>
  <c r="I165" i="2"/>
  <c r="H165" i="2"/>
  <c r="I229" i="2"/>
  <c r="H229" i="2"/>
  <c r="I166" i="2"/>
  <c r="H166" i="2"/>
  <c r="I230" i="2"/>
  <c r="H230" i="2"/>
  <c r="I183" i="2"/>
  <c r="H183" i="2"/>
  <c r="I144" i="2"/>
  <c r="H144" i="2"/>
  <c r="I208" i="2"/>
  <c r="H208" i="2"/>
  <c r="I161" i="2"/>
  <c r="H161" i="2"/>
  <c r="I225" i="2"/>
  <c r="H225" i="2"/>
  <c r="I178" i="2"/>
  <c r="H178" i="2"/>
  <c r="I242" i="2"/>
  <c r="H242" i="2"/>
  <c r="I131" i="2"/>
  <c r="H131" i="2"/>
  <c r="I195" i="2"/>
  <c r="H195" i="2"/>
  <c r="I148" i="2"/>
  <c r="H148" i="2"/>
  <c r="I212" i="2"/>
  <c r="H212" i="2"/>
  <c r="I181" i="2"/>
  <c r="H181" i="2"/>
  <c r="I182" i="2"/>
  <c r="H182" i="2"/>
  <c r="I135" i="2"/>
  <c r="H135" i="2"/>
  <c r="I199" i="2"/>
  <c r="H199" i="2"/>
  <c r="I194" i="2"/>
  <c r="H194" i="2"/>
  <c r="I168" i="2"/>
  <c r="H168" i="2"/>
  <c r="I200" i="2"/>
  <c r="H200" i="2"/>
  <c r="I232" i="2"/>
  <c r="H232" i="2"/>
  <c r="I185" i="2"/>
  <c r="H185" i="2"/>
  <c r="F184" i="1"/>
  <c r="G184" i="1" s="1"/>
  <c r="F183" i="1"/>
  <c r="G183" i="1" s="1"/>
  <c r="F216" i="1"/>
  <c r="G216" i="1" s="1"/>
  <c r="I184" i="2"/>
  <c r="H184" i="2"/>
  <c r="I137" i="2"/>
  <c r="H137" i="2"/>
  <c r="I233" i="2"/>
  <c r="H233" i="2"/>
  <c r="I154" i="2"/>
  <c r="H154" i="2"/>
  <c r="I139" i="2"/>
  <c r="H139" i="2"/>
  <c r="I171" i="2"/>
  <c r="H171" i="2"/>
  <c r="I235" i="2"/>
  <c r="H235" i="2"/>
  <c r="I141" i="2"/>
  <c r="H141" i="2"/>
  <c r="I173" i="2"/>
  <c r="H173" i="2"/>
  <c r="I205" i="2"/>
  <c r="H205" i="2"/>
  <c r="I237" i="2"/>
  <c r="H237" i="2"/>
  <c r="I158" i="2"/>
  <c r="H158" i="2"/>
  <c r="I190" i="2"/>
  <c r="H190" i="2"/>
  <c r="I222" i="2"/>
  <c r="H222" i="2"/>
  <c r="I152" i="2"/>
  <c r="H152" i="2"/>
  <c r="I201" i="2"/>
  <c r="H201" i="2"/>
  <c r="I186" i="2"/>
  <c r="H186" i="2"/>
  <c r="I203" i="2"/>
  <c r="H203" i="2"/>
  <c r="I156" i="2"/>
  <c r="H156" i="2"/>
  <c r="I188" i="2"/>
  <c r="H188" i="2"/>
  <c r="I220" i="2"/>
  <c r="H220" i="2"/>
  <c r="I5" i="2"/>
  <c r="H5" i="2"/>
  <c r="I216" i="2"/>
  <c r="H216" i="2"/>
  <c r="I169" i="2"/>
  <c r="H169" i="2"/>
  <c r="I218" i="2"/>
  <c r="H218" i="2"/>
  <c r="I136" i="2"/>
  <c r="H136" i="2"/>
  <c r="I153" i="2"/>
  <c r="H153" i="2"/>
  <c r="I217" i="2"/>
  <c r="H217" i="2"/>
  <c r="I138" i="2"/>
  <c r="H138" i="2"/>
  <c r="I170" i="2"/>
  <c r="H170" i="2"/>
  <c r="I202" i="2"/>
  <c r="H202" i="2"/>
  <c r="I234" i="2"/>
  <c r="H234" i="2"/>
  <c r="I155" i="2"/>
  <c r="H155" i="2"/>
  <c r="I187" i="2"/>
  <c r="H187" i="2"/>
  <c r="I219" i="2"/>
  <c r="H219" i="2"/>
  <c r="I140" i="2"/>
  <c r="H140" i="2"/>
  <c r="I172" i="2"/>
  <c r="H172" i="2"/>
  <c r="I204" i="2"/>
  <c r="H204" i="2"/>
  <c r="I236" i="2"/>
  <c r="H236" i="2"/>
  <c r="I157" i="2"/>
  <c r="H157" i="2"/>
  <c r="I189" i="2"/>
  <c r="H189" i="2"/>
  <c r="I221" i="2"/>
  <c r="H221" i="2"/>
  <c r="I142" i="2"/>
  <c r="H142" i="2"/>
  <c r="I174" i="2"/>
  <c r="H174" i="2"/>
  <c r="I206" i="2"/>
  <c r="H206" i="2"/>
  <c r="I238" i="2"/>
  <c r="H238" i="2"/>
  <c r="F207" i="42"/>
  <c r="D208" i="42"/>
  <c r="C208" i="42"/>
  <c r="E209" i="42"/>
  <c r="A210" i="42"/>
  <c r="B209" i="42"/>
  <c r="F3" i="1"/>
  <c r="H36" i="2" l="1"/>
  <c r="F170" i="1"/>
  <c r="G170" i="1" s="1"/>
  <c r="I170" i="1" s="1"/>
  <c r="F171" i="1"/>
  <c r="G171" i="1" s="1"/>
  <c r="I171" i="1" s="1"/>
  <c r="F161" i="1"/>
  <c r="G161" i="1" s="1"/>
  <c r="I161" i="1" s="1"/>
  <c r="F153" i="1"/>
  <c r="G153" i="1" s="1"/>
  <c r="H14" i="2"/>
  <c r="H84" i="2"/>
  <c r="H23" i="2"/>
  <c r="H83" i="2"/>
  <c r="H60" i="2"/>
  <c r="H122" i="2"/>
  <c r="I22" i="2"/>
  <c r="I23" i="2"/>
  <c r="H32" i="2"/>
  <c r="H114" i="2"/>
  <c r="H35" i="2"/>
  <c r="H71" i="2"/>
  <c r="H10" i="2"/>
  <c r="H108" i="2"/>
  <c r="G54" i="2"/>
  <c r="H54" i="2"/>
  <c r="G51" i="2"/>
  <c r="H51" i="2"/>
  <c r="H78" i="2"/>
  <c r="G58" i="2"/>
  <c r="H58" i="2"/>
  <c r="G99" i="2"/>
  <c r="H99" i="2"/>
  <c r="G123" i="2"/>
  <c r="H123" i="2"/>
  <c r="G103" i="2"/>
  <c r="H103" i="2"/>
  <c r="G50" i="2"/>
  <c r="H50" i="2"/>
  <c r="G115" i="2"/>
  <c r="I115" i="2" s="1"/>
  <c r="H115" i="2"/>
  <c r="H20" i="2"/>
  <c r="H8" i="2"/>
  <c r="H88" i="2"/>
  <c r="H89" i="2"/>
  <c r="H11" i="2"/>
  <c r="H55" i="2"/>
  <c r="G117" i="2"/>
  <c r="H117" i="2"/>
  <c r="G90" i="2"/>
  <c r="H90" i="2"/>
  <c r="G69" i="2"/>
  <c r="H69" i="2"/>
  <c r="G73" i="2"/>
  <c r="H73" i="2"/>
  <c r="G19" i="2"/>
  <c r="H19" i="2"/>
  <c r="G28" i="2"/>
  <c r="H28" i="2"/>
  <c r="H85" i="2"/>
  <c r="H44" i="2"/>
  <c r="H92" i="2"/>
  <c r="H121" i="2"/>
  <c r="H37" i="2"/>
  <c r="H22" i="2"/>
  <c r="H26" i="2"/>
  <c r="H119" i="2"/>
  <c r="H49" i="2"/>
  <c r="H39" i="2"/>
  <c r="H29" i="2"/>
  <c r="H67" i="2"/>
  <c r="H97" i="2"/>
  <c r="H116" i="2"/>
  <c r="H82" i="2"/>
  <c r="H48" i="2"/>
  <c r="H63" i="2"/>
  <c r="H43" i="2"/>
  <c r="H41" i="2"/>
  <c r="H53" i="2"/>
  <c r="H17" i="2"/>
  <c r="H104" i="2"/>
  <c r="H24" i="2"/>
  <c r="H33" i="2"/>
  <c r="H102" i="2"/>
  <c r="H52" i="2"/>
  <c r="H18" i="2"/>
  <c r="H96" i="2"/>
  <c r="H100" i="2"/>
  <c r="H124" i="2"/>
  <c r="H34" i="2"/>
  <c r="H112" i="2"/>
  <c r="H15" i="2"/>
  <c r="H72" i="2"/>
  <c r="H77" i="2"/>
  <c r="H86" i="2"/>
  <c r="G42" i="2"/>
  <c r="H42" i="2"/>
  <c r="G66" i="2"/>
  <c r="H66" i="2"/>
  <c r="G107" i="2"/>
  <c r="H107" i="2"/>
  <c r="G59" i="2"/>
  <c r="H59" i="2"/>
  <c r="G12" i="2"/>
  <c r="H12" i="2"/>
  <c r="G38" i="2"/>
  <c r="H38" i="2"/>
  <c r="G65" i="2"/>
  <c r="H65" i="2"/>
  <c r="G47" i="2"/>
  <c r="H47" i="2"/>
  <c r="I104" i="2"/>
  <c r="I119" i="2"/>
  <c r="H7" i="2"/>
  <c r="H101" i="2"/>
  <c r="H81" i="2"/>
  <c r="H95" i="2"/>
  <c r="H110" i="2"/>
  <c r="H125" i="2"/>
  <c r="H40" i="2"/>
  <c r="H120" i="2"/>
  <c r="I7" i="2"/>
  <c r="I55" i="2"/>
  <c r="I101" i="2"/>
  <c r="I81" i="2"/>
  <c r="I52" i="2"/>
  <c r="I95" i="2"/>
  <c r="I110" i="2"/>
  <c r="I125" i="2"/>
  <c r="I120" i="2"/>
  <c r="H70" i="2"/>
  <c r="H93" i="2"/>
  <c r="H105" i="2"/>
  <c r="H126" i="2"/>
  <c r="I70" i="2"/>
  <c r="I100" i="2"/>
  <c r="I24" i="2"/>
  <c r="I105" i="2"/>
  <c r="I126" i="2"/>
  <c r="H118" i="2"/>
  <c r="H111" i="2"/>
  <c r="H6" i="2"/>
  <c r="H31" i="2"/>
  <c r="H46" i="2"/>
  <c r="H61" i="2"/>
  <c r="H76" i="2"/>
  <c r="H91" i="2"/>
  <c r="H106" i="2"/>
  <c r="H57" i="2"/>
  <c r="H9" i="2"/>
  <c r="H94" i="2"/>
  <c r="H109" i="2"/>
  <c r="I111" i="2"/>
  <c r="I31" i="2"/>
  <c r="H25" i="2"/>
  <c r="I13" i="2"/>
  <c r="H16" i="2"/>
  <c r="H68" i="2"/>
  <c r="H98" i="2"/>
  <c r="H64" i="2"/>
  <c r="H21" i="2"/>
  <c r="H87" i="2"/>
  <c r="H113" i="2"/>
  <c r="I61" i="2"/>
  <c r="I106" i="2"/>
  <c r="H80" i="2"/>
  <c r="H79" i="2"/>
  <c r="H74" i="2"/>
  <c r="H13" i="2"/>
  <c r="H62" i="2"/>
  <c r="I80" i="2"/>
  <c r="I79" i="2"/>
  <c r="I85" i="2"/>
  <c r="I14" i="2"/>
  <c r="I74" i="2"/>
  <c r="I25" i="2"/>
  <c r="I26" i="2"/>
  <c r="I43" i="2"/>
  <c r="I62" i="2"/>
  <c r="H27" i="2"/>
  <c r="H56" i="2"/>
  <c r="H30" i="2"/>
  <c r="H45" i="2"/>
  <c r="H75" i="2"/>
  <c r="I16" i="2"/>
  <c r="I68" i="2"/>
  <c r="I98" i="2"/>
  <c r="I64" i="2"/>
  <c r="I21" i="2"/>
  <c r="I87" i="2"/>
  <c r="I113" i="2"/>
  <c r="F17" i="1"/>
  <c r="G17" i="1" s="1"/>
  <c r="F103" i="1"/>
  <c r="G103" i="1" s="1"/>
  <c r="I103" i="1" s="1"/>
  <c r="F26" i="1"/>
  <c r="G26" i="1" s="1"/>
  <c r="F108" i="1"/>
  <c r="G108" i="1" s="1"/>
  <c r="I108" i="1" s="1"/>
  <c r="F55" i="1"/>
  <c r="G55" i="1" s="1"/>
  <c r="F74" i="1"/>
  <c r="G74" i="1" s="1"/>
  <c r="I74" i="1" s="1"/>
  <c r="F51" i="1"/>
  <c r="G51" i="1" s="1"/>
  <c r="F147" i="1"/>
  <c r="G147" i="1" s="1"/>
  <c r="I147" i="1" s="1"/>
  <c r="F31" i="1"/>
  <c r="G31" i="1" s="1"/>
  <c r="F68" i="1"/>
  <c r="G68" i="1" s="1"/>
  <c r="I68" i="1" s="1"/>
  <c r="F33" i="1"/>
  <c r="G33" i="1" s="1"/>
  <c r="F10" i="1"/>
  <c r="G10" i="1" s="1"/>
  <c r="F138" i="1"/>
  <c r="G138" i="1" s="1"/>
  <c r="I138" i="1" s="1"/>
  <c r="F106" i="1"/>
  <c r="G106" i="1" s="1"/>
  <c r="I106" i="1" s="1"/>
  <c r="F120" i="1"/>
  <c r="G120" i="1" s="1"/>
  <c r="I120" i="1" s="1"/>
  <c r="F155" i="1"/>
  <c r="G155" i="1" s="1"/>
  <c r="I155" i="1" s="1"/>
  <c r="F123" i="1"/>
  <c r="G123" i="1" s="1"/>
  <c r="I123" i="1" s="1"/>
  <c r="F116" i="1"/>
  <c r="G116" i="1" s="1"/>
  <c r="I116" i="1" s="1"/>
  <c r="F122" i="1"/>
  <c r="G122" i="1" s="1"/>
  <c r="I122" i="1" s="1"/>
  <c r="F148" i="1"/>
  <c r="G148" i="1" s="1"/>
  <c r="I148" i="1" s="1"/>
  <c r="F90" i="1"/>
  <c r="G90" i="1" s="1"/>
  <c r="I90" i="1" s="1"/>
  <c r="F88" i="1"/>
  <c r="G88" i="1" s="1"/>
  <c r="I88" i="1" s="1"/>
  <c r="F40" i="1"/>
  <c r="G40" i="1" s="1"/>
  <c r="F192" i="1"/>
  <c r="G192" i="1" s="1"/>
  <c r="I192" i="1" s="1"/>
  <c r="F219" i="1"/>
  <c r="G219" i="1" s="1"/>
  <c r="I219" i="1" s="1"/>
  <c r="F212" i="1"/>
  <c r="G212" i="1" s="1"/>
  <c r="I212" i="1" s="1"/>
  <c r="F168" i="1"/>
  <c r="G168" i="1" s="1"/>
  <c r="F203" i="1"/>
  <c r="G203" i="1" s="1"/>
  <c r="I203" i="1" s="1"/>
  <c r="F208" i="1"/>
  <c r="G208" i="1" s="1"/>
  <c r="I208" i="1" s="1"/>
  <c r="F218" i="1"/>
  <c r="G218" i="1" s="1"/>
  <c r="I218" i="1" s="1"/>
  <c r="F49" i="1"/>
  <c r="G49" i="1" s="1"/>
  <c r="F7" i="1"/>
  <c r="G7" i="1" s="1"/>
  <c r="F58" i="1"/>
  <c r="G58" i="1" s="1"/>
  <c r="F71" i="1"/>
  <c r="G71" i="1" s="1"/>
  <c r="I71" i="1" s="1"/>
  <c r="F160" i="1"/>
  <c r="G160" i="1" s="1"/>
  <c r="I160" i="1" s="1"/>
  <c r="F127" i="1"/>
  <c r="G127" i="1" s="1"/>
  <c r="I127" i="1" s="1"/>
  <c r="F95" i="1"/>
  <c r="G95" i="1" s="1"/>
  <c r="I95" i="1" s="1"/>
  <c r="F177" i="1"/>
  <c r="G177" i="1" s="1"/>
  <c r="I177" i="1" s="1"/>
  <c r="F20" i="1"/>
  <c r="G20" i="1" s="1"/>
  <c r="F144" i="1"/>
  <c r="G144" i="1" s="1"/>
  <c r="I144" i="1" s="1"/>
  <c r="F175" i="1"/>
  <c r="G175" i="1" s="1"/>
  <c r="F196" i="1"/>
  <c r="G196" i="1" s="1"/>
  <c r="I196" i="1" s="1"/>
  <c r="F132" i="1"/>
  <c r="G132" i="1" s="1"/>
  <c r="I132" i="1" s="1"/>
  <c r="F231" i="1"/>
  <c r="G231" i="1" s="1"/>
  <c r="I231" i="1" s="1"/>
  <c r="F167" i="1"/>
  <c r="G167" i="1" s="1"/>
  <c r="F119" i="1"/>
  <c r="G119" i="1" s="1"/>
  <c r="I119" i="1" s="1"/>
  <c r="F24" i="1"/>
  <c r="G24" i="1" s="1"/>
  <c r="F84" i="1"/>
  <c r="G84" i="1" s="1"/>
  <c r="I84" i="1" s="1"/>
  <c r="F195" i="1"/>
  <c r="G195" i="1" s="1"/>
  <c r="I195" i="1" s="1"/>
  <c r="F179" i="1"/>
  <c r="G179" i="1" s="1"/>
  <c r="I179" i="1" s="1"/>
  <c r="F15" i="1"/>
  <c r="G15" i="1" s="1"/>
  <c r="F104" i="1"/>
  <c r="G104" i="1" s="1"/>
  <c r="I104" i="1" s="1"/>
  <c r="F188" i="1"/>
  <c r="G188" i="1" s="1"/>
  <c r="I188" i="1" s="1"/>
  <c r="F140" i="1"/>
  <c r="G140" i="1" s="1"/>
  <c r="I140" i="1" s="1"/>
  <c r="F76" i="1"/>
  <c r="H76" i="1" s="1"/>
  <c r="F60" i="1"/>
  <c r="F35" i="1"/>
  <c r="H35" i="1" s="1"/>
  <c r="F239" i="1"/>
  <c r="G239" i="1" s="1"/>
  <c r="I239" i="1" s="1"/>
  <c r="F223" i="1"/>
  <c r="G223" i="1" s="1"/>
  <c r="I223" i="1" s="1"/>
  <c r="F111" i="1"/>
  <c r="F79" i="1"/>
  <c r="F63" i="1"/>
  <c r="G63" i="1" s="1"/>
  <c r="F28" i="1"/>
  <c r="F18" i="1"/>
  <c r="H18" i="1" s="1"/>
  <c r="F92" i="1"/>
  <c r="G92" i="1" s="1"/>
  <c r="I92" i="1" s="1"/>
  <c r="F220" i="1"/>
  <c r="G220" i="1" s="1"/>
  <c r="I220" i="1" s="1"/>
  <c r="F172" i="1"/>
  <c r="G172" i="1" s="1"/>
  <c r="F53" i="1"/>
  <c r="H53" i="1" s="1"/>
  <c r="F204" i="1"/>
  <c r="G204" i="1" s="1"/>
  <c r="I204" i="1" s="1"/>
  <c r="F156" i="1"/>
  <c r="F124" i="1"/>
  <c r="G124" i="1" s="1"/>
  <c r="I124" i="1" s="1"/>
  <c r="F37" i="1"/>
  <c r="F21" i="1"/>
  <c r="F12" i="1"/>
  <c r="G12" i="1" s="1"/>
  <c r="F199" i="1"/>
  <c r="G199" i="1" s="1"/>
  <c r="I199" i="1" s="1"/>
  <c r="F151" i="1"/>
  <c r="H151" i="1" s="1"/>
  <c r="F135" i="1"/>
  <c r="G135" i="1" s="1"/>
  <c r="I135" i="1" s="1"/>
  <c r="F146" i="1"/>
  <c r="G146" i="1" s="1"/>
  <c r="I146" i="1" s="1"/>
  <c r="F130" i="1"/>
  <c r="G130" i="1" s="1"/>
  <c r="I130" i="1" s="1"/>
  <c r="F114" i="1"/>
  <c r="F98" i="1"/>
  <c r="G98" i="1" s="1"/>
  <c r="I98" i="1" s="1"/>
  <c r="F82" i="1"/>
  <c r="G82" i="1" s="1"/>
  <c r="I82" i="1" s="1"/>
  <c r="F66" i="1"/>
  <c r="G66" i="1" s="1"/>
  <c r="F47" i="1"/>
  <c r="F236" i="1"/>
  <c r="G236" i="1" s="1"/>
  <c r="I236" i="1" s="1"/>
  <c r="F241" i="1"/>
  <c r="G241" i="1" s="1"/>
  <c r="I241" i="1" s="1"/>
  <c r="F225" i="1"/>
  <c r="G225" i="1" s="1"/>
  <c r="I225" i="1" s="1"/>
  <c r="F193" i="1"/>
  <c r="F44" i="1"/>
  <c r="G44" i="1" s="1"/>
  <c r="F42" i="1"/>
  <c r="G42" i="1" s="1"/>
  <c r="F191" i="1"/>
  <c r="F143" i="1"/>
  <c r="G143" i="1" s="1"/>
  <c r="I143" i="1" s="1"/>
  <c r="F72" i="1"/>
  <c r="G72" i="1" s="1"/>
  <c r="I72" i="1" s="1"/>
  <c r="F56" i="1"/>
  <c r="F27" i="1"/>
  <c r="H27" i="1" s="1"/>
  <c r="F197" i="1"/>
  <c r="G197" i="1" s="1"/>
  <c r="I197" i="1" s="1"/>
  <c r="F174" i="1"/>
  <c r="G174" i="1" s="1"/>
  <c r="F200" i="1"/>
  <c r="G200" i="1" s="1"/>
  <c r="F152" i="1"/>
  <c r="G152" i="1" s="1"/>
  <c r="F80" i="1"/>
  <c r="G80" i="1" s="1"/>
  <c r="F64" i="1"/>
  <c r="G64" i="1" s="1"/>
  <c r="F43" i="1"/>
  <c r="G43" i="1" s="1"/>
  <c r="F243" i="1"/>
  <c r="G243" i="1" s="1"/>
  <c r="F227" i="1"/>
  <c r="G227" i="1" s="1"/>
  <c r="F211" i="1"/>
  <c r="G211" i="1" s="1"/>
  <c r="F131" i="1"/>
  <c r="G131" i="1" s="1"/>
  <c r="F115" i="1"/>
  <c r="G115" i="1" s="1"/>
  <c r="F99" i="1"/>
  <c r="G99" i="1" s="1"/>
  <c r="F83" i="1"/>
  <c r="G83" i="1" s="1"/>
  <c r="F67" i="1"/>
  <c r="G67" i="1" s="1"/>
  <c r="F48" i="1"/>
  <c r="G48" i="1" s="1"/>
  <c r="F240" i="1"/>
  <c r="G240" i="1" s="1"/>
  <c r="F194" i="1"/>
  <c r="G194" i="1" s="1"/>
  <c r="F166" i="1"/>
  <c r="G166" i="1" s="1"/>
  <c r="F142" i="1"/>
  <c r="G142" i="1" s="1"/>
  <c r="F126" i="1"/>
  <c r="G126" i="1" s="1"/>
  <c r="F110" i="1"/>
  <c r="G110" i="1" s="1"/>
  <c r="F94" i="1"/>
  <c r="G94" i="1" s="1"/>
  <c r="F78" i="1"/>
  <c r="G78" i="1" s="1"/>
  <c r="F62" i="1"/>
  <c r="G62" i="1" s="1"/>
  <c r="F39" i="1"/>
  <c r="G39" i="1" s="1"/>
  <c r="F224" i="1"/>
  <c r="G224" i="1" s="1"/>
  <c r="F180" i="1"/>
  <c r="G180" i="1" s="1"/>
  <c r="F136" i="1"/>
  <c r="G136" i="1" s="1"/>
  <c r="F112" i="1"/>
  <c r="G112" i="1" s="1"/>
  <c r="F242" i="1"/>
  <c r="G242" i="1" s="1"/>
  <c r="F226" i="1"/>
  <c r="G226" i="1" s="1"/>
  <c r="F198" i="1"/>
  <c r="G198" i="1" s="1"/>
  <c r="F237" i="1"/>
  <c r="G237" i="1" s="1"/>
  <c r="F221" i="1"/>
  <c r="G221" i="1" s="1"/>
  <c r="F205" i="1"/>
  <c r="G205" i="1" s="1"/>
  <c r="F189" i="1"/>
  <c r="G189" i="1" s="1"/>
  <c r="F173" i="1"/>
  <c r="G173" i="1" s="1"/>
  <c r="F157" i="1"/>
  <c r="G157" i="1" s="1"/>
  <c r="F141" i="1"/>
  <c r="G141" i="1" s="1"/>
  <c r="F125" i="1"/>
  <c r="G125" i="1" s="1"/>
  <c r="F109" i="1"/>
  <c r="G109" i="1" s="1"/>
  <c r="F93" i="1"/>
  <c r="G93" i="1" s="1"/>
  <c r="F77" i="1"/>
  <c r="G77" i="1" s="1"/>
  <c r="F61" i="1"/>
  <c r="G61" i="1" s="1"/>
  <c r="F36" i="1"/>
  <c r="G36" i="1" s="1"/>
  <c r="F45" i="1"/>
  <c r="G45" i="1" s="1"/>
  <c r="F29" i="1"/>
  <c r="G29" i="1" s="1"/>
  <c r="F13" i="1"/>
  <c r="G13" i="1" s="1"/>
  <c r="F19" i="1"/>
  <c r="G19" i="1" s="1"/>
  <c r="F54" i="1"/>
  <c r="G54" i="1" s="1"/>
  <c r="F38" i="1"/>
  <c r="G38" i="1" s="1"/>
  <c r="F22" i="1"/>
  <c r="G22" i="1" s="1"/>
  <c r="I100" i="1"/>
  <c r="H100" i="1"/>
  <c r="F207" i="1"/>
  <c r="G207" i="1" s="1"/>
  <c r="F159" i="1"/>
  <c r="G159" i="1" s="1"/>
  <c r="I228" i="1"/>
  <c r="H228" i="1"/>
  <c r="I184" i="1"/>
  <c r="H184" i="1"/>
  <c r="I186" i="1"/>
  <c r="H186" i="1"/>
  <c r="F158" i="1"/>
  <c r="F128" i="1"/>
  <c r="G128" i="1" s="1"/>
  <c r="F238" i="1"/>
  <c r="G238" i="1" s="1"/>
  <c r="F222" i="1"/>
  <c r="G222" i="1" s="1"/>
  <c r="F190" i="1"/>
  <c r="G190" i="1" s="1"/>
  <c r="I233" i="1"/>
  <c r="H233" i="1"/>
  <c r="F217" i="1"/>
  <c r="G217" i="1" s="1"/>
  <c r="F201" i="1"/>
  <c r="G201" i="1" s="1"/>
  <c r="F185" i="1"/>
  <c r="G185" i="1" s="1"/>
  <c r="F169" i="1"/>
  <c r="G169" i="1" s="1"/>
  <c r="F137" i="1"/>
  <c r="G137" i="1" s="1"/>
  <c r="F121" i="1"/>
  <c r="G121" i="1" s="1"/>
  <c r="F105" i="1"/>
  <c r="G105" i="1" s="1"/>
  <c r="F89" i="1"/>
  <c r="G89" i="1" s="1"/>
  <c r="F73" i="1"/>
  <c r="G73" i="1" s="1"/>
  <c r="F57" i="1"/>
  <c r="G57" i="1" s="1"/>
  <c r="F41" i="1"/>
  <c r="G41" i="1" s="1"/>
  <c r="F25" i="1"/>
  <c r="G25" i="1" s="1"/>
  <c r="F9" i="1"/>
  <c r="G9" i="1" s="1"/>
  <c r="F50" i="1"/>
  <c r="G50" i="1" s="1"/>
  <c r="F34" i="1"/>
  <c r="G34" i="1" s="1"/>
  <c r="F232" i="1"/>
  <c r="G232" i="1" s="1"/>
  <c r="F176" i="1"/>
  <c r="G176" i="1" s="1"/>
  <c r="F235" i="1"/>
  <c r="G235" i="1" s="1"/>
  <c r="F187" i="1"/>
  <c r="G187" i="1" s="1"/>
  <c r="F139" i="1"/>
  <c r="G139" i="1" s="1"/>
  <c r="F107" i="1"/>
  <c r="G107" i="1" s="1"/>
  <c r="F91" i="1"/>
  <c r="G91" i="1" s="1"/>
  <c r="F75" i="1"/>
  <c r="G75" i="1" s="1"/>
  <c r="F59" i="1"/>
  <c r="G59" i="1" s="1"/>
  <c r="F32" i="1"/>
  <c r="G32" i="1" s="1"/>
  <c r="F210" i="1"/>
  <c r="G210" i="1" s="1"/>
  <c r="F182" i="1"/>
  <c r="G182" i="1" s="1"/>
  <c r="F150" i="1"/>
  <c r="G150" i="1" s="1"/>
  <c r="F134" i="1"/>
  <c r="G134" i="1" s="1"/>
  <c r="F118" i="1"/>
  <c r="G118" i="1" s="1"/>
  <c r="F102" i="1"/>
  <c r="G102" i="1" s="1"/>
  <c r="F86" i="1"/>
  <c r="G86" i="1" s="1"/>
  <c r="F70" i="1"/>
  <c r="G70" i="1" s="1"/>
  <c r="F96" i="1"/>
  <c r="G96" i="1" s="1"/>
  <c r="F234" i="1"/>
  <c r="G234" i="1" s="1"/>
  <c r="F214" i="1"/>
  <c r="G214" i="1" s="1"/>
  <c r="F178" i="1"/>
  <c r="G178" i="1" s="1"/>
  <c r="F5" i="1"/>
  <c r="G5" i="1" s="1"/>
  <c r="F229" i="1"/>
  <c r="G229" i="1" s="1"/>
  <c r="F213" i="1"/>
  <c r="G213" i="1" s="1"/>
  <c r="F181" i="1"/>
  <c r="G181" i="1" s="1"/>
  <c r="F149" i="1"/>
  <c r="G149" i="1" s="1"/>
  <c r="F133" i="1"/>
  <c r="G133" i="1" s="1"/>
  <c r="F117" i="1"/>
  <c r="G117" i="1" s="1"/>
  <c r="F101" i="1"/>
  <c r="G101" i="1" s="1"/>
  <c r="F85" i="1"/>
  <c r="G85" i="1" s="1"/>
  <c r="F69" i="1"/>
  <c r="G69" i="1" s="1"/>
  <c r="F52" i="1"/>
  <c r="G52" i="1" s="1"/>
  <c r="F16" i="1"/>
  <c r="G16" i="1" s="1"/>
  <c r="F8" i="1"/>
  <c r="G8" i="1" s="1"/>
  <c r="F11" i="1"/>
  <c r="G11" i="1" s="1"/>
  <c r="F46" i="1"/>
  <c r="G46" i="1" s="1"/>
  <c r="F30" i="1"/>
  <c r="G30" i="1" s="1"/>
  <c r="F14" i="1"/>
  <c r="G14" i="1" s="1"/>
  <c r="I216" i="1"/>
  <c r="H216" i="1"/>
  <c r="F215" i="1"/>
  <c r="G215" i="1" s="1"/>
  <c r="I183" i="1"/>
  <c r="H183" i="1"/>
  <c r="F87" i="1"/>
  <c r="G87" i="1" s="1"/>
  <c r="I202" i="1"/>
  <c r="H202" i="1"/>
  <c r="F230" i="1"/>
  <c r="G230" i="1" s="1"/>
  <c r="F206" i="1"/>
  <c r="G206" i="1" s="1"/>
  <c r="I209" i="1"/>
  <c r="H209" i="1"/>
  <c r="F145" i="1"/>
  <c r="G145" i="1" s="1"/>
  <c r="F129" i="1"/>
  <c r="G129" i="1" s="1"/>
  <c r="F113" i="1"/>
  <c r="G113" i="1" s="1"/>
  <c r="F97" i="1"/>
  <c r="G97" i="1" s="1"/>
  <c r="F81" i="1"/>
  <c r="G81" i="1" s="1"/>
  <c r="F65" i="1"/>
  <c r="G65" i="1" s="1"/>
  <c r="F23" i="1"/>
  <c r="G23" i="1" s="1"/>
  <c r="F208" i="42"/>
  <c r="E210" i="42"/>
  <c r="A211" i="42"/>
  <c r="B210" i="42"/>
  <c r="D209" i="42"/>
  <c r="C209" i="42"/>
  <c r="F4" i="3"/>
  <c r="G4" i="3" s="1"/>
  <c r="B3" i="3"/>
  <c r="H170" i="1" l="1"/>
  <c r="H171" i="1"/>
  <c r="G156" i="1"/>
  <c r="I156" i="1" s="1"/>
  <c r="H161" i="1"/>
  <c r="H153" i="1"/>
  <c r="G158" i="1"/>
  <c r="I158" i="1" s="1"/>
  <c r="I174" i="1"/>
  <c r="I175" i="1"/>
  <c r="I69" i="2"/>
  <c r="I99" i="2"/>
  <c r="I17" i="1"/>
  <c r="I168" i="1"/>
  <c r="I167" i="1"/>
  <c r="I172" i="1"/>
  <c r="I54" i="2"/>
  <c r="I51" i="2"/>
  <c r="H51" i="1"/>
  <c r="I103" i="2"/>
  <c r="I123" i="2"/>
  <c r="I50" i="2"/>
  <c r="I58" i="2"/>
  <c r="I28" i="2"/>
  <c r="I19" i="2"/>
  <c r="I90" i="2"/>
  <c r="I73" i="2"/>
  <c r="I117" i="2"/>
  <c r="H219" i="1"/>
  <c r="H17" i="1"/>
  <c r="H208" i="1"/>
  <c r="I59" i="2"/>
  <c r="I66" i="2"/>
  <c r="I47" i="2"/>
  <c r="I42" i="2"/>
  <c r="I65" i="2"/>
  <c r="I38" i="2"/>
  <c r="I107" i="2"/>
  <c r="I12" i="2"/>
  <c r="I20" i="1"/>
  <c r="I10" i="1"/>
  <c r="I15" i="1"/>
  <c r="I33" i="1"/>
  <c r="I42" i="1"/>
  <c r="I40" i="1"/>
  <c r="I31" i="1"/>
  <c r="I44" i="1"/>
  <c r="I63" i="1"/>
  <c r="I24" i="1"/>
  <c r="I51" i="1"/>
  <c r="I12" i="1"/>
  <c r="I58" i="1"/>
  <c r="I55" i="1"/>
  <c r="I7" i="1"/>
  <c r="F6" i="1"/>
  <c r="G6" i="1" s="1"/>
  <c r="I49" i="1"/>
  <c r="I26" i="1"/>
  <c r="I66" i="1"/>
  <c r="H203" i="1"/>
  <c r="H103" i="1"/>
  <c r="H55" i="1"/>
  <c r="H138" i="1"/>
  <c r="H108" i="1"/>
  <c r="H26" i="1"/>
  <c r="H225" i="1"/>
  <c r="H71" i="1"/>
  <c r="H92" i="1"/>
  <c r="H88" i="1"/>
  <c r="H155" i="1"/>
  <c r="H144" i="1"/>
  <c r="H58" i="1"/>
  <c r="H148" i="1"/>
  <c r="H147" i="1"/>
  <c r="H74" i="1"/>
  <c r="H24" i="1"/>
  <c r="H132" i="1"/>
  <c r="H33" i="1"/>
  <c r="H10" i="1"/>
  <c r="H120" i="1"/>
  <c r="H40" i="1"/>
  <c r="H106" i="1"/>
  <c r="H49" i="1"/>
  <c r="H95" i="1"/>
  <c r="H130" i="1"/>
  <c r="H68" i="1"/>
  <c r="H123" i="1"/>
  <c r="H31" i="1"/>
  <c r="H119" i="1"/>
  <c r="H192" i="1"/>
  <c r="H116" i="1"/>
  <c r="H124" i="1"/>
  <c r="H104" i="1"/>
  <c r="H66" i="1"/>
  <c r="H135" i="1"/>
  <c r="H90" i="1"/>
  <c r="H15" i="1"/>
  <c r="H122" i="1"/>
  <c r="H84" i="1"/>
  <c r="H212" i="1"/>
  <c r="H168" i="1"/>
  <c r="H231" i="1"/>
  <c r="H177" i="1"/>
  <c r="H218" i="1"/>
  <c r="H236" i="1"/>
  <c r="H197" i="1"/>
  <c r="H127" i="1"/>
  <c r="H179" i="1"/>
  <c r="H98" i="1"/>
  <c r="H195" i="1"/>
  <c r="H7" i="1"/>
  <c r="H199" i="1"/>
  <c r="H175" i="1"/>
  <c r="H42" i="1"/>
  <c r="H160" i="1"/>
  <c r="H20" i="1"/>
  <c r="H196" i="1"/>
  <c r="H172" i="1"/>
  <c r="H223" i="1"/>
  <c r="H143" i="1"/>
  <c r="H204" i="1"/>
  <c r="H167" i="1"/>
  <c r="H188" i="1"/>
  <c r="H241" i="1"/>
  <c r="H146" i="1"/>
  <c r="H156" i="1"/>
  <c r="H63" i="1"/>
  <c r="H140" i="1"/>
  <c r="H44" i="1"/>
  <c r="H12" i="1"/>
  <c r="H220" i="1"/>
  <c r="H82" i="1"/>
  <c r="H174" i="1"/>
  <c r="H72" i="1"/>
  <c r="H239" i="1"/>
  <c r="G27" i="1"/>
  <c r="G191" i="1"/>
  <c r="I191" i="1" s="1"/>
  <c r="H193" i="1"/>
  <c r="G193" i="1"/>
  <c r="I193" i="1" s="1"/>
  <c r="G47" i="1"/>
  <c r="G114" i="1"/>
  <c r="G151" i="1"/>
  <c r="G37" i="1"/>
  <c r="G53" i="1"/>
  <c r="G18" i="1"/>
  <c r="H111" i="1"/>
  <c r="G111" i="1"/>
  <c r="G60" i="1"/>
  <c r="H56" i="1"/>
  <c r="G56" i="1"/>
  <c r="H28" i="1"/>
  <c r="G28" i="1"/>
  <c r="G76" i="1"/>
  <c r="H21" i="1"/>
  <c r="G21" i="1"/>
  <c r="H79" i="1"/>
  <c r="G79" i="1"/>
  <c r="G35" i="1"/>
  <c r="H191" i="1"/>
  <c r="H47" i="1"/>
  <c r="H114" i="1"/>
  <c r="H60" i="1"/>
  <c r="H37" i="1"/>
  <c r="I81" i="1"/>
  <c r="H81" i="1"/>
  <c r="I230" i="1"/>
  <c r="H230" i="1"/>
  <c r="I11" i="1"/>
  <c r="H11" i="1"/>
  <c r="I69" i="1"/>
  <c r="H69" i="1"/>
  <c r="I133" i="1"/>
  <c r="H133" i="1"/>
  <c r="I5" i="1"/>
  <c r="H5" i="1"/>
  <c r="I234" i="1"/>
  <c r="H234" i="1"/>
  <c r="I70" i="1"/>
  <c r="H70" i="1"/>
  <c r="I134" i="1"/>
  <c r="H134" i="1"/>
  <c r="I32" i="1"/>
  <c r="H32" i="1"/>
  <c r="I107" i="1"/>
  <c r="H107" i="1"/>
  <c r="I187" i="1"/>
  <c r="H187" i="1"/>
  <c r="I176" i="1"/>
  <c r="H176" i="1"/>
  <c r="I34" i="1"/>
  <c r="H34" i="1"/>
  <c r="I9" i="1"/>
  <c r="H9" i="1"/>
  <c r="I105" i="1"/>
  <c r="H105" i="1"/>
  <c r="I169" i="1"/>
  <c r="H169" i="1"/>
  <c r="I190" i="1"/>
  <c r="H190" i="1"/>
  <c r="H158" i="1"/>
  <c r="I207" i="1"/>
  <c r="H207" i="1"/>
  <c r="I19" i="1"/>
  <c r="H19" i="1"/>
  <c r="I36" i="1"/>
  <c r="H36" i="1"/>
  <c r="I109" i="1"/>
  <c r="H109" i="1"/>
  <c r="I173" i="1"/>
  <c r="H173" i="1"/>
  <c r="I237" i="1"/>
  <c r="H237" i="1"/>
  <c r="I242" i="1"/>
  <c r="H242" i="1"/>
  <c r="I224" i="1"/>
  <c r="H224" i="1"/>
  <c r="I94" i="1"/>
  <c r="H94" i="1"/>
  <c r="I166" i="1"/>
  <c r="H166" i="1"/>
  <c r="I67" i="1"/>
  <c r="H67" i="1"/>
  <c r="I131" i="1"/>
  <c r="H131" i="1"/>
  <c r="I211" i="1"/>
  <c r="H211" i="1"/>
  <c r="I64" i="1"/>
  <c r="H64" i="1"/>
  <c r="I152" i="1"/>
  <c r="H152" i="1"/>
  <c r="I113" i="1"/>
  <c r="H113" i="1"/>
  <c r="I65" i="1"/>
  <c r="H65" i="1"/>
  <c r="I206" i="1"/>
  <c r="H206" i="1"/>
  <c r="I117" i="1"/>
  <c r="H117" i="1"/>
  <c r="I214" i="1"/>
  <c r="H214" i="1"/>
  <c r="I145" i="1"/>
  <c r="H145" i="1"/>
  <c r="I97" i="1"/>
  <c r="H97" i="1"/>
  <c r="I14" i="1"/>
  <c r="H14" i="1"/>
  <c r="I8" i="1"/>
  <c r="H8" i="1"/>
  <c r="I85" i="1"/>
  <c r="H85" i="1"/>
  <c r="I149" i="1"/>
  <c r="H149" i="1"/>
  <c r="I96" i="1"/>
  <c r="H96" i="1"/>
  <c r="I86" i="1"/>
  <c r="H86" i="1"/>
  <c r="I150" i="1"/>
  <c r="H150" i="1"/>
  <c r="I59" i="1"/>
  <c r="H59" i="1"/>
  <c r="I235" i="1"/>
  <c r="H235" i="1"/>
  <c r="I232" i="1"/>
  <c r="H232" i="1"/>
  <c r="I50" i="1"/>
  <c r="H50" i="1"/>
  <c r="I25" i="1"/>
  <c r="H25" i="1"/>
  <c r="I57" i="1"/>
  <c r="H57" i="1"/>
  <c r="I121" i="1"/>
  <c r="H121" i="1"/>
  <c r="I185" i="1"/>
  <c r="H185" i="1"/>
  <c r="I222" i="1"/>
  <c r="H222" i="1"/>
  <c r="I128" i="1"/>
  <c r="H128" i="1"/>
  <c r="I22" i="1"/>
  <c r="H22" i="1"/>
  <c r="I13" i="1"/>
  <c r="H13" i="1"/>
  <c r="I61" i="1"/>
  <c r="H61" i="1"/>
  <c r="I125" i="1"/>
  <c r="H125" i="1"/>
  <c r="I189" i="1"/>
  <c r="H189" i="1"/>
  <c r="I112" i="1"/>
  <c r="H112" i="1"/>
  <c r="I39" i="1"/>
  <c r="H39" i="1"/>
  <c r="I110" i="1"/>
  <c r="H110" i="1"/>
  <c r="I194" i="1"/>
  <c r="H194" i="1"/>
  <c r="I83" i="1"/>
  <c r="H83" i="1"/>
  <c r="I227" i="1"/>
  <c r="H227" i="1"/>
  <c r="I80" i="1"/>
  <c r="H80" i="1"/>
  <c r="I200" i="1"/>
  <c r="H200" i="1"/>
  <c r="I215" i="1"/>
  <c r="H215" i="1"/>
  <c r="I30" i="1"/>
  <c r="H30" i="1"/>
  <c r="I16" i="1"/>
  <c r="H16" i="1"/>
  <c r="I101" i="1"/>
  <c r="H101" i="1"/>
  <c r="I213" i="1"/>
  <c r="H213" i="1"/>
  <c r="I178" i="1"/>
  <c r="H178" i="1"/>
  <c r="I102" i="1"/>
  <c r="H102" i="1"/>
  <c r="I182" i="1"/>
  <c r="H182" i="1"/>
  <c r="I75" i="1"/>
  <c r="H75" i="1"/>
  <c r="I41" i="1"/>
  <c r="H41" i="1"/>
  <c r="I73" i="1"/>
  <c r="H73" i="1"/>
  <c r="I137" i="1"/>
  <c r="H137" i="1"/>
  <c r="I201" i="1"/>
  <c r="H201" i="1"/>
  <c r="I238" i="1"/>
  <c r="H238" i="1"/>
  <c r="I38" i="1"/>
  <c r="H38" i="1"/>
  <c r="I29" i="1"/>
  <c r="H29" i="1"/>
  <c r="I77" i="1"/>
  <c r="H77" i="1"/>
  <c r="I141" i="1"/>
  <c r="H141" i="1"/>
  <c r="I205" i="1"/>
  <c r="H205" i="1"/>
  <c r="I198" i="1"/>
  <c r="H198" i="1"/>
  <c r="I136" i="1"/>
  <c r="H136" i="1"/>
  <c r="I62" i="1"/>
  <c r="H62" i="1"/>
  <c r="I126" i="1"/>
  <c r="H126" i="1"/>
  <c r="I240" i="1"/>
  <c r="H240" i="1"/>
  <c r="I99" i="1"/>
  <c r="H99" i="1"/>
  <c r="I243" i="1"/>
  <c r="H243" i="1"/>
  <c r="I23" i="1"/>
  <c r="H23" i="1"/>
  <c r="I129" i="1"/>
  <c r="H129" i="1"/>
  <c r="I87" i="1"/>
  <c r="H87" i="1"/>
  <c r="I46" i="1"/>
  <c r="H46" i="1"/>
  <c r="I52" i="1"/>
  <c r="H52" i="1"/>
  <c r="I181" i="1"/>
  <c r="H181" i="1"/>
  <c r="I229" i="1"/>
  <c r="H229" i="1"/>
  <c r="I118" i="1"/>
  <c r="H118" i="1"/>
  <c r="I210" i="1"/>
  <c r="H210" i="1"/>
  <c r="I91" i="1"/>
  <c r="H91" i="1"/>
  <c r="I139" i="1"/>
  <c r="H139" i="1"/>
  <c r="I89" i="1"/>
  <c r="H89" i="1"/>
  <c r="I153" i="1"/>
  <c r="I217" i="1"/>
  <c r="H217" i="1"/>
  <c r="I159" i="1"/>
  <c r="H159" i="1"/>
  <c r="I54" i="1"/>
  <c r="H54" i="1"/>
  <c r="I45" i="1"/>
  <c r="H45" i="1"/>
  <c r="I93" i="1"/>
  <c r="H93" i="1"/>
  <c r="I157" i="1"/>
  <c r="H157" i="1"/>
  <c r="I221" i="1"/>
  <c r="H221" i="1"/>
  <c r="I226" i="1"/>
  <c r="H226" i="1"/>
  <c r="I180" i="1"/>
  <c r="H180" i="1"/>
  <c r="I78" i="1"/>
  <c r="H78" i="1"/>
  <c r="I142" i="1"/>
  <c r="H142" i="1"/>
  <c r="I48" i="1"/>
  <c r="H48" i="1"/>
  <c r="I115" i="1"/>
  <c r="H115" i="1"/>
  <c r="I43" i="1"/>
  <c r="H43" i="1"/>
  <c r="I4" i="3"/>
  <c r="F209" i="42"/>
  <c r="D210" i="42"/>
  <c r="C210" i="42"/>
  <c r="E211" i="42"/>
  <c r="A212" i="42"/>
  <c r="B211" i="42"/>
  <c r="F3" i="3"/>
  <c r="H4" i="3"/>
  <c r="F154" i="1" l="1"/>
  <c r="G154" i="1" s="1"/>
  <c r="I154" i="1" s="1"/>
  <c r="F162" i="1"/>
  <c r="G162" i="1" s="1"/>
  <c r="I162" i="1" s="1"/>
  <c r="I79" i="1"/>
  <c r="I111" i="1"/>
  <c r="I114" i="1"/>
  <c r="I151" i="1"/>
  <c r="I6" i="1"/>
  <c r="I76" i="1"/>
  <c r="H6" i="1"/>
  <c r="I27" i="1"/>
  <c r="I18" i="1"/>
  <c r="I35" i="1"/>
  <c r="I37" i="1"/>
  <c r="I60" i="1"/>
  <c r="I56" i="1"/>
  <c r="I53" i="1"/>
  <c r="I21" i="1"/>
  <c r="I47" i="1"/>
  <c r="I28" i="1"/>
  <c r="F219" i="3"/>
  <c r="G219" i="3" s="1"/>
  <c r="F187" i="3"/>
  <c r="G187" i="3" s="1"/>
  <c r="F155" i="3"/>
  <c r="G155" i="3" s="1"/>
  <c r="F123" i="3"/>
  <c r="G123" i="3" s="1"/>
  <c r="F91" i="3"/>
  <c r="G91" i="3" s="1"/>
  <c r="F234" i="3"/>
  <c r="G234" i="3" s="1"/>
  <c r="F202" i="3"/>
  <c r="G202" i="3" s="1"/>
  <c r="F170" i="3"/>
  <c r="G170" i="3" s="1"/>
  <c r="F138" i="3"/>
  <c r="G138" i="3" s="1"/>
  <c r="F122" i="3"/>
  <c r="G122" i="3" s="1"/>
  <c r="F90" i="3"/>
  <c r="G90" i="3" s="1"/>
  <c r="F233" i="3"/>
  <c r="G233" i="3" s="1"/>
  <c r="F201" i="3"/>
  <c r="G201" i="3" s="1"/>
  <c r="F169" i="3"/>
  <c r="G169" i="3" s="1"/>
  <c r="F137" i="3"/>
  <c r="G137" i="3" s="1"/>
  <c r="F105" i="3"/>
  <c r="G105" i="3" s="1"/>
  <c r="F231" i="3"/>
  <c r="G231" i="3" s="1"/>
  <c r="F215" i="3"/>
  <c r="G215" i="3" s="1"/>
  <c r="F199" i="3"/>
  <c r="G199" i="3" s="1"/>
  <c r="F183" i="3"/>
  <c r="G183" i="3" s="1"/>
  <c r="F167" i="3"/>
  <c r="G167" i="3" s="1"/>
  <c r="F151" i="3"/>
  <c r="G151" i="3" s="1"/>
  <c r="F135" i="3"/>
  <c r="G135" i="3" s="1"/>
  <c r="F119" i="3"/>
  <c r="G119" i="3" s="1"/>
  <c r="F103" i="3"/>
  <c r="G103" i="3" s="1"/>
  <c r="F87" i="3"/>
  <c r="G87" i="3" s="1"/>
  <c r="F71" i="3"/>
  <c r="G71" i="3" s="1"/>
  <c r="F230" i="3"/>
  <c r="G230" i="3" s="1"/>
  <c r="F214" i="3"/>
  <c r="G214" i="3" s="1"/>
  <c r="F198" i="3"/>
  <c r="G198" i="3" s="1"/>
  <c r="F182" i="3"/>
  <c r="G182" i="3" s="1"/>
  <c r="F166" i="3"/>
  <c r="G166" i="3" s="1"/>
  <c r="F150" i="3"/>
  <c r="G150" i="3" s="1"/>
  <c r="F134" i="3"/>
  <c r="G134" i="3" s="1"/>
  <c r="F118" i="3"/>
  <c r="G118" i="3" s="1"/>
  <c r="F102" i="3"/>
  <c r="G102" i="3" s="1"/>
  <c r="F86" i="3"/>
  <c r="G86" i="3" s="1"/>
  <c r="F70" i="3"/>
  <c r="G70" i="3" s="1"/>
  <c r="F5" i="3"/>
  <c r="G5" i="3" s="1"/>
  <c r="F229" i="3"/>
  <c r="G229" i="3" s="1"/>
  <c r="F213" i="3"/>
  <c r="G213" i="3" s="1"/>
  <c r="F197" i="3"/>
  <c r="G197" i="3" s="1"/>
  <c r="F181" i="3"/>
  <c r="G181" i="3" s="1"/>
  <c r="F165" i="3"/>
  <c r="G165" i="3" s="1"/>
  <c r="F149" i="3"/>
  <c r="G149" i="3" s="1"/>
  <c r="F133" i="3"/>
  <c r="G133" i="3" s="1"/>
  <c r="F117" i="3"/>
  <c r="G117" i="3" s="1"/>
  <c r="F101" i="3"/>
  <c r="G101" i="3" s="1"/>
  <c r="F85" i="3"/>
  <c r="G85" i="3" s="1"/>
  <c r="F69" i="3"/>
  <c r="G69" i="3" s="1"/>
  <c r="F228" i="3"/>
  <c r="G228" i="3" s="1"/>
  <c r="F212" i="3"/>
  <c r="G212" i="3" s="1"/>
  <c r="F196" i="3"/>
  <c r="G196" i="3" s="1"/>
  <c r="F180" i="3"/>
  <c r="G180" i="3" s="1"/>
  <c r="F164" i="3"/>
  <c r="G164" i="3" s="1"/>
  <c r="F148" i="3"/>
  <c r="G148" i="3" s="1"/>
  <c r="F132" i="3"/>
  <c r="G132" i="3" s="1"/>
  <c r="F116" i="3"/>
  <c r="G116" i="3" s="1"/>
  <c r="F100" i="3"/>
  <c r="G100" i="3" s="1"/>
  <c r="F84" i="3"/>
  <c r="G84" i="3" s="1"/>
  <c r="F68" i="3"/>
  <c r="G68" i="3" s="1"/>
  <c r="F227" i="3"/>
  <c r="G227" i="3" s="1"/>
  <c r="F195" i="3"/>
  <c r="G195" i="3" s="1"/>
  <c r="F163" i="3"/>
  <c r="G163" i="3" s="1"/>
  <c r="F131" i="3"/>
  <c r="G131" i="3" s="1"/>
  <c r="F99" i="3"/>
  <c r="G99" i="3" s="1"/>
  <c r="F67" i="3"/>
  <c r="G67" i="3" s="1"/>
  <c r="F242" i="3"/>
  <c r="G242" i="3" s="1"/>
  <c r="F210" i="3"/>
  <c r="G210" i="3" s="1"/>
  <c r="F178" i="3"/>
  <c r="G178" i="3" s="1"/>
  <c r="F146" i="3"/>
  <c r="G146" i="3" s="1"/>
  <c r="F114" i="3"/>
  <c r="G114" i="3" s="1"/>
  <c r="F82" i="3"/>
  <c r="G82" i="3" s="1"/>
  <c r="F225" i="3"/>
  <c r="G225" i="3" s="1"/>
  <c r="F193" i="3"/>
  <c r="G193" i="3" s="1"/>
  <c r="F161" i="3"/>
  <c r="G161" i="3" s="1"/>
  <c r="F129" i="3"/>
  <c r="G129" i="3" s="1"/>
  <c r="F97" i="3"/>
  <c r="G97" i="3" s="1"/>
  <c r="F65" i="3"/>
  <c r="G65" i="3" s="1"/>
  <c r="F240" i="3"/>
  <c r="G240" i="3" s="1"/>
  <c r="F208" i="3"/>
  <c r="G208" i="3" s="1"/>
  <c r="F192" i="3"/>
  <c r="G192" i="3" s="1"/>
  <c r="F176" i="3"/>
  <c r="G176" i="3" s="1"/>
  <c r="F160" i="3"/>
  <c r="G160" i="3" s="1"/>
  <c r="F144" i="3"/>
  <c r="G144" i="3" s="1"/>
  <c r="F128" i="3"/>
  <c r="G128" i="3" s="1"/>
  <c r="F112" i="3"/>
  <c r="G112" i="3" s="1"/>
  <c r="F96" i="3"/>
  <c r="G96" i="3" s="1"/>
  <c r="F80" i="3"/>
  <c r="G80" i="3" s="1"/>
  <c r="F64" i="3"/>
  <c r="G64" i="3" s="1"/>
  <c r="F243" i="3"/>
  <c r="G243" i="3" s="1"/>
  <c r="F211" i="3"/>
  <c r="G211" i="3" s="1"/>
  <c r="F179" i="3"/>
  <c r="G179" i="3" s="1"/>
  <c r="F147" i="3"/>
  <c r="G147" i="3" s="1"/>
  <c r="F115" i="3"/>
  <c r="G115" i="3" s="1"/>
  <c r="F83" i="3"/>
  <c r="G83" i="3" s="1"/>
  <c r="F226" i="3"/>
  <c r="G226" i="3" s="1"/>
  <c r="F194" i="3"/>
  <c r="G194" i="3" s="1"/>
  <c r="F162" i="3"/>
  <c r="G162" i="3" s="1"/>
  <c r="F130" i="3"/>
  <c r="G130" i="3" s="1"/>
  <c r="F98" i="3"/>
  <c r="G98" i="3" s="1"/>
  <c r="F66" i="3"/>
  <c r="G66" i="3" s="1"/>
  <c r="F241" i="3"/>
  <c r="G241" i="3" s="1"/>
  <c r="F209" i="3"/>
  <c r="G209" i="3" s="1"/>
  <c r="F177" i="3"/>
  <c r="G177" i="3" s="1"/>
  <c r="F145" i="3"/>
  <c r="G145" i="3" s="1"/>
  <c r="F113" i="3"/>
  <c r="G113" i="3" s="1"/>
  <c r="F81" i="3"/>
  <c r="G81" i="3" s="1"/>
  <c r="F224" i="3"/>
  <c r="G224" i="3" s="1"/>
  <c r="F239" i="3"/>
  <c r="G239" i="3" s="1"/>
  <c r="F223" i="3"/>
  <c r="G223" i="3" s="1"/>
  <c r="F207" i="3"/>
  <c r="G207" i="3" s="1"/>
  <c r="F191" i="3"/>
  <c r="G191" i="3" s="1"/>
  <c r="F175" i="3"/>
  <c r="G175" i="3" s="1"/>
  <c r="F159" i="3"/>
  <c r="G159" i="3" s="1"/>
  <c r="F143" i="3"/>
  <c r="G143" i="3" s="1"/>
  <c r="F127" i="3"/>
  <c r="G127" i="3" s="1"/>
  <c r="F111" i="3"/>
  <c r="G111" i="3" s="1"/>
  <c r="F95" i="3"/>
  <c r="G95" i="3" s="1"/>
  <c r="F79" i="3"/>
  <c r="G79" i="3" s="1"/>
  <c r="F63" i="3"/>
  <c r="G63" i="3" s="1"/>
  <c r="F238" i="3"/>
  <c r="G238" i="3" s="1"/>
  <c r="F222" i="3"/>
  <c r="G222" i="3" s="1"/>
  <c r="F206" i="3"/>
  <c r="G206" i="3" s="1"/>
  <c r="F190" i="3"/>
  <c r="G190" i="3" s="1"/>
  <c r="F174" i="3"/>
  <c r="G174" i="3" s="1"/>
  <c r="F158" i="3"/>
  <c r="G158" i="3" s="1"/>
  <c r="F142" i="3"/>
  <c r="G142" i="3" s="1"/>
  <c r="F126" i="3"/>
  <c r="G126" i="3" s="1"/>
  <c r="F110" i="3"/>
  <c r="G110" i="3" s="1"/>
  <c r="F94" i="3"/>
  <c r="G94" i="3" s="1"/>
  <c r="F78" i="3"/>
  <c r="G78" i="3" s="1"/>
  <c r="F62" i="3"/>
  <c r="G62" i="3" s="1"/>
  <c r="F237" i="3"/>
  <c r="G237" i="3" s="1"/>
  <c r="F221" i="3"/>
  <c r="G221" i="3" s="1"/>
  <c r="F205" i="3"/>
  <c r="G205" i="3" s="1"/>
  <c r="F189" i="3"/>
  <c r="G189" i="3" s="1"/>
  <c r="F173" i="3"/>
  <c r="G173" i="3" s="1"/>
  <c r="F157" i="3"/>
  <c r="G157" i="3" s="1"/>
  <c r="F141" i="3"/>
  <c r="G141" i="3" s="1"/>
  <c r="F125" i="3"/>
  <c r="G125" i="3" s="1"/>
  <c r="F109" i="3"/>
  <c r="G109" i="3" s="1"/>
  <c r="F93" i="3"/>
  <c r="G93" i="3" s="1"/>
  <c r="F77" i="3"/>
  <c r="G77" i="3" s="1"/>
  <c r="F61" i="3"/>
  <c r="G61" i="3" s="1"/>
  <c r="F236" i="3"/>
  <c r="G236" i="3" s="1"/>
  <c r="F220" i="3"/>
  <c r="G220" i="3" s="1"/>
  <c r="F204" i="3"/>
  <c r="G204" i="3" s="1"/>
  <c r="F188" i="3"/>
  <c r="G188" i="3" s="1"/>
  <c r="F172" i="3"/>
  <c r="G172" i="3" s="1"/>
  <c r="F156" i="3"/>
  <c r="G156" i="3" s="1"/>
  <c r="F140" i="3"/>
  <c r="G140" i="3" s="1"/>
  <c r="F124" i="3"/>
  <c r="G124" i="3" s="1"/>
  <c r="F108" i="3"/>
  <c r="G108" i="3" s="1"/>
  <c r="F92" i="3"/>
  <c r="G92" i="3" s="1"/>
  <c r="F76" i="3"/>
  <c r="G76" i="3" s="1"/>
  <c r="F60" i="3"/>
  <c r="G60" i="3" s="1"/>
  <c r="F235" i="3"/>
  <c r="G235" i="3" s="1"/>
  <c r="F203" i="3"/>
  <c r="G203" i="3" s="1"/>
  <c r="F171" i="3"/>
  <c r="G171" i="3" s="1"/>
  <c r="F139" i="3"/>
  <c r="G139" i="3" s="1"/>
  <c r="F107" i="3"/>
  <c r="G107" i="3" s="1"/>
  <c r="F75" i="3"/>
  <c r="G75" i="3" s="1"/>
  <c r="F218" i="3"/>
  <c r="G218" i="3" s="1"/>
  <c r="F186" i="3"/>
  <c r="G186" i="3" s="1"/>
  <c r="F154" i="3"/>
  <c r="G154" i="3" s="1"/>
  <c r="F106" i="3"/>
  <c r="G106" i="3" s="1"/>
  <c r="F74" i="3"/>
  <c r="G74" i="3" s="1"/>
  <c r="F217" i="3"/>
  <c r="G217" i="3" s="1"/>
  <c r="F185" i="3"/>
  <c r="G185" i="3" s="1"/>
  <c r="F153" i="3"/>
  <c r="G153" i="3" s="1"/>
  <c r="F121" i="3"/>
  <c r="G121" i="3" s="1"/>
  <c r="F89" i="3"/>
  <c r="G89" i="3" s="1"/>
  <c r="F73" i="3"/>
  <c r="G73" i="3" s="1"/>
  <c r="F232" i="3"/>
  <c r="G232" i="3" s="1"/>
  <c r="F216" i="3"/>
  <c r="G216" i="3" s="1"/>
  <c r="F200" i="3"/>
  <c r="G200" i="3" s="1"/>
  <c r="F184" i="3"/>
  <c r="G184" i="3" s="1"/>
  <c r="F168" i="3"/>
  <c r="G168" i="3" s="1"/>
  <c r="F152" i="3"/>
  <c r="G152" i="3" s="1"/>
  <c r="F136" i="3"/>
  <c r="G136" i="3" s="1"/>
  <c r="F120" i="3"/>
  <c r="G120" i="3" s="1"/>
  <c r="F104" i="3"/>
  <c r="G104" i="3" s="1"/>
  <c r="F88" i="3"/>
  <c r="G88" i="3" s="1"/>
  <c r="F72" i="3"/>
  <c r="G72" i="3" s="1"/>
  <c r="I3" i="3"/>
  <c r="F210" i="42"/>
  <c r="E212" i="42"/>
  <c r="A213" i="42"/>
  <c r="B212" i="42"/>
  <c r="D211" i="42"/>
  <c r="C211" i="42"/>
  <c r="H162" i="1" l="1"/>
  <c r="F163" i="1"/>
  <c r="G163" i="1" s="1"/>
  <c r="I163" i="1" s="1"/>
  <c r="H154" i="1"/>
  <c r="F58" i="3"/>
  <c r="G58" i="3" s="1"/>
  <c r="I58" i="3" s="1"/>
  <c r="F59" i="3"/>
  <c r="G59" i="3" s="1"/>
  <c r="I59" i="3" s="1"/>
  <c r="F57" i="3"/>
  <c r="G57" i="3" s="1"/>
  <c r="I57" i="3" s="1"/>
  <c r="F38" i="3"/>
  <c r="G38" i="3" s="1"/>
  <c r="F23" i="3"/>
  <c r="G23" i="3" s="1"/>
  <c r="F27" i="3"/>
  <c r="G27" i="3" s="1"/>
  <c r="I27" i="3" s="1"/>
  <c r="F10" i="3"/>
  <c r="G10" i="3" s="1"/>
  <c r="I10" i="3" s="1"/>
  <c r="F54" i="3"/>
  <c r="G54" i="3" s="1"/>
  <c r="F42" i="3"/>
  <c r="G42" i="3" s="1"/>
  <c r="F16" i="3"/>
  <c r="G16" i="3" s="1"/>
  <c r="F33" i="3"/>
  <c r="F13" i="3"/>
  <c r="G13" i="3" s="1"/>
  <c r="I13" i="3" s="1"/>
  <c r="F48" i="3"/>
  <c r="G48" i="3" s="1"/>
  <c r="I48" i="3" s="1"/>
  <c r="F35" i="3"/>
  <c r="G35" i="3" s="1"/>
  <c r="I35" i="3" s="1"/>
  <c r="F8" i="3"/>
  <c r="G8" i="3" s="1"/>
  <c r="I8" i="3" s="1"/>
  <c r="F29" i="3"/>
  <c r="G29" i="3" s="1"/>
  <c r="I29" i="3" s="1"/>
  <c r="F14" i="3"/>
  <c r="G14" i="3" s="1"/>
  <c r="I14" i="3" s="1"/>
  <c r="F24" i="3"/>
  <c r="G24" i="3" s="1"/>
  <c r="F9" i="3"/>
  <c r="G9" i="3" s="1"/>
  <c r="I9" i="3" s="1"/>
  <c r="F45" i="3"/>
  <c r="G45" i="3" s="1"/>
  <c r="F30" i="3"/>
  <c r="G30" i="3" s="1"/>
  <c r="I30" i="3" s="1"/>
  <c r="F15" i="3"/>
  <c r="G15" i="3" s="1"/>
  <c r="I15" i="3" s="1"/>
  <c r="F26" i="3"/>
  <c r="G26" i="3" s="1"/>
  <c r="I26" i="3" s="1"/>
  <c r="F40" i="3"/>
  <c r="G40" i="3" s="1"/>
  <c r="I40" i="3" s="1"/>
  <c r="F25" i="3"/>
  <c r="G25" i="3" s="1"/>
  <c r="I25" i="3" s="1"/>
  <c r="F46" i="3"/>
  <c r="G46" i="3" s="1"/>
  <c r="I46" i="3" s="1"/>
  <c r="F31" i="3"/>
  <c r="G31" i="3" s="1"/>
  <c r="I31" i="3" s="1"/>
  <c r="F56" i="3"/>
  <c r="G56" i="3" s="1"/>
  <c r="F41" i="3"/>
  <c r="G41" i="3" s="1"/>
  <c r="F11" i="3"/>
  <c r="G11" i="3" s="1"/>
  <c r="F47" i="3"/>
  <c r="G47" i="3" s="1"/>
  <c r="F49" i="3"/>
  <c r="G49" i="3" s="1"/>
  <c r="F19" i="3"/>
  <c r="G19" i="3" s="1"/>
  <c r="F50" i="3"/>
  <c r="G50" i="3" s="1"/>
  <c r="I50" i="3" s="1"/>
  <c r="F20" i="3"/>
  <c r="G20" i="3" s="1"/>
  <c r="I20" i="3" s="1"/>
  <c r="F21" i="3"/>
  <c r="G21" i="3" s="1"/>
  <c r="F34" i="3"/>
  <c r="G34" i="3" s="1"/>
  <c r="I34" i="3" s="1"/>
  <c r="F39" i="3"/>
  <c r="G39" i="3" s="1"/>
  <c r="I39" i="3" s="1"/>
  <c r="F12" i="3"/>
  <c r="G12" i="3" s="1"/>
  <c r="F17" i="3"/>
  <c r="G17" i="3" s="1"/>
  <c r="F55" i="3"/>
  <c r="G55" i="3" s="1"/>
  <c r="F28" i="3"/>
  <c r="F32" i="3"/>
  <c r="G32" i="3" s="1"/>
  <c r="F44" i="3"/>
  <c r="G44" i="3" s="1"/>
  <c r="F43" i="3"/>
  <c r="G43" i="3" s="1"/>
  <c r="I43" i="3" s="1"/>
  <c r="F51" i="3"/>
  <c r="G51" i="3" s="1"/>
  <c r="F18" i="3"/>
  <c r="G18" i="3" s="1"/>
  <c r="F36" i="3"/>
  <c r="G36" i="3" s="1"/>
  <c r="F37" i="3"/>
  <c r="G37" i="3" s="1"/>
  <c r="I37" i="3" s="1"/>
  <c r="F6" i="3"/>
  <c r="G6" i="3" s="1"/>
  <c r="I6" i="3" s="1"/>
  <c r="F52" i="3"/>
  <c r="G52" i="3" s="1"/>
  <c r="F53" i="3"/>
  <c r="G53" i="3" s="1"/>
  <c r="F22" i="3"/>
  <c r="G22" i="3" s="1"/>
  <c r="F7" i="3"/>
  <c r="G7" i="3" s="1"/>
  <c r="I7" i="3" s="1"/>
  <c r="I89" i="3"/>
  <c r="H89" i="3"/>
  <c r="I116" i="3"/>
  <c r="H116" i="3"/>
  <c r="I180" i="3"/>
  <c r="H180" i="3"/>
  <c r="I149" i="3"/>
  <c r="H149" i="3"/>
  <c r="I150" i="3"/>
  <c r="H150" i="3"/>
  <c r="I169" i="3"/>
  <c r="H169" i="3"/>
  <c r="I165" i="3"/>
  <c r="H165" i="3"/>
  <c r="I166" i="3"/>
  <c r="H166" i="3"/>
  <c r="I201" i="3"/>
  <c r="H201" i="3"/>
  <c r="I104" i="3"/>
  <c r="H104" i="3"/>
  <c r="I168" i="3"/>
  <c r="H168" i="3"/>
  <c r="I232" i="3"/>
  <c r="H232" i="3"/>
  <c r="I121" i="3"/>
  <c r="H121" i="3"/>
  <c r="I154" i="3"/>
  <c r="H154" i="3"/>
  <c r="I218" i="3"/>
  <c r="H218" i="3"/>
  <c r="I68" i="3"/>
  <c r="H68" i="3"/>
  <c r="I100" i="3"/>
  <c r="H100" i="3"/>
  <c r="I132" i="3"/>
  <c r="H132" i="3"/>
  <c r="I164" i="3"/>
  <c r="H164" i="3"/>
  <c r="I196" i="3"/>
  <c r="H196" i="3"/>
  <c r="I228" i="3"/>
  <c r="H228" i="3"/>
  <c r="I117" i="3"/>
  <c r="H117" i="3"/>
  <c r="I181" i="3"/>
  <c r="H181" i="3"/>
  <c r="I118" i="3"/>
  <c r="H118" i="3"/>
  <c r="I182" i="3"/>
  <c r="H182" i="3"/>
  <c r="I233" i="3"/>
  <c r="H233" i="3"/>
  <c r="I122" i="3"/>
  <c r="H122" i="3"/>
  <c r="I186" i="3"/>
  <c r="H186" i="3"/>
  <c r="I84" i="3"/>
  <c r="H84" i="3"/>
  <c r="I148" i="3"/>
  <c r="H148" i="3"/>
  <c r="I212" i="3"/>
  <c r="H212" i="3"/>
  <c r="I85" i="3"/>
  <c r="H85" i="3"/>
  <c r="I213" i="3"/>
  <c r="H213" i="3"/>
  <c r="I86" i="3"/>
  <c r="H86" i="3"/>
  <c r="I214" i="3"/>
  <c r="H214" i="3"/>
  <c r="I101" i="3"/>
  <c r="H101" i="3"/>
  <c r="I229" i="3"/>
  <c r="H229" i="3"/>
  <c r="I102" i="3"/>
  <c r="H102" i="3"/>
  <c r="I230" i="3"/>
  <c r="H230" i="3"/>
  <c r="I90" i="3"/>
  <c r="H90" i="3"/>
  <c r="I136" i="3"/>
  <c r="H136" i="3"/>
  <c r="I200" i="3"/>
  <c r="H200" i="3"/>
  <c r="I69" i="3"/>
  <c r="H69" i="3"/>
  <c r="I133" i="3"/>
  <c r="H133" i="3"/>
  <c r="I197" i="3"/>
  <c r="H197" i="3"/>
  <c r="I70" i="3"/>
  <c r="H70" i="3"/>
  <c r="I134" i="3"/>
  <c r="H134" i="3"/>
  <c r="I198" i="3"/>
  <c r="H198" i="3"/>
  <c r="I137" i="3"/>
  <c r="H137" i="3"/>
  <c r="I103" i="3"/>
  <c r="H103" i="3"/>
  <c r="I135" i="3"/>
  <c r="H135" i="3"/>
  <c r="I199" i="3"/>
  <c r="H199" i="3"/>
  <c r="I231" i="3"/>
  <c r="H231" i="3"/>
  <c r="I72" i="3"/>
  <c r="H72" i="3"/>
  <c r="I120" i="3"/>
  <c r="H120" i="3"/>
  <c r="I73" i="3"/>
  <c r="H73" i="3"/>
  <c r="I217" i="3"/>
  <c r="H217" i="3"/>
  <c r="I170" i="3"/>
  <c r="H170" i="3"/>
  <c r="I234" i="3"/>
  <c r="H234" i="3"/>
  <c r="I91" i="3"/>
  <c r="H91" i="3"/>
  <c r="I155" i="3"/>
  <c r="H155" i="3"/>
  <c r="I187" i="3"/>
  <c r="H187" i="3"/>
  <c r="I108" i="3"/>
  <c r="H108" i="3"/>
  <c r="I140" i="3"/>
  <c r="H140" i="3"/>
  <c r="I204" i="3"/>
  <c r="H204" i="3"/>
  <c r="I236" i="3"/>
  <c r="H236" i="3"/>
  <c r="I61" i="3"/>
  <c r="H61" i="3"/>
  <c r="I93" i="3"/>
  <c r="H93" i="3"/>
  <c r="I157" i="3"/>
  <c r="H157" i="3"/>
  <c r="I189" i="3"/>
  <c r="H189" i="3"/>
  <c r="I221" i="3"/>
  <c r="H221" i="3"/>
  <c r="I78" i="3"/>
  <c r="H78" i="3"/>
  <c r="I110" i="3"/>
  <c r="H110" i="3"/>
  <c r="I142" i="3"/>
  <c r="H142" i="3"/>
  <c r="I206" i="3"/>
  <c r="H206" i="3"/>
  <c r="I238" i="3"/>
  <c r="H238" i="3"/>
  <c r="I112" i="3"/>
  <c r="H112" i="3"/>
  <c r="I176" i="3"/>
  <c r="H176" i="3"/>
  <c r="I240" i="3"/>
  <c r="H240" i="3"/>
  <c r="I129" i="3"/>
  <c r="H129" i="3"/>
  <c r="I193" i="3"/>
  <c r="H193" i="3"/>
  <c r="I82" i="3"/>
  <c r="H82" i="3"/>
  <c r="I146" i="3"/>
  <c r="H146" i="3"/>
  <c r="I210" i="3"/>
  <c r="H210" i="3"/>
  <c r="I79" i="3"/>
  <c r="H79" i="3"/>
  <c r="I143" i="3"/>
  <c r="H143" i="3"/>
  <c r="I175" i="3"/>
  <c r="H175" i="3"/>
  <c r="I207" i="3"/>
  <c r="H207" i="3"/>
  <c r="I64" i="3"/>
  <c r="H64" i="3"/>
  <c r="I128" i="3"/>
  <c r="H128" i="3"/>
  <c r="I192" i="3"/>
  <c r="H192" i="3"/>
  <c r="I81" i="3"/>
  <c r="H81" i="3"/>
  <c r="I145" i="3"/>
  <c r="H145" i="3"/>
  <c r="I209" i="3"/>
  <c r="H209" i="3"/>
  <c r="I98" i="3"/>
  <c r="H98" i="3"/>
  <c r="I162" i="3"/>
  <c r="H162" i="3"/>
  <c r="I226" i="3"/>
  <c r="H226" i="3"/>
  <c r="I67" i="3"/>
  <c r="H67" i="3"/>
  <c r="I99" i="3"/>
  <c r="H99" i="3"/>
  <c r="I131" i="3"/>
  <c r="H131" i="3"/>
  <c r="I163" i="3"/>
  <c r="H163" i="3"/>
  <c r="I195" i="3"/>
  <c r="H195" i="3"/>
  <c r="I227" i="3"/>
  <c r="H227" i="3"/>
  <c r="I87" i="3"/>
  <c r="H87" i="3"/>
  <c r="I151" i="3"/>
  <c r="H151" i="3"/>
  <c r="I215" i="3"/>
  <c r="H215" i="3"/>
  <c r="I88" i="3"/>
  <c r="H88" i="3"/>
  <c r="I185" i="3"/>
  <c r="H185" i="3"/>
  <c r="I74" i="3"/>
  <c r="H74" i="3"/>
  <c r="I107" i="3"/>
  <c r="H107" i="3"/>
  <c r="I171" i="3"/>
  <c r="H171" i="3"/>
  <c r="I124" i="3"/>
  <c r="H124" i="3"/>
  <c r="I220" i="3"/>
  <c r="H220" i="3"/>
  <c r="I77" i="3"/>
  <c r="H77" i="3"/>
  <c r="I173" i="3"/>
  <c r="H173" i="3"/>
  <c r="I190" i="3"/>
  <c r="H190" i="3"/>
  <c r="I95" i="3"/>
  <c r="H95" i="3"/>
  <c r="I241" i="3"/>
  <c r="H241" i="3"/>
  <c r="I119" i="3"/>
  <c r="H119" i="3"/>
  <c r="I183" i="3"/>
  <c r="H183" i="3"/>
  <c r="I152" i="3"/>
  <c r="H152" i="3"/>
  <c r="I216" i="3"/>
  <c r="H216" i="3"/>
  <c r="I105" i="3"/>
  <c r="H105" i="3"/>
  <c r="I138" i="3"/>
  <c r="H138" i="3"/>
  <c r="I202" i="3"/>
  <c r="H202" i="3"/>
  <c r="I75" i="3"/>
  <c r="H75" i="3"/>
  <c r="I139" i="3"/>
  <c r="H139" i="3"/>
  <c r="I203" i="3"/>
  <c r="H203" i="3"/>
  <c r="I235" i="3"/>
  <c r="H235" i="3"/>
  <c r="I60" i="3"/>
  <c r="H60" i="3"/>
  <c r="I92" i="3"/>
  <c r="H92" i="3"/>
  <c r="I156" i="3"/>
  <c r="H156" i="3"/>
  <c r="I188" i="3"/>
  <c r="H188" i="3"/>
  <c r="I109" i="3"/>
  <c r="H109" i="3"/>
  <c r="I141" i="3"/>
  <c r="H141" i="3"/>
  <c r="I205" i="3"/>
  <c r="H205" i="3"/>
  <c r="I237" i="3"/>
  <c r="H237" i="3"/>
  <c r="I62" i="3"/>
  <c r="H62" i="3"/>
  <c r="I94" i="3"/>
  <c r="H94" i="3"/>
  <c r="I126" i="3"/>
  <c r="H126" i="3"/>
  <c r="I158" i="3"/>
  <c r="H158" i="3"/>
  <c r="I222" i="3"/>
  <c r="H222" i="3"/>
  <c r="I223" i="3"/>
  <c r="H223" i="3"/>
  <c r="I80" i="3"/>
  <c r="H80" i="3"/>
  <c r="I144" i="3"/>
  <c r="H144" i="3"/>
  <c r="I208" i="3"/>
  <c r="H208" i="3"/>
  <c r="I97" i="3"/>
  <c r="H97" i="3"/>
  <c r="I161" i="3"/>
  <c r="H161" i="3"/>
  <c r="I225" i="3"/>
  <c r="H225" i="3"/>
  <c r="I114" i="3"/>
  <c r="H114" i="3"/>
  <c r="I178" i="3"/>
  <c r="H178" i="3"/>
  <c r="I242" i="3"/>
  <c r="H242" i="3"/>
  <c r="I63" i="3"/>
  <c r="H63" i="3"/>
  <c r="I127" i="3"/>
  <c r="H127" i="3"/>
  <c r="I159" i="3"/>
  <c r="H159" i="3"/>
  <c r="I191" i="3"/>
  <c r="H191" i="3"/>
  <c r="I239" i="3"/>
  <c r="H239" i="3"/>
  <c r="I96" i="3"/>
  <c r="H96" i="3"/>
  <c r="I160" i="3"/>
  <c r="H160" i="3"/>
  <c r="I224" i="3"/>
  <c r="H224" i="3"/>
  <c r="I113" i="3"/>
  <c r="H113" i="3"/>
  <c r="I177" i="3"/>
  <c r="H177" i="3"/>
  <c r="I66" i="3"/>
  <c r="H66" i="3"/>
  <c r="I130" i="3"/>
  <c r="H130" i="3"/>
  <c r="I194" i="3"/>
  <c r="H194" i="3"/>
  <c r="I83" i="3"/>
  <c r="H83" i="3"/>
  <c r="I115" i="3"/>
  <c r="H115" i="3"/>
  <c r="I147" i="3"/>
  <c r="H147" i="3"/>
  <c r="I179" i="3"/>
  <c r="H179" i="3"/>
  <c r="I211" i="3"/>
  <c r="H211" i="3"/>
  <c r="I243" i="3"/>
  <c r="H243" i="3"/>
  <c r="I5" i="3"/>
  <c r="H5" i="3"/>
  <c r="I71" i="3"/>
  <c r="H71" i="3"/>
  <c r="I167" i="3"/>
  <c r="H167" i="3"/>
  <c r="I184" i="3"/>
  <c r="H184" i="3"/>
  <c r="I153" i="3"/>
  <c r="H153" i="3"/>
  <c r="I106" i="3"/>
  <c r="H106" i="3"/>
  <c r="I123" i="3"/>
  <c r="H123" i="3"/>
  <c r="I219" i="3"/>
  <c r="H219" i="3"/>
  <c r="I76" i="3"/>
  <c r="H76" i="3"/>
  <c r="I172" i="3"/>
  <c r="H172" i="3"/>
  <c r="I125" i="3"/>
  <c r="H125" i="3"/>
  <c r="I174" i="3"/>
  <c r="H174" i="3"/>
  <c r="I65" i="3"/>
  <c r="H65" i="3"/>
  <c r="I111" i="3"/>
  <c r="H111" i="3"/>
  <c r="F211" i="42"/>
  <c r="D212" i="42"/>
  <c r="C212" i="42"/>
  <c r="E213" i="42"/>
  <c r="A214" i="42"/>
  <c r="B213" i="42"/>
  <c r="H163" i="1" l="1"/>
  <c r="F164" i="1"/>
  <c r="G164" i="1" s="1"/>
  <c r="I164" i="1" s="1"/>
  <c r="H24" i="3"/>
  <c r="H57" i="3"/>
  <c r="H58" i="3"/>
  <c r="H59" i="3"/>
  <c r="I56" i="3"/>
  <c r="I54" i="3"/>
  <c r="I51" i="3"/>
  <c r="H20" i="3"/>
  <c r="H46" i="3"/>
  <c r="H34" i="3"/>
  <c r="H7" i="3"/>
  <c r="H50" i="3"/>
  <c r="H48" i="3"/>
  <c r="H6" i="3"/>
  <c r="H16" i="3"/>
  <c r="G33" i="3"/>
  <c r="H33" i="3"/>
  <c r="H49" i="3"/>
  <c r="G28" i="3"/>
  <c r="H28" i="3"/>
  <c r="H18" i="3"/>
  <c r="H27" i="3"/>
  <c r="H39" i="3"/>
  <c r="H51" i="3"/>
  <c r="H54" i="3"/>
  <c r="H56" i="3"/>
  <c r="H14" i="3"/>
  <c r="H9" i="3"/>
  <c r="H31" i="3"/>
  <c r="H40" i="3"/>
  <c r="H35" i="3"/>
  <c r="H15" i="3"/>
  <c r="H29" i="3"/>
  <c r="H43" i="3"/>
  <c r="H8" i="3"/>
  <c r="H30" i="3"/>
  <c r="H25" i="3"/>
  <c r="H37" i="3"/>
  <c r="H19" i="3"/>
  <c r="H52" i="3"/>
  <c r="H11" i="3"/>
  <c r="H26" i="3"/>
  <c r="H36" i="3"/>
  <c r="I53" i="3"/>
  <c r="H23" i="3"/>
  <c r="H22" i="3"/>
  <c r="H41" i="3"/>
  <c r="H47" i="3"/>
  <c r="H12" i="3"/>
  <c r="H42" i="3"/>
  <c r="H38" i="3"/>
  <c r="H21" i="3"/>
  <c r="I49" i="3"/>
  <c r="I16" i="3"/>
  <c r="I19" i="3"/>
  <c r="I52" i="3"/>
  <c r="H10" i="3"/>
  <c r="H53" i="3"/>
  <c r="I11" i="3"/>
  <c r="I36" i="3"/>
  <c r="H45" i="3"/>
  <c r="H55" i="3"/>
  <c r="H17" i="3"/>
  <c r="I24" i="3"/>
  <c r="I45" i="3"/>
  <c r="I55" i="3"/>
  <c r="I23" i="3"/>
  <c r="I17" i="3"/>
  <c r="I18" i="3"/>
  <c r="I22" i="3"/>
  <c r="H32" i="3"/>
  <c r="H13" i="3"/>
  <c r="H44" i="3"/>
  <c r="I32" i="3"/>
  <c r="I44" i="3"/>
  <c r="I41" i="3"/>
  <c r="I47" i="3"/>
  <c r="I12" i="3"/>
  <c r="I42" i="3"/>
  <c r="I38" i="3"/>
  <c r="I21" i="3"/>
  <c r="F212" i="42"/>
  <c r="E214" i="42"/>
  <c r="A215" i="42"/>
  <c r="B214" i="42"/>
  <c r="D213" i="42"/>
  <c r="C213" i="42"/>
  <c r="H164" i="1" l="1"/>
  <c r="F165" i="1"/>
  <c r="G165" i="1" s="1"/>
  <c r="I28" i="3"/>
  <c r="I33" i="3"/>
  <c r="F213" i="42"/>
  <c r="D214" i="42"/>
  <c r="C214" i="42"/>
  <c r="E215" i="42"/>
  <c r="A216" i="42"/>
  <c r="B215" i="42"/>
  <c r="H165" i="1" l="1"/>
  <c r="I165" i="1"/>
  <c r="F214" i="42"/>
  <c r="E216" i="42"/>
  <c r="A217" i="42"/>
  <c r="B216" i="42"/>
  <c r="D215" i="42"/>
  <c r="C215" i="42"/>
  <c r="F215" i="42" l="1"/>
  <c r="D216" i="42"/>
  <c r="C216" i="42"/>
  <c r="E217" i="42"/>
  <c r="A218" i="42"/>
  <c r="B217" i="42"/>
  <c r="F216" i="42" l="1"/>
  <c r="E218" i="42"/>
  <c r="A219" i="42"/>
  <c r="B218" i="42"/>
  <c r="D217" i="42"/>
  <c r="C217" i="42"/>
  <c r="F217" i="42" l="1"/>
  <c r="D218" i="42"/>
  <c r="C218" i="42"/>
  <c r="E219" i="42"/>
  <c r="A220" i="42"/>
  <c r="B219" i="42"/>
  <c r="F218" i="42" l="1"/>
  <c r="E220" i="42"/>
  <c r="A221" i="42"/>
  <c r="B220" i="42"/>
  <c r="D219" i="42"/>
  <c r="C219" i="42"/>
  <c r="F219" i="42" l="1"/>
  <c r="D220" i="42"/>
  <c r="C220" i="42"/>
  <c r="E221" i="42"/>
  <c r="A222" i="42"/>
  <c r="B221" i="42"/>
  <c r="F220" i="42" l="1"/>
  <c r="E222" i="42"/>
  <c r="A223" i="42"/>
  <c r="B222" i="42"/>
  <c r="D221" i="42"/>
  <c r="C221" i="42"/>
  <c r="D222" i="42" l="1"/>
  <c r="C222" i="42"/>
  <c r="E223" i="42"/>
  <c r="A224" i="42"/>
  <c r="B223" i="42"/>
  <c r="F221" i="42"/>
  <c r="F222" i="42" l="1"/>
  <c r="E224" i="42"/>
  <c r="B224" i="42"/>
  <c r="A225" i="42"/>
  <c r="D223" i="42"/>
  <c r="C223" i="42"/>
  <c r="E225" i="42" l="1"/>
  <c r="A226" i="42"/>
  <c r="B225" i="42"/>
  <c r="D224" i="42"/>
  <c r="C224" i="42"/>
  <c r="F223" i="42"/>
  <c r="D225" i="42" l="1"/>
  <c r="C225" i="42"/>
  <c r="E226" i="42"/>
  <c r="A227" i="42"/>
  <c r="B226" i="42"/>
  <c r="F224" i="42"/>
  <c r="F225" i="42" l="1"/>
  <c r="E227" i="42"/>
  <c r="A228" i="42"/>
  <c r="B227" i="42"/>
  <c r="D226" i="42"/>
  <c r="C226" i="42"/>
  <c r="F226" i="42" l="1"/>
  <c r="E228" i="42"/>
  <c r="A229" i="42"/>
  <c r="B228" i="42"/>
  <c r="D227" i="42"/>
  <c r="C227" i="42"/>
  <c r="F227" i="42" l="1"/>
  <c r="E229" i="42"/>
  <c r="A230" i="42"/>
  <c r="B229" i="42"/>
  <c r="D228" i="42"/>
  <c r="C228" i="42"/>
  <c r="F228" i="42" l="1"/>
  <c r="E230" i="42"/>
  <c r="A231" i="42"/>
  <c r="B230" i="42"/>
  <c r="D229" i="42"/>
  <c r="C229" i="42"/>
  <c r="D230" i="42" l="1"/>
  <c r="C230" i="42"/>
  <c r="E231" i="42"/>
  <c r="A232" i="42"/>
  <c r="B231" i="42"/>
  <c r="F229" i="42"/>
  <c r="F230" i="42" l="1"/>
  <c r="E232" i="42"/>
  <c r="B232" i="42"/>
  <c r="A233" i="42"/>
  <c r="D231" i="42"/>
  <c r="C231" i="42"/>
  <c r="F231" i="42" l="1"/>
  <c r="D232" i="42"/>
  <c r="C232" i="42"/>
  <c r="E233" i="42"/>
  <c r="A234" i="42"/>
  <c r="B233" i="42"/>
  <c r="F232" i="42" l="1"/>
  <c r="E234" i="42"/>
  <c r="A235" i="42"/>
  <c r="B234" i="42"/>
  <c r="D233" i="42"/>
  <c r="C233" i="42"/>
  <c r="F233" i="42" l="1"/>
  <c r="E235" i="42"/>
  <c r="A236" i="42"/>
  <c r="B235" i="42"/>
  <c r="D234" i="42"/>
  <c r="C234" i="42"/>
  <c r="F234" i="42" l="1"/>
  <c r="E236" i="42"/>
  <c r="A237" i="42"/>
  <c r="B236" i="42"/>
  <c r="D235" i="42"/>
  <c r="C235" i="42"/>
  <c r="F235" i="42" l="1"/>
  <c r="E237" i="42"/>
  <c r="A238" i="42"/>
  <c r="B237" i="42"/>
  <c r="D236" i="42"/>
  <c r="C236" i="42"/>
  <c r="F236" i="42" l="1"/>
  <c r="E238" i="42"/>
  <c r="A239" i="42"/>
  <c r="B238" i="42"/>
  <c r="D237" i="42"/>
  <c r="C237" i="42"/>
  <c r="F237" i="42" l="1"/>
  <c r="E239" i="42"/>
  <c r="A240" i="42"/>
  <c r="B239" i="42"/>
  <c r="D238" i="42"/>
  <c r="C238" i="42"/>
  <c r="F238" i="42" l="1"/>
  <c r="E240" i="42"/>
  <c r="B240" i="42"/>
  <c r="A241" i="42"/>
  <c r="D239" i="42"/>
  <c r="C239" i="42"/>
  <c r="F239" i="42" l="1"/>
  <c r="D240" i="42"/>
  <c r="C240" i="42"/>
  <c r="E241" i="42"/>
  <c r="A242" i="42"/>
  <c r="B241" i="42"/>
  <c r="F240" i="42" l="1"/>
  <c r="E242" i="42"/>
  <c r="A243" i="42"/>
  <c r="B242" i="42"/>
  <c r="D241" i="42"/>
  <c r="C241" i="42"/>
  <c r="F241" i="42" l="1"/>
  <c r="E243" i="42"/>
  <c r="A244" i="42"/>
  <c r="B243" i="42"/>
  <c r="D242" i="42"/>
  <c r="C242" i="42"/>
  <c r="F242" i="42" l="1"/>
  <c r="E244" i="42"/>
  <c r="A245" i="42"/>
  <c r="B244" i="42"/>
  <c r="D243" i="42"/>
  <c r="C243" i="42"/>
  <c r="F243" i="42" l="1"/>
  <c r="E245" i="42"/>
  <c r="A246" i="42"/>
  <c r="B245" i="42"/>
  <c r="D244" i="42"/>
  <c r="C244" i="42"/>
  <c r="F244" i="42" l="1"/>
  <c r="E246" i="42"/>
  <c r="A247" i="42"/>
  <c r="B246" i="42"/>
  <c r="D245" i="42"/>
  <c r="C245" i="42"/>
  <c r="F245" i="42" l="1"/>
  <c r="E247" i="42"/>
  <c r="A248" i="42"/>
  <c r="B247" i="42"/>
  <c r="D246" i="42"/>
  <c r="C246" i="42"/>
  <c r="F246" i="42" l="1"/>
  <c r="E248" i="42"/>
  <c r="A249" i="42"/>
  <c r="B248" i="42"/>
  <c r="D247" i="42"/>
  <c r="C247" i="42"/>
  <c r="F247" i="42" l="1"/>
  <c r="E249" i="42"/>
  <c r="A250" i="42"/>
  <c r="B249" i="42"/>
  <c r="D248" i="42"/>
  <c r="C248" i="42"/>
  <c r="F248" i="42" l="1"/>
  <c r="E250" i="42"/>
  <c r="A251" i="42"/>
  <c r="B250" i="42"/>
  <c r="D249" i="42"/>
  <c r="C249" i="42"/>
  <c r="F249" i="42" l="1"/>
  <c r="E251" i="42"/>
  <c r="A252" i="42"/>
  <c r="B251" i="42"/>
  <c r="D250" i="42"/>
  <c r="C250" i="42"/>
  <c r="F250" i="42" l="1"/>
  <c r="E252" i="42"/>
  <c r="A253" i="42"/>
  <c r="B252" i="42"/>
  <c r="D251" i="42"/>
  <c r="C251" i="42"/>
  <c r="F251" i="42" l="1"/>
  <c r="E253" i="42"/>
  <c r="A254" i="42"/>
  <c r="B253" i="42"/>
  <c r="D252" i="42"/>
  <c r="C252" i="42"/>
  <c r="F252" i="42" l="1"/>
  <c r="E254" i="42"/>
  <c r="A255" i="42"/>
  <c r="B254" i="42"/>
  <c r="D253" i="42"/>
  <c r="C253" i="42"/>
  <c r="F253" i="42" l="1"/>
  <c r="E255" i="42"/>
  <c r="A256" i="42"/>
  <c r="B255" i="42"/>
  <c r="D254" i="42"/>
  <c r="C254" i="42"/>
  <c r="F254" i="42" l="1"/>
  <c r="E256" i="42"/>
  <c r="A257" i="42"/>
  <c r="B256" i="42"/>
  <c r="D255" i="42"/>
  <c r="C255" i="42"/>
  <c r="F255" i="42" l="1"/>
  <c r="E257" i="42"/>
  <c r="A258" i="42"/>
  <c r="B257" i="42"/>
  <c r="D256" i="42"/>
  <c r="C256" i="42"/>
  <c r="F256" i="42" l="1"/>
  <c r="D257" i="42"/>
  <c r="C257" i="42"/>
  <c r="E258" i="42"/>
  <c r="A259" i="42"/>
  <c r="B258" i="42"/>
  <c r="F257" i="42" l="1"/>
  <c r="E259" i="42"/>
  <c r="A260" i="42"/>
  <c r="B259" i="42"/>
  <c r="D258" i="42"/>
  <c r="C258" i="42"/>
  <c r="F258" i="42" l="1"/>
  <c r="D259" i="42"/>
  <c r="C259" i="42"/>
  <c r="E260" i="42"/>
  <c r="A261" i="42"/>
  <c r="B260" i="42"/>
  <c r="F259" i="42" l="1"/>
  <c r="E261" i="42"/>
  <c r="A262" i="42"/>
  <c r="B261" i="42"/>
  <c r="D260" i="42"/>
  <c r="C260" i="42"/>
  <c r="F260" i="42" l="1"/>
  <c r="E262" i="42"/>
  <c r="A263" i="42"/>
  <c r="B262" i="42"/>
  <c r="D261" i="42"/>
  <c r="C261" i="42"/>
  <c r="F261" i="42" l="1"/>
  <c r="D262" i="42"/>
  <c r="C262" i="42"/>
  <c r="E263" i="42"/>
  <c r="A264" i="42"/>
  <c r="B263" i="42"/>
  <c r="F262" i="42" l="1"/>
  <c r="E264" i="42"/>
  <c r="A265" i="42"/>
  <c r="B264" i="42"/>
  <c r="D263" i="42"/>
  <c r="C263" i="42"/>
  <c r="F263" i="42" l="1"/>
  <c r="D264" i="42"/>
  <c r="C264" i="42"/>
  <c r="E265" i="42"/>
  <c r="A266" i="42"/>
  <c r="B265" i="42"/>
  <c r="F264" i="42" l="1"/>
  <c r="E266" i="42"/>
  <c r="A267" i="42"/>
  <c r="B266" i="42"/>
  <c r="D265" i="42"/>
  <c r="C265" i="42"/>
  <c r="F265" i="42" l="1"/>
  <c r="D266" i="42"/>
  <c r="C266" i="42"/>
  <c r="E267" i="42"/>
  <c r="A268" i="42"/>
  <c r="B267" i="42"/>
  <c r="F266" i="42" l="1"/>
  <c r="E268" i="42"/>
  <c r="A269" i="42"/>
  <c r="B268" i="42"/>
  <c r="D267" i="42"/>
  <c r="C267" i="42"/>
  <c r="F267" i="42" l="1"/>
  <c r="D268" i="42"/>
  <c r="C268" i="42"/>
  <c r="E269" i="42"/>
  <c r="A270" i="42"/>
  <c r="B269" i="42"/>
  <c r="F268" i="42" l="1"/>
  <c r="E270" i="42"/>
  <c r="A271" i="42"/>
  <c r="B270" i="42"/>
  <c r="D269" i="42"/>
  <c r="C269" i="42"/>
  <c r="F269" i="42" l="1"/>
  <c r="D270" i="42"/>
  <c r="C270" i="42"/>
  <c r="E271" i="42"/>
  <c r="A272" i="42"/>
  <c r="B271" i="42"/>
  <c r="F270" i="42" l="1"/>
  <c r="E272" i="42"/>
  <c r="A273" i="42"/>
  <c r="B272" i="42"/>
  <c r="D271" i="42"/>
  <c r="C271" i="42"/>
  <c r="F271" i="42" l="1"/>
  <c r="D272" i="42"/>
  <c r="C272" i="42"/>
  <c r="E273" i="42"/>
  <c r="A274" i="42"/>
  <c r="B273" i="42"/>
  <c r="F272" i="42" l="1"/>
  <c r="E274" i="42"/>
  <c r="A275" i="42"/>
  <c r="B274" i="42"/>
  <c r="D273" i="42"/>
  <c r="C273" i="42"/>
  <c r="F273" i="42" l="1"/>
  <c r="D274" i="42"/>
  <c r="C274" i="42"/>
  <c r="E275" i="42"/>
  <c r="A276" i="42"/>
  <c r="B275" i="42"/>
  <c r="F274" i="42" l="1"/>
  <c r="E276" i="42"/>
  <c r="A277" i="42"/>
  <c r="B276" i="42"/>
  <c r="D275" i="42"/>
  <c r="C275" i="42"/>
  <c r="F275" i="42" l="1"/>
  <c r="D276" i="42"/>
  <c r="C276" i="42"/>
  <c r="E277" i="42"/>
  <c r="A278" i="42"/>
  <c r="B277" i="42"/>
  <c r="F276" i="42" l="1"/>
  <c r="E278" i="42"/>
  <c r="A279" i="42"/>
  <c r="B278" i="42"/>
  <c r="D277" i="42"/>
  <c r="C277" i="42"/>
  <c r="F277" i="42" l="1"/>
  <c r="D278" i="42"/>
  <c r="C278" i="42"/>
  <c r="E279" i="42"/>
  <c r="A280" i="42"/>
  <c r="B279" i="42"/>
  <c r="F278" i="42" l="1"/>
  <c r="E280" i="42"/>
  <c r="A281" i="42"/>
  <c r="B280" i="42"/>
  <c r="D279" i="42"/>
  <c r="C279" i="42"/>
  <c r="F279" i="42" l="1"/>
  <c r="D280" i="42"/>
  <c r="C280" i="42"/>
  <c r="E281" i="42"/>
  <c r="A282" i="42"/>
  <c r="B281" i="42"/>
  <c r="F280" i="42" l="1"/>
  <c r="E282" i="42"/>
  <c r="A283" i="42"/>
  <c r="B282" i="42"/>
  <c r="D281" i="42"/>
  <c r="C281" i="42"/>
  <c r="F281" i="42" l="1"/>
  <c r="D282" i="42"/>
  <c r="C282" i="42"/>
  <c r="E283" i="42"/>
  <c r="A284" i="42"/>
  <c r="B283" i="42"/>
  <c r="F282" i="42" l="1"/>
  <c r="E284" i="42"/>
  <c r="A285" i="42"/>
  <c r="B284" i="42"/>
  <c r="D283" i="42"/>
  <c r="C283" i="42"/>
  <c r="F283" i="42" l="1"/>
  <c r="D284" i="42"/>
  <c r="C284" i="42"/>
  <c r="E285" i="42"/>
  <c r="A286" i="42"/>
  <c r="B285" i="42"/>
  <c r="F284" i="42" l="1"/>
  <c r="E286" i="42"/>
  <c r="A287" i="42"/>
  <c r="B286" i="42"/>
  <c r="D285" i="42"/>
  <c r="C285" i="42"/>
  <c r="F285" i="42" l="1"/>
  <c r="D286" i="42"/>
  <c r="C286" i="42"/>
  <c r="E287" i="42"/>
  <c r="A288" i="42"/>
  <c r="B287" i="42"/>
  <c r="F286" i="42" l="1"/>
  <c r="E288" i="42"/>
  <c r="A289" i="42"/>
  <c r="B288" i="42"/>
  <c r="D287" i="42"/>
  <c r="C287" i="42"/>
  <c r="F287" i="42" l="1"/>
  <c r="D288" i="42"/>
  <c r="C288" i="42"/>
  <c r="E289" i="42"/>
  <c r="A290" i="42"/>
  <c r="B289" i="42"/>
  <c r="F288" i="42" l="1"/>
  <c r="D289" i="42"/>
  <c r="C289" i="42"/>
  <c r="E290" i="42"/>
  <c r="A291" i="42"/>
  <c r="B290" i="42"/>
  <c r="F289" i="42" l="1"/>
  <c r="E291" i="42"/>
  <c r="A292" i="42"/>
  <c r="B291" i="42"/>
  <c r="D290" i="42"/>
  <c r="C290" i="42"/>
  <c r="F290" i="42" l="1"/>
  <c r="D291" i="42"/>
  <c r="C291" i="42"/>
  <c r="E292" i="42"/>
  <c r="A293" i="42"/>
  <c r="B292" i="42"/>
  <c r="F291" i="42" l="1"/>
  <c r="E293" i="42"/>
  <c r="A294" i="42"/>
  <c r="B293" i="42"/>
  <c r="D292" i="42"/>
  <c r="C292" i="42"/>
  <c r="F292" i="42" l="1"/>
  <c r="D293" i="42"/>
  <c r="C293" i="42"/>
  <c r="E294" i="42"/>
  <c r="A295" i="42"/>
  <c r="B294" i="42"/>
  <c r="F293" i="42" l="1"/>
  <c r="E295" i="42"/>
  <c r="A296" i="42"/>
  <c r="B295" i="42"/>
  <c r="D294" i="42"/>
  <c r="C294" i="42"/>
  <c r="F294" i="42" l="1"/>
  <c r="D295" i="42"/>
  <c r="C295" i="42"/>
  <c r="E296" i="42"/>
  <c r="A297" i="42"/>
  <c r="B296" i="42"/>
  <c r="F295" i="42" l="1"/>
  <c r="E297" i="42"/>
  <c r="A298" i="42"/>
  <c r="B297" i="42"/>
  <c r="D296" i="42"/>
  <c r="C296" i="42"/>
  <c r="F296" i="42" l="1"/>
  <c r="D297" i="42"/>
  <c r="C297" i="42"/>
  <c r="E298" i="42"/>
  <c r="A299" i="42"/>
  <c r="B298" i="42"/>
  <c r="F297" i="42" l="1"/>
  <c r="E299" i="42"/>
  <c r="A300" i="42"/>
  <c r="B299" i="42"/>
  <c r="D298" i="42"/>
  <c r="C298" i="42"/>
  <c r="F298" i="42" l="1"/>
  <c r="D299" i="42"/>
  <c r="C299" i="42"/>
  <c r="E300" i="42"/>
  <c r="A301" i="42"/>
  <c r="B300" i="42"/>
  <c r="F299" i="42" l="1"/>
  <c r="E301" i="42"/>
  <c r="A302" i="42"/>
  <c r="B301" i="42"/>
  <c r="D300" i="42"/>
  <c r="C300" i="42"/>
  <c r="F300" i="42" l="1"/>
  <c r="D301" i="42"/>
  <c r="C301" i="42"/>
  <c r="E302" i="42"/>
  <c r="A303" i="42"/>
  <c r="B302" i="42"/>
  <c r="F301" i="42" l="1"/>
  <c r="E303" i="42"/>
  <c r="A304" i="42"/>
  <c r="B303" i="42"/>
  <c r="D302" i="42"/>
  <c r="C302" i="42"/>
  <c r="F302" i="42" l="1"/>
  <c r="D303" i="42"/>
  <c r="C303" i="42"/>
  <c r="E304" i="42"/>
  <c r="A305" i="42"/>
  <c r="B304" i="42"/>
  <c r="F303" i="42" l="1"/>
  <c r="E305" i="42"/>
  <c r="A306" i="42"/>
  <c r="B305" i="42"/>
  <c r="D304" i="42"/>
  <c r="C304" i="42"/>
  <c r="F304" i="42" l="1"/>
  <c r="D305" i="42"/>
  <c r="C305" i="42"/>
  <c r="E306" i="42"/>
  <c r="A307" i="42"/>
  <c r="B306" i="42"/>
  <c r="F305" i="42" l="1"/>
  <c r="E307" i="42"/>
  <c r="A308" i="42"/>
  <c r="B307" i="42"/>
  <c r="D306" i="42"/>
  <c r="C306" i="42"/>
  <c r="F306" i="42" l="1"/>
  <c r="D307" i="42"/>
  <c r="C307" i="42"/>
  <c r="E308" i="42"/>
  <c r="A309" i="42"/>
  <c r="B308" i="42"/>
  <c r="F307" i="42" l="1"/>
  <c r="E309" i="42"/>
  <c r="B309" i="42"/>
  <c r="A310" i="42"/>
  <c r="D308" i="42"/>
  <c r="C308" i="42"/>
  <c r="F308" i="42" l="1"/>
  <c r="E310" i="42"/>
  <c r="A311" i="42"/>
  <c r="B310" i="42"/>
  <c r="D309" i="42"/>
  <c r="C309" i="42"/>
  <c r="F309" i="42" l="1"/>
  <c r="D310" i="42"/>
  <c r="C310" i="42"/>
  <c r="E311" i="42"/>
  <c r="A312" i="42"/>
  <c r="B311" i="42"/>
  <c r="F310" i="42" l="1"/>
  <c r="E312" i="42"/>
  <c r="A313" i="42"/>
  <c r="B312" i="42"/>
  <c r="D311" i="42"/>
  <c r="C311" i="42"/>
  <c r="F311" i="42" l="1"/>
  <c r="D312" i="42"/>
  <c r="C312" i="42"/>
  <c r="E313" i="42"/>
  <c r="A314" i="42"/>
  <c r="B313" i="42"/>
  <c r="F312" i="42" l="1"/>
  <c r="E314" i="42"/>
  <c r="A315" i="42"/>
  <c r="B314" i="42"/>
  <c r="D313" i="42"/>
  <c r="C313" i="42"/>
  <c r="F313" i="42" l="1"/>
  <c r="D314" i="42"/>
  <c r="C314" i="42"/>
  <c r="E315" i="42"/>
  <c r="A316" i="42"/>
  <c r="B315" i="42"/>
  <c r="F314" i="42" l="1"/>
  <c r="E316" i="42"/>
  <c r="A317" i="42"/>
  <c r="B316" i="42"/>
  <c r="D315" i="42"/>
  <c r="C315" i="42"/>
  <c r="F315" i="42" l="1"/>
  <c r="D316" i="42"/>
  <c r="C316" i="42"/>
  <c r="E317" i="42"/>
  <c r="A318" i="42"/>
  <c r="B317" i="42"/>
  <c r="F316" i="42" l="1"/>
  <c r="E318" i="42"/>
  <c r="A319" i="42"/>
  <c r="B318" i="42"/>
  <c r="D317" i="42"/>
  <c r="C317" i="42"/>
  <c r="F317" i="42" l="1"/>
  <c r="E319" i="42"/>
  <c r="A320" i="42"/>
  <c r="B319" i="42"/>
  <c r="D318" i="42"/>
  <c r="C318" i="42"/>
  <c r="F318" i="42" l="1"/>
  <c r="D319" i="42"/>
  <c r="C319" i="42"/>
  <c r="E320" i="42"/>
  <c r="A321" i="42"/>
  <c r="B320" i="42"/>
  <c r="F319" i="42" l="1"/>
  <c r="E321" i="42"/>
  <c r="A322" i="42"/>
  <c r="B321" i="42"/>
  <c r="D320" i="42"/>
  <c r="C320" i="42"/>
  <c r="F320" i="42" l="1"/>
  <c r="D321" i="42"/>
  <c r="C321" i="42"/>
  <c r="E322" i="42"/>
  <c r="A323" i="42"/>
  <c r="B322" i="42"/>
  <c r="F321" i="42" l="1"/>
  <c r="E323" i="42"/>
  <c r="A324" i="42"/>
  <c r="B323" i="42"/>
  <c r="D322" i="42"/>
  <c r="C322" i="42"/>
  <c r="F322" i="42" l="1"/>
  <c r="D323" i="42"/>
  <c r="C323" i="42"/>
  <c r="E324" i="42"/>
  <c r="A325" i="42"/>
  <c r="B324" i="42"/>
  <c r="F323" i="42" l="1"/>
  <c r="E325" i="42"/>
  <c r="A326" i="42"/>
  <c r="B325" i="42"/>
  <c r="D324" i="42"/>
  <c r="C324" i="42"/>
  <c r="F324" i="42" l="1"/>
  <c r="D325" i="42"/>
  <c r="C325" i="42"/>
  <c r="E326" i="42"/>
  <c r="A327" i="42"/>
  <c r="B326" i="42"/>
  <c r="F325" i="42" l="1"/>
  <c r="E327" i="42"/>
  <c r="A328" i="42"/>
  <c r="B327" i="42"/>
  <c r="D326" i="42"/>
  <c r="C326" i="42"/>
  <c r="F326" i="42" l="1"/>
  <c r="D327" i="42"/>
  <c r="C327" i="42"/>
  <c r="E328" i="42"/>
  <c r="A329" i="42"/>
  <c r="B328" i="42"/>
  <c r="F327" i="42" l="1"/>
  <c r="E329" i="42"/>
  <c r="A330" i="42"/>
  <c r="B329" i="42"/>
  <c r="D328" i="42"/>
  <c r="C328" i="42"/>
  <c r="F328" i="42" l="1"/>
  <c r="D329" i="42"/>
  <c r="C329" i="42"/>
  <c r="E330" i="42"/>
  <c r="A331" i="42"/>
  <c r="B330" i="42"/>
  <c r="F329" i="42" l="1"/>
  <c r="E331" i="42"/>
  <c r="A332" i="42"/>
  <c r="B331" i="42"/>
  <c r="D330" i="42"/>
  <c r="C330" i="42"/>
  <c r="F330" i="42" l="1"/>
  <c r="D331" i="42"/>
  <c r="C331" i="42"/>
  <c r="E332" i="42"/>
  <c r="A333" i="42"/>
  <c r="B332" i="42"/>
  <c r="F331" i="42" l="1"/>
  <c r="E333" i="42"/>
  <c r="A334" i="42"/>
  <c r="B333" i="42"/>
  <c r="D332" i="42"/>
  <c r="C332" i="42"/>
  <c r="F332" i="42" l="1"/>
  <c r="D333" i="42"/>
  <c r="C333" i="42"/>
  <c r="E334" i="42"/>
  <c r="A335" i="42"/>
  <c r="B334" i="42"/>
  <c r="F333" i="42" l="1"/>
  <c r="E335" i="42"/>
  <c r="A336" i="42"/>
  <c r="B335" i="42"/>
  <c r="D334" i="42"/>
  <c r="C334" i="42"/>
  <c r="F334" i="42" l="1"/>
  <c r="D335" i="42"/>
  <c r="C335" i="42"/>
  <c r="E336" i="42"/>
  <c r="A337" i="42"/>
  <c r="B336" i="42"/>
  <c r="F335" i="42" l="1"/>
  <c r="E337" i="42"/>
  <c r="A338" i="42"/>
  <c r="B337" i="42"/>
  <c r="D336" i="42"/>
  <c r="C336" i="42"/>
  <c r="F336" i="42" l="1"/>
  <c r="D337" i="42"/>
  <c r="C337" i="42"/>
  <c r="E338" i="42"/>
  <c r="A339" i="42"/>
  <c r="B338" i="42"/>
  <c r="F337" i="42" l="1"/>
  <c r="E339" i="42"/>
  <c r="A340" i="42"/>
  <c r="B339" i="42"/>
  <c r="D338" i="42"/>
  <c r="C338" i="42"/>
  <c r="F338" i="42" l="1"/>
  <c r="D339" i="42"/>
  <c r="C339" i="42"/>
  <c r="E340" i="42"/>
  <c r="A341" i="42"/>
  <c r="B340" i="42"/>
  <c r="F339" i="42" l="1"/>
  <c r="E341" i="42"/>
  <c r="A342" i="42"/>
  <c r="B341" i="42"/>
  <c r="D340" i="42"/>
  <c r="C340" i="42"/>
  <c r="F340" i="42" l="1"/>
  <c r="D341" i="42"/>
  <c r="C341" i="42"/>
  <c r="E342" i="42"/>
  <c r="A343" i="42"/>
  <c r="B342" i="42"/>
  <c r="F341" i="42" l="1"/>
  <c r="E343" i="42"/>
  <c r="A344" i="42"/>
  <c r="B343" i="42"/>
  <c r="D342" i="42"/>
  <c r="C342" i="42"/>
  <c r="F342" i="42" l="1"/>
  <c r="D343" i="42"/>
  <c r="C343" i="42"/>
  <c r="E344" i="42"/>
  <c r="A345" i="42"/>
  <c r="B344" i="42"/>
  <c r="F343" i="42" l="1"/>
  <c r="E345" i="42"/>
  <c r="A346" i="42"/>
  <c r="B345" i="42"/>
  <c r="D344" i="42"/>
  <c r="C344" i="42"/>
  <c r="F344" i="42" l="1"/>
  <c r="D345" i="42"/>
  <c r="C345" i="42"/>
  <c r="E346" i="42"/>
  <c r="A347" i="42"/>
  <c r="B346" i="42"/>
  <c r="F345" i="42" l="1"/>
  <c r="E347" i="42"/>
  <c r="A348" i="42"/>
  <c r="B347" i="42"/>
  <c r="D346" i="42"/>
  <c r="C346" i="42"/>
  <c r="F346" i="42" l="1"/>
  <c r="D347" i="42"/>
  <c r="C347" i="42"/>
  <c r="E348" i="42"/>
  <c r="A349" i="42"/>
  <c r="B348" i="42"/>
  <c r="F347" i="42" l="1"/>
  <c r="E349" i="42"/>
  <c r="A350" i="42"/>
  <c r="B349" i="42"/>
  <c r="D348" i="42"/>
  <c r="C348" i="42"/>
  <c r="F348" i="42" l="1"/>
  <c r="D349" i="42"/>
  <c r="C349" i="42"/>
  <c r="E350" i="42"/>
  <c r="A351" i="42"/>
  <c r="B350" i="42"/>
  <c r="F349" i="42" l="1"/>
  <c r="D350" i="42"/>
  <c r="C350" i="42"/>
  <c r="E351" i="42"/>
  <c r="A352" i="42"/>
  <c r="B351" i="42"/>
  <c r="F350" i="42" l="1"/>
  <c r="E352" i="42"/>
  <c r="A353" i="42"/>
  <c r="B352" i="42"/>
  <c r="D351" i="42"/>
  <c r="C351" i="42"/>
  <c r="F351" i="42" l="1"/>
  <c r="D352" i="42"/>
  <c r="C352" i="42"/>
  <c r="E353" i="42"/>
  <c r="A354" i="42"/>
  <c r="B353" i="42"/>
  <c r="F352" i="42" l="1"/>
  <c r="E354" i="42"/>
  <c r="A355" i="42"/>
  <c r="B354" i="42"/>
  <c r="D353" i="42"/>
  <c r="C353" i="42"/>
  <c r="F353" i="42" l="1"/>
  <c r="D354" i="42"/>
  <c r="C354" i="42"/>
  <c r="E355" i="42"/>
  <c r="A356" i="42"/>
  <c r="B355" i="42"/>
  <c r="F354" i="42" l="1"/>
  <c r="E356" i="42"/>
  <c r="A357" i="42"/>
  <c r="B356" i="42"/>
  <c r="D355" i="42"/>
  <c r="C355" i="42"/>
  <c r="F355" i="42" l="1"/>
  <c r="D356" i="42"/>
  <c r="C356" i="42"/>
  <c r="E357" i="42"/>
  <c r="A358" i="42"/>
  <c r="B357" i="42"/>
  <c r="F356" i="42" l="1"/>
  <c r="E358" i="42"/>
  <c r="A359" i="42"/>
  <c r="B358" i="42"/>
  <c r="D357" i="42"/>
  <c r="C357" i="42"/>
  <c r="F357" i="42" l="1"/>
  <c r="D358" i="42"/>
  <c r="C358" i="42"/>
  <c r="E359" i="42"/>
  <c r="A360" i="42"/>
  <c r="B359" i="42"/>
  <c r="F358" i="42" l="1"/>
  <c r="E360" i="42"/>
  <c r="A361" i="42"/>
  <c r="B360" i="42"/>
  <c r="D359" i="42"/>
  <c r="C359" i="42"/>
  <c r="F359" i="42" l="1"/>
  <c r="D360" i="42"/>
  <c r="C360" i="42"/>
  <c r="E361" i="42"/>
  <c r="A362" i="42"/>
  <c r="B361" i="42"/>
  <c r="F360" i="42" l="1"/>
  <c r="E362" i="42"/>
  <c r="A363" i="42"/>
  <c r="B362" i="42"/>
  <c r="D361" i="42"/>
  <c r="C361" i="42"/>
  <c r="F361" i="42" l="1"/>
  <c r="D362" i="42"/>
  <c r="C362" i="42"/>
  <c r="E363" i="42"/>
  <c r="A364" i="42"/>
  <c r="B363" i="42"/>
  <c r="F362" i="42" l="1"/>
  <c r="E364" i="42"/>
  <c r="A365" i="42"/>
  <c r="B364" i="42"/>
  <c r="D363" i="42"/>
  <c r="C363" i="42"/>
  <c r="F363" i="42" l="1"/>
  <c r="D364" i="42"/>
  <c r="C364" i="42"/>
  <c r="E365" i="42"/>
  <c r="A366" i="42"/>
  <c r="B365" i="42"/>
  <c r="F364" i="42" l="1"/>
  <c r="E366" i="42"/>
  <c r="A367" i="42"/>
  <c r="B366" i="42"/>
  <c r="D365" i="42"/>
  <c r="C365" i="42"/>
  <c r="F365" i="42" l="1"/>
  <c r="D366" i="42"/>
  <c r="C366" i="42"/>
  <c r="E367" i="42"/>
  <c r="B367" i="42"/>
  <c r="A368" i="42"/>
  <c r="F366" i="42" l="1"/>
  <c r="D367" i="42"/>
  <c r="C367" i="42"/>
  <c r="E368" i="42"/>
  <c r="B368" i="42"/>
  <c r="A369" i="42"/>
  <c r="F367" i="42" l="1"/>
  <c r="D368" i="42"/>
  <c r="C368" i="42"/>
  <c r="E369" i="42"/>
  <c r="B369" i="42"/>
  <c r="F368" i="42" l="1"/>
  <c r="D369" i="42"/>
  <c r="C369" i="42"/>
  <c r="F369" i="42" s="1"/>
  <c r="K10" i="42" l="1"/>
  <c r="N30" i="24" s="1"/>
  <c r="N31" i="24" s="1"/>
  <c r="F4" i="8"/>
  <c r="H4" i="8" s="1"/>
  <c r="B3" i="8"/>
  <c r="N32" i="24"/>
  <c r="F3" i="8" l="1"/>
  <c r="G4" i="8" l="1"/>
  <c r="I4" i="8" s="1"/>
  <c r="F8" i="4" l="1"/>
  <c r="F234" i="4"/>
  <c r="F98" i="4"/>
  <c r="F200" i="4"/>
  <c r="H200" i="4" s="1"/>
  <c r="F168" i="4"/>
  <c r="F113" i="4"/>
  <c r="F100" i="4"/>
  <c r="F201" i="4"/>
  <c r="F178" i="4"/>
  <c r="F57" i="4"/>
  <c r="G57" i="4" s="1"/>
  <c r="I57" i="4" s="1"/>
  <c r="F41" i="4"/>
  <c r="F85" i="4"/>
  <c r="H85" i="4" s="1"/>
  <c r="F84" i="4"/>
  <c r="F99" i="4"/>
  <c r="G99" i="4" s="1"/>
  <c r="I99" i="4" s="1"/>
  <c r="F223" i="4"/>
  <c r="G223" i="4" s="1"/>
  <c r="I223" i="4" s="1"/>
  <c r="F104" i="4"/>
  <c r="G104" i="4" s="1"/>
  <c r="I104" i="4" s="1"/>
  <c r="F205" i="4"/>
  <c r="F125" i="4"/>
  <c r="F52" i="4"/>
  <c r="F175" i="4"/>
  <c r="H175" i="4" s="1"/>
  <c r="F144" i="4"/>
  <c r="G144" i="4" s="1"/>
  <c r="I144" i="4" s="1"/>
  <c r="F236" i="4"/>
  <c r="F216" i="4"/>
  <c r="G216" i="4" s="1"/>
  <c r="I216" i="4" s="1"/>
  <c r="F43" i="4"/>
  <c r="G43" i="4" s="1"/>
  <c r="I43" i="4" s="1"/>
  <c r="F192" i="4"/>
  <c r="F44" i="4"/>
  <c r="F219" i="4"/>
  <c r="F211" i="4"/>
  <c r="H211" i="4" s="1"/>
  <c r="F120" i="4"/>
  <c r="F122" i="4"/>
  <c r="F103" i="4"/>
  <c r="H103" i="4" s="1"/>
  <c r="F194" i="4"/>
  <c r="H194" i="4" s="1"/>
  <c r="F30" i="4"/>
  <c r="H30" i="4" s="1"/>
  <c r="F68" i="4"/>
  <c r="F97" i="4"/>
  <c r="F154" i="4"/>
  <c r="H154" i="4" s="1"/>
  <c r="F39" i="4"/>
  <c r="G39" i="4" s="1"/>
  <c r="I39" i="4" s="1"/>
  <c r="F64" i="4"/>
  <c r="F174" i="4"/>
  <c r="F137" i="4"/>
  <c r="F80" i="4"/>
  <c r="F117" i="4"/>
  <c r="G117" i="4" s="1"/>
  <c r="I117" i="4" s="1"/>
  <c r="F73" i="4"/>
  <c r="F22" i="4"/>
  <c r="G22" i="4" s="1"/>
  <c r="I22" i="4" s="1"/>
  <c r="F176" i="4"/>
  <c r="F221" i="4"/>
  <c r="G221" i="4" s="1"/>
  <c r="I221" i="4" s="1"/>
  <c r="F48" i="4"/>
  <c r="F203" i="4"/>
  <c r="F58" i="4"/>
  <c r="F229" i="4"/>
  <c r="F130" i="4"/>
  <c r="F208" i="4"/>
  <c r="F206" i="4"/>
  <c r="F71" i="4"/>
  <c r="H71" i="4" s="1"/>
  <c r="F60" i="4"/>
  <c r="G60" i="4" s="1"/>
  <c r="I60" i="4" s="1"/>
  <c r="F69" i="4"/>
  <c r="F18" i="4"/>
  <c r="F142" i="4"/>
  <c r="G142" i="4" s="1"/>
  <c r="I142" i="4" s="1"/>
  <c r="F105" i="4"/>
  <c r="F210" i="4"/>
  <c r="F110" i="4"/>
  <c r="F55" i="4"/>
  <c r="F237" i="4"/>
  <c r="F135" i="4"/>
  <c r="F158" i="4"/>
  <c r="F32" i="4"/>
  <c r="F10" i="4"/>
  <c r="G10" i="4" s="1"/>
  <c r="I10" i="4" s="1"/>
  <c r="F199" i="4"/>
  <c r="F159" i="4"/>
  <c r="F155" i="4"/>
  <c r="F222" i="4"/>
  <c r="F66" i="4"/>
  <c r="F183" i="4"/>
  <c r="F53" i="4"/>
  <c r="H53" i="4" s="1"/>
  <c r="F141" i="4"/>
  <c r="G141" i="4" s="1"/>
  <c r="I141" i="4" s="1"/>
  <c r="F94" i="4"/>
  <c r="F21" i="4"/>
  <c r="F101" i="4"/>
  <c r="G101" i="4" s="1"/>
  <c r="I101" i="4" s="1"/>
  <c r="F134" i="4"/>
  <c r="H134" i="4" s="1"/>
  <c r="F196" i="4"/>
  <c r="F40" i="4"/>
  <c r="F172" i="4"/>
  <c r="F212" i="4"/>
  <c r="H212" i="4" s="1"/>
  <c r="F202" i="4"/>
  <c r="F226" i="4"/>
  <c r="F20" i="4"/>
  <c r="H20" i="4" s="1"/>
  <c r="F36" i="4"/>
  <c r="F45" i="4"/>
  <c r="F149" i="4"/>
  <c r="F74" i="4"/>
  <c r="H74" i="4" s="1"/>
  <c r="F123" i="4"/>
  <c r="F106" i="4"/>
  <c r="G106" i="4" s="1"/>
  <c r="I106" i="4" s="1"/>
  <c r="F9" i="4"/>
  <c r="F59" i="4"/>
  <c r="G59" i="4" s="1"/>
  <c r="I59" i="4" s="1"/>
  <c r="F89" i="4"/>
  <c r="F232" i="4"/>
  <c r="F124" i="4"/>
  <c r="F19" i="4"/>
  <c r="F171" i="4"/>
  <c r="G171" i="4" s="1"/>
  <c r="I171" i="4" s="1"/>
  <c r="F70" i="4"/>
  <c r="F197" i="4"/>
  <c r="F151" i="4"/>
  <c r="G151" i="4" s="1"/>
  <c r="I151" i="4" s="1"/>
  <c r="F241" i="4"/>
  <c r="F49" i="4"/>
  <c r="G49" i="4" s="1"/>
  <c r="I49" i="4" s="1"/>
  <c r="F29" i="4"/>
  <c r="F150" i="4"/>
  <c r="F61" i="4"/>
  <c r="F15" i="4"/>
  <c r="F38" i="4"/>
  <c r="H38" i="4" s="1"/>
  <c r="F140" i="4"/>
  <c r="H140" i="4" s="1"/>
  <c r="F86" i="4"/>
  <c r="F111" i="4"/>
  <c r="F231" i="4"/>
  <c r="H231" i="4" s="1"/>
  <c r="F181" i="4"/>
  <c r="G181" i="4" s="1"/>
  <c r="I181" i="4" s="1"/>
  <c r="F145" i="4"/>
  <c r="F112" i="4"/>
  <c r="H112" i="4" s="1"/>
  <c r="F227" i="4"/>
  <c r="F115" i="4"/>
  <c r="G115" i="4" s="1"/>
  <c r="I115" i="4" s="1"/>
  <c r="F173" i="4"/>
  <c r="G173" i="4" s="1"/>
  <c r="I173" i="4" s="1"/>
  <c r="F107" i="4"/>
  <c r="F72" i="4"/>
  <c r="F186" i="4"/>
  <c r="G186" i="4" s="1"/>
  <c r="I186" i="4" s="1"/>
  <c r="F23" i="4"/>
  <c r="F119" i="4"/>
  <c r="F185" i="4"/>
  <c r="F34" i="4"/>
  <c r="G34" i="4" s="1"/>
  <c r="I34" i="4" s="1"/>
  <c r="F170" i="4"/>
  <c r="F50" i="4"/>
  <c r="F14" i="4"/>
  <c r="F17" i="4"/>
  <c r="G17" i="4" s="1"/>
  <c r="I17" i="4" s="1"/>
  <c r="F129" i="4"/>
  <c r="G129" i="4" s="1"/>
  <c r="I129" i="4" s="1"/>
  <c r="F28" i="4"/>
  <c r="F92" i="4"/>
  <c r="F96" i="4"/>
  <c r="G96" i="4" s="1"/>
  <c r="I96" i="4" s="1"/>
  <c r="F160" i="4"/>
  <c r="H160" i="4" s="1"/>
  <c r="F167" i="4"/>
  <c r="F238" i="4"/>
  <c r="G238" i="4" s="1"/>
  <c r="I238" i="4" s="1"/>
  <c r="F121" i="4"/>
  <c r="G121" i="4" s="1"/>
  <c r="I121" i="4" s="1"/>
  <c r="F240" i="4"/>
  <c r="F13" i="4"/>
  <c r="F16" i="4"/>
  <c r="F47" i="4"/>
  <c r="F195" i="4"/>
  <c r="F81" i="4"/>
  <c r="H81" i="4" s="1"/>
  <c r="F152" i="4"/>
  <c r="F157" i="4"/>
  <c r="F33" i="4"/>
  <c r="F42" i="4"/>
  <c r="F131" i="4"/>
  <c r="F37" i="4"/>
  <c r="F179" i="4"/>
  <c r="G179" i="4" s="1"/>
  <c r="I179" i="4" s="1"/>
  <c r="F95" i="4"/>
  <c r="F7" i="4"/>
  <c r="F182" i="4"/>
  <c r="F127" i="4"/>
  <c r="F184" i="4"/>
  <c r="G184" i="4" s="1"/>
  <c r="I184" i="4" s="1"/>
  <c r="F67" i="4"/>
  <c r="G67" i="4" s="1"/>
  <c r="I67" i="4" s="1"/>
  <c r="F207" i="4"/>
  <c r="G207" i="4" s="1"/>
  <c r="I207" i="4" s="1"/>
  <c r="F88" i="4"/>
  <c r="F230" i="4"/>
  <c r="H230" i="4" s="1"/>
  <c r="F163" i="4"/>
  <c r="F191" i="4"/>
  <c r="G191" i="4" s="1"/>
  <c r="I191" i="4" s="1"/>
  <c r="F91" i="4"/>
  <c r="F76" i="4"/>
  <c r="G76" i="4" s="1"/>
  <c r="I76" i="4" s="1"/>
  <c r="F75" i="4"/>
  <c r="G75" i="4" s="1"/>
  <c r="I75" i="4" s="1"/>
  <c r="F116" i="4"/>
  <c r="F87" i="4"/>
  <c r="F233" i="4"/>
  <c r="F146" i="4"/>
  <c r="F190" i="4"/>
  <c r="G190" i="4" s="1"/>
  <c r="I190" i="4" s="1"/>
  <c r="F46" i="4"/>
  <c r="F51" i="4"/>
  <c r="F31" i="4"/>
  <c r="F25" i="4"/>
  <c r="G25" i="4" s="1"/>
  <c r="I25" i="4" s="1"/>
  <c r="F118" i="4"/>
  <c r="F136" i="4"/>
  <c r="F83" i="4"/>
  <c r="F56" i="4"/>
  <c r="F148" i="4"/>
  <c r="G148" i="4" s="1"/>
  <c r="I148" i="4" s="1"/>
  <c r="F143" i="4"/>
  <c r="G143" i="4" s="1"/>
  <c r="I143" i="4" s="1"/>
  <c r="F209" i="4"/>
  <c r="H209" i="4" s="1"/>
  <c r="F166" i="4"/>
  <c r="G166" i="4" s="1"/>
  <c r="I166" i="4" s="1"/>
  <c r="F35" i="4"/>
  <c r="F63" i="4"/>
  <c r="F109" i="4"/>
  <c r="G109" i="4" s="1"/>
  <c r="I109" i="4" s="1"/>
  <c r="F177" i="4"/>
  <c r="F11" i="4"/>
  <c r="F90" i="4"/>
  <c r="G90" i="4" s="1"/>
  <c r="I90" i="4" s="1"/>
  <c r="F126" i="4"/>
  <c r="H126" i="4" s="1"/>
  <c r="F153" i="4"/>
  <c r="F224" i="4"/>
  <c r="F78" i="4"/>
  <c r="G78" i="4" s="1"/>
  <c r="I78" i="4" s="1"/>
  <c r="F204" i="4"/>
  <c r="F132" i="4"/>
  <c r="F114" i="4"/>
  <c r="H114" i="4" s="1"/>
  <c r="F93" i="4"/>
  <c r="H93" i="4" s="1"/>
  <c r="F225" i="4"/>
  <c r="F161" i="4"/>
  <c r="F187" i="4"/>
  <c r="F54" i="4"/>
  <c r="F27" i="4"/>
  <c r="F77" i="4"/>
  <c r="H77" i="4" s="1"/>
  <c r="F139" i="4"/>
  <c r="G139" i="4" s="1"/>
  <c r="I139" i="4" s="1"/>
  <c r="F147" i="4"/>
  <c r="G147" i="4" s="1"/>
  <c r="I147" i="4" s="1"/>
  <c r="F79" i="4"/>
  <c r="F235" i="4"/>
  <c r="F102" i="4"/>
  <c r="F188" i="4"/>
  <c r="H188" i="4" s="1"/>
  <c r="F65" i="4"/>
  <c r="F214" i="4"/>
  <c r="H214" i="4" s="1"/>
  <c r="F239" i="4"/>
  <c r="G239" i="4" s="1"/>
  <c r="I239" i="4" s="1"/>
  <c r="F198" i="4"/>
  <c r="G198" i="4" s="1"/>
  <c r="I198" i="4" s="1"/>
  <c r="F26" i="4"/>
  <c r="F164" i="4"/>
  <c r="F82" i="4"/>
  <c r="F62" i="4"/>
  <c r="F215" i="4"/>
  <c r="G215" i="4" s="1"/>
  <c r="I215" i="4" s="1"/>
  <c r="F128" i="4"/>
  <c r="F218" i="4"/>
  <c r="F138" i="4"/>
  <c r="F242" i="4"/>
  <c r="F156" i="4"/>
  <c r="F12" i="4"/>
  <c r="F108" i="4"/>
  <c r="F133" i="4"/>
  <c r="F162" i="4"/>
  <c r="F217" i="4"/>
  <c r="F169" i="4"/>
  <c r="F213" i="4"/>
  <c r="H213" i="4" s="1"/>
  <c r="F6" i="4"/>
  <c r="H6" i="4" s="1"/>
  <c r="F228" i="4"/>
  <c r="F243" i="4"/>
  <c r="F165" i="4"/>
  <c r="F220" i="4"/>
  <c r="F24" i="4"/>
  <c r="H24" i="4" s="1"/>
  <c r="F189" i="4"/>
  <c r="F180" i="4"/>
  <c r="H180" i="4" s="1"/>
  <c r="F193" i="4"/>
  <c r="F5" i="4"/>
  <c r="F4" i="4"/>
  <c r="H4" i="4" s="1"/>
  <c r="H190" i="4" l="1"/>
  <c r="H243" i="4"/>
  <c r="G243" i="4"/>
  <c r="I243" i="4" s="1"/>
  <c r="H241" i="4"/>
  <c r="G241" i="4"/>
  <c r="I241" i="4" s="1"/>
  <c r="H55" i="4"/>
  <c r="G55" i="4"/>
  <c r="I55" i="4" s="1"/>
  <c r="H17" i="4"/>
  <c r="G214" i="4"/>
  <c r="I214" i="4" s="1"/>
  <c r="H199" i="4"/>
  <c r="G199" i="4"/>
  <c r="I199" i="4" s="1"/>
  <c r="H220" i="4"/>
  <c r="G220" i="4"/>
  <c r="I220" i="4" s="1"/>
  <c r="G146" i="4"/>
  <c r="I146" i="4" s="1"/>
  <c r="H146" i="4"/>
  <c r="G226" i="4"/>
  <c r="I226" i="4" s="1"/>
  <c r="H226" i="4"/>
  <c r="G163" i="4"/>
  <c r="I163" i="4" s="1"/>
  <c r="H163" i="4"/>
  <c r="H222" i="4"/>
  <c r="G222" i="4"/>
  <c r="I222" i="4" s="1"/>
  <c r="G140" i="4"/>
  <c r="I140" i="4" s="1"/>
  <c r="G188" i="4"/>
  <c r="I188" i="4" s="1"/>
  <c r="H66" i="4"/>
  <c r="G66" i="4"/>
  <c r="I66" i="4" s="1"/>
  <c r="H113" i="4"/>
  <c r="G113" i="4"/>
  <c r="I113" i="4" s="1"/>
  <c r="H120" i="4"/>
  <c r="G120" i="4"/>
  <c r="I120" i="4" s="1"/>
  <c r="H62" i="4"/>
  <c r="G62" i="4"/>
  <c r="I62" i="4" s="1"/>
  <c r="H98" i="4"/>
  <c r="G98" i="4"/>
  <c r="I98" i="4" s="1"/>
  <c r="G134" i="4"/>
  <c r="I134" i="4" s="1"/>
  <c r="H90" i="4"/>
  <c r="H96" i="4"/>
  <c r="H232" i="4"/>
  <c r="G232" i="4"/>
  <c r="I232" i="4" s="1"/>
  <c r="H27" i="4"/>
  <c r="G27" i="4"/>
  <c r="I27" i="4" s="1"/>
  <c r="H227" i="4"/>
  <c r="G227" i="4"/>
  <c r="I227" i="4" s="1"/>
  <c r="G208" i="4"/>
  <c r="I208" i="4" s="1"/>
  <c r="H208" i="4"/>
  <c r="G219" i="4"/>
  <c r="I219" i="4" s="1"/>
  <c r="H219" i="4"/>
  <c r="G64" i="4"/>
  <c r="I64" i="4" s="1"/>
  <c r="H64" i="4"/>
  <c r="H195" i="4"/>
  <c r="G195" i="4"/>
  <c r="I195" i="4" s="1"/>
  <c r="H58" i="4"/>
  <c r="G58" i="4"/>
  <c r="I58" i="4" s="1"/>
  <c r="G79" i="4"/>
  <c r="I79" i="4" s="1"/>
  <c r="H79" i="4"/>
  <c r="G233" i="4"/>
  <c r="I233" i="4" s="1"/>
  <c r="H233" i="4"/>
  <c r="H228" i="4"/>
  <c r="G228" i="4"/>
  <c r="I228" i="4" s="1"/>
  <c r="G168" i="4"/>
  <c r="I168" i="4" s="1"/>
  <c r="H168" i="4"/>
  <c r="G44" i="4"/>
  <c r="I44" i="4" s="1"/>
  <c r="H44" i="4"/>
  <c r="H162" i="4"/>
  <c r="G162" i="4"/>
  <c r="I162" i="4" s="1"/>
  <c r="G152" i="4"/>
  <c r="I152" i="4" s="1"/>
  <c r="H152" i="4"/>
  <c r="G194" i="4"/>
  <c r="I194" i="4" s="1"/>
  <c r="G209" i="4"/>
  <c r="I209" i="4" s="1"/>
  <c r="H207" i="4"/>
  <c r="H115" i="4"/>
  <c r="H67" i="4"/>
  <c r="H141" i="4"/>
  <c r="H121" i="4"/>
  <c r="H75" i="4"/>
  <c r="G231" i="4"/>
  <c r="I231" i="4" s="1"/>
  <c r="H57" i="4"/>
  <c r="G200" i="4"/>
  <c r="I200" i="4" s="1"/>
  <c r="G29" i="4"/>
  <c r="I29" i="4" s="1"/>
  <c r="H29" i="4"/>
  <c r="G138" i="4"/>
  <c r="I138" i="4" s="1"/>
  <c r="H138" i="4"/>
  <c r="G18" i="4"/>
  <c r="I18" i="4" s="1"/>
  <c r="H18" i="4"/>
  <c r="G73" i="4"/>
  <c r="I73" i="4" s="1"/>
  <c r="H73" i="4"/>
  <c r="G136" i="4"/>
  <c r="I136" i="4" s="1"/>
  <c r="H136" i="4"/>
  <c r="G52" i="4"/>
  <c r="I52" i="4" s="1"/>
  <c r="H52" i="4"/>
  <c r="G16" i="4"/>
  <c r="I16" i="4" s="1"/>
  <c r="H16" i="4"/>
  <c r="H10" i="4"/>
  <c r="H139" i="4"/>
  <c r="G24" i="4"/>
  <c r="I24" i="4" s="1"/>
  <c r="G30" i="4"/>
  <c r="I30" i="4" s="1"/>
  <c r="G74" i="4"/>
  <c r="I74" i="4" s="1"/>
  <c r="G103" i="4"/>
  <c r="I103" i="4" s="1"/>
  <c r="G93" i="4"/>
  <c r="I93" i="4" s="1"/>
  <c r="G53" i="4"/>
  <c r="I53" i="4" s="1"/>
  <c r="H144" i="4"/>
  <c r="H129" i="4"/>
  <c r="H47" i="4"/>
  <c r="G47" i="4"/>
  <c r="I47" i="4" s="1"/>
  <c r="H94" i="4"/>
  <c r="G94" i="4"/>
  <c r="I94" i="4" s="1"/>
  <c r="G197" i="4"/>
  <c r="I197" i="4" s="1"/>
  <c r="H197" i="4"/>
  <c r="H165" i="4"/>
  <c r="G165" i="4"/>
  <c r="I165" i="4" s="1"/>
  <c r="H122" i="4"/>
  <c r="G122" i="4"/>
  <c r="I122" i="4" s="1"/>
  <c r="G41" i="4"/>
  <c r="I41" i="4" s="1"/>
  <c r="H41" i="4"/>
  <c r="H23" i="4"/>
  <c r="G23" i="4"/>
  <c r="I23" i="4" s="1"/>
  <c r="H72" i="4"/>
  <c r="G72" i="4"/>
  <c r="I72" i="4" s="1"/>
  <c r="H32" i="4"/>
  <c r="G32" i="4"/>
  <c r="I32" i="4" s="1"/>
  <c r="H229" i="4"/>
  <c r="G229" i="4"/>
  <c r="I229" i="4" s="1"/>
  <c r="G9" i="4"/>
  <c r="I9" i="4" s="1"/>
  <c r="H9" i="4"/>
  <c r="G224" i="4"/>
  <c r="I224" i="4" s="1"/>
  <c r="H224" i="4"/>
  <c r="H217" i="4"/>
  <c r="G217" i="4"/>
  <c r="I217" i="4" s="1"/>
  <c r="H172" i="4"/>
  <c r="G172" i="4"/>
  <c r="I172" i="4" s="1"/>
  <c r="H5" i="4"/>
  <c r="G5" i="4"/>
  <c r="I5" i="4" s="1"/>
  <c r="G153" i="4"/>
  <c r="I153" i="4" s="1"/>
  <c r="H153" i="4"/>
  <c r="H135" i="4"/>
  <c r="G135" i="4"/>
  <c r="I135" i="4" s="1"/>
  <c r="H161" i="4"/>
  <c r="G161" i="4"/>
  <c r="I161" i="4" s="1"/>
  <c r="H149" i="4"/>
  <c r="G149" i="4"/>
  <c r="I149" i="4" s="1"/>
  <c r="H218" i="4"/>
  <c r="G218" i="4"/>
  <c r="I218" i="4" s="1"/>
  <c r="H236" i="4"/>
  <c r="G236" i="4"/>
  <c r="I236" i="4" s="1"/>
  <c r="H87" i="4"/>
  <c r="G87" i="4"/>
  <c r="I87" i="4" s="1"/>
  <c r="H82" i="4"/>
  <c r="G82" i="4"/>
  <c r="I82" i="4" s="1"/>
  <c r="H133" i="4"/>
  <c r="G133" i="4"/>
  <c r="I133" i="4" s="1"/>
  <c r="H174" i="4"/>
  <c r="G174" i="4"/>
  <c r="I174" i="4" s="1"/>
  <c r="G56" i="4"/>
  <c r="I56" i="4" s="1"/>
  <c r="H56" i="4"/>
  <c r="G54" i="4"/>
  <c r="I54" i="4" s="1"/>
  <c r="H54" i="4"/>
  <c r="G131" i="4"/>
  <c r="I131" i="4" s="1"/>
  <c r="H131" i="4"/>
  <c r="G102" i="4"/>
  <c r="I102" i="4" s="1"/>
  <c r="H102" i="4"/>
  <c r="H46" i="4"/>
  <c r="G46" i="4"/>
  <c r="I46" i="4" s="1"/>
  <c r="G127" i="4"/>
  <c r="I127" i="4" s="1"/>
  <c r="H127" i="4"/>
  <c r="H167" i="4"/>
  <c r="G167" i="4"/>
  <c r="I167" i="4" s="1"/>
  <c r="G155" i="4"/>
  <c r="I155" i="4" s="1"/>
  <c r="H155" i="4"/>
  <c r="H176" i="4"/>
  <c r="G176" i="4"/>
  <c r="I176" i="4" s="1"/>
  <c r="H100" i="4"/>
  <c r="G100" i="4"/>
  <c r="I100" i="4" s="1"/>
  <c r="G35" i="4"/>
  <c r="I35" i="4" s="1"/>
  <c r="H35" i="4"/>
  <c r="G193" i="4"/>
  <c r="I193" i="4" s="1"/>
  <c r="H193" i="4"/>
  <c r="H51" i="4"/>
  <c r="G51" i="4"/>
  <c r="I51" i="4" s="1"/>
  <c r="G159" i="4"/>
  <c r="I159" i="4" s="1"/>
  <c r="H159" i="4"/>
  <c r="G97" i="4"/>
  <c r="I97" i="4" s="1"/>
  <c r="H97" i="4"/>
  <c r="H158" i="4"/>
  <c r="G158" i="4"/>
  <c r="I158" i="4" s="1"/>
  <c r="H119" i="4"/>
  <c r="G119" i="4"/>
  <c r="I119" i="4" s="1"/>
  <c r="G21" i="4"/>
  <c r="I21" i="4" s="1"/>
  <c r="H21" i="4"/>
  <c r="H192" i="4"/>
  <c r="G192" i="4"/>
  <c r="I192" i="4" s="1"/>
  <c r="G201" i="4"/>
  <c r="I201" i="4" s="1"/>
  <c r="H201" i="4"/>
  <c r="G180" i="4"/>
  <c r="I180" i="4" s="1"/>
  <c r="G160" i="4"/>
  <c r="I160" i="4" s="1"/>
  <c r="H25" i="4"/>
  <c r="H101" i="4"/>
  <c r="H198" i="4"/>
  <c r="H34" i="4"/>
  <c r="G212" i="4"/>
  <c r="I212" i="4" s="1"/>
  <c r="H142" i="4"/>
  <c r="G112" i="4"/>
  <c r="I112" i="4" s="1"/>
  <c r="H76" i="4"/>
  <c r="H143" i="4"/>
  <c r="H186" i="4"/>
  <c r="G85" i="4"/>
  <c r="I85" i="4" s="1"/>
  <c r="G213" i="4"/>
  <c r="I213" i="4" s="1"/>
  <c r="H148" i="4"/>
  <c r="H179" i="4"/>
  <c r="H117" i="4"/>
  <c r="H99" i="4"/>
  <c r="H59" i="4"/>
  <c r="H191" i="4"/>
  <c r="H147" i="4"/>
  <c r="H215" i="4"/>
  <c r="H238" i="4"/>
  <c r="H184" i="4"/>
  <c r="G211" i="4"/>
  <c r="I211" i="4" s="1"/>
  <c r="G20" i="4"/>
  <c r="I20" i="4" s="1"/>
  <c r="G154" i="4"/>
  <c r="I154" i="4" s="1"/>
  <c r="H104" i="4"/>
  <c r="G6" i="4"/>
  <c r="I6" i="4" s="1"/>
  <c r="G12" i="4"/>
  <c r="I12" i="4" s="1"/>
  <c r="H12" i="4"/>
  <c r="G189" i="4"/>
  <c r="I189" i="4" s="1"/>
  <c r="H189" i="4"/>
  <c r="H235" i="4"/>
  <c r="G235" i="4"/>
  <c r="I235" i="4" s="1"/>
  <c r="G157" i="4"/>
  <c r="I157" i="4" s="1"/>
  <c r="H157" i="4"/>
  <c r="H123" i="4"/>
  <c r="G123" i="4"/>
  <c r="I123" i="4" s="1"/>
  <c r="H36" i="4"/>
  <c r="G36" i="4"/>
  <c r="I36" i="4" s="1"/>
  <c r="G92" i="4"/>
  <c r="I92" i="4" s="1"/>
  <c r="H92" i="4"/>
  <c r="H210" i="4"/>
  <c r="G210" i="4"/>
  <c r="I210" i="4" s="1"/>
  <c r="G88" i="4"/>
  <c r="I88" i="4" s="1"/>
  <c r="H88" i="4"/>
  <c r="G86" i="4"/>
  <c r="I86" i="4" s="1"/>
  <c r="H86" i="4"/>
  <c r="H169" i="4"/>
  <c r="G169" i="4"/>
  <c r="I169" i="4" s="1"/>
  <c r="H49" i="4"/>
  <c r="H8" i="4"/>
  <c r="G8" i="4"/>
  <c r="I8" i="4" s="1"/>
  <c r="G38" i="4"/>
  <c r="I38" i="4" s="1"/>
  <c r="G80" i="4"/>
  <c r="I80" i="4" s="1"/>
  <c r="H80" i="4"/>
  <c r="H15" i="4"/>
  <c r="G15" i="4"/>
  <c r="I15" i="4" s="1"/>
  <c r="G70" i="4"/>
  <c r="I70" i="4" s="1"/>
  <c r="H70" i="4"/>
  <c r="G84" i="4"/>
  <c r="I84" i="4" s="1"/>
  <c r="H84" i="4"/>
  <c r="G177" i="4"/>
  <c r="I177" i="4" s="1"/>
  <c r="H177" i="4"/>
  <c r="H216" i="4"/>
  <c r="G242" i="4"/>
  <c r="I242" i="4" s="1"/>
  <c r="H242" i="4"/>
  <c r="H65" i="4"/>
  <c r="G65" i="4"/>
  <c r="I65" i="4" s="1"/>
  <c r="G7" i="4"/>
  <c r="I7" i="4" s="1"/>
  <c r="H7" i="4"/>
  <c r="H166" i="4"/>
  <c r="H106" i="4"/>
  <c r="G145" i="4"/>
  <c r="I145" i="4" s="1"/>
  <c r="H145" i="4"/>
  <c r="H221" i="4"/>
  <c r="H237" i="4"/>
  <c r="G237" i="4"/>
  <c r="I237" i="4" s="1"/>
  <c r="H205" i="4"/>
  <c r="G205" i="4"/>
  <c r="I205" i="4" s="1"/>
  <c r="G178" i="4"/>
  <c r="I178" i="4" s="1"/>
  <c r="H178" i="4"/>
  <c r="H31" i="4"/>
  <c r="G31" i="4"/>
  <c r="I31" i="4" s="1"/>
  <c r="G19" i="4"/>
  <c r="I19" i="4" s="1"/>
  <c r="H19" i="4"/>
  <c r="H187" i="4"/>
  <c r="G187" i="4"/>
  <c r="I187" i="4" s="1"/>
  <c r="G37" i="4"/>
  <c r="I37" i="4" s="1"/>
  <c r="H37" i="4"/>
  <c r="G111" i="4"/>
  <c r="I111" i="4" s="1"/>
  <c r="H111" i="4"/>
  <c r="H124" i="4"/>
  <c r="G124" i="4"/>
  <c r="I124" i="4" s="1"/>
  <c r="H11" i="4"/>
  <c r="G11" i="4"/>
  <c r="I11" i="4" s="1"/>
  <c r="H185" i="4"/>
  <c r="G185" i="4"/>
  <c r="I185" i="4" s="1"/>
  <c r="G48" i="4"/>
  <c r="I48" i="4" s="1"/>
  <c r="H48" i="4"/>
  <c r="G196" i="4"/>
  <c r="I196" i="4" s="1"/>
  <c r="H196" i="4"/>
  <c r="H223" i="4"/>
  <c r="H182" i="4"/>
  <c r="G182" i="4"/>
  <c r="I182" i="4" s="1"/>
  <c r="H202" i="4"/>
  <c r="G202" i="4"/>
  <c r="I202" i="4" s="1"/>
  <c r="H183" i="4"/>
  <c r="G183" i="4"/>
  <c r="I183" i="4" s="1"/>
  <c r="G116" i="4"/>
  <c r="I116" i="4" s="1"/>
  <c r="H116" i="4"/>
  <c r="G14" i="4"/>
  <c r="I14" i="4" s="1"/>
  <c r="H14" i="4"/>
  <c r="H39" i="4"/>
  <c r="G4" i="4"/>
  <c r="I4" i="4" s="1"/>
  <c r="H164" i="4"/>
  <c r="G164" i="4"/>
  <c r="I164" i="4" s="1"/>
  <c r="H170" i="4"/>
  <c r="G170" i="4"/>
  <c r="I170" i="4" s="1"/>
  <c r="G45" i="4"/>
  <c r="I45" i="4" s="1"/>
  <c r="H45" i="4"/>
  <c r="G107" i="4"/>
  <c r="I107" i="4" s="1"/>
  <c r="H107" i="4"/>
  <c r="H68" i="4"/>
  <c r="G68" i="4"/>
  <c r="I68" i="4" s="1"/>
  <c r="G132" i="4"/>
  <c r="I132" i="4" s="1"/>
  <c r="H132" i="4"/>
  <c r="H33" i="4"/>
  <c r="G33" i="4"/>
  <c r="I33" i="4" s="1"/>
  <c r="G13" i="4"/>
  <c r="I13" i="4" s="1"/>
  <c r="H13" i="4"/>
  <c r="G110" i="4"/>
  <c r="I110" i="4" s="1"/>
  <c r="H110" i="4"/>
  <c r="G150" i="4"/>
  <c r="I150" i="4" s="1"/>
  <c r="H150" i="4"/>
  <c r="G234" i="4"/>
  <c r="I234" i="4" s="1"/>
  <c r="H234" i="4"/>
  <c r="G206" i="4"/>
  <c r="I206" i="4" s="1"/>
  <c r="H206" i="4"/>
  <c r="H128" i="4"/>
  <c r="G128" i="4"/>
  <c r="I128" i="4" s="1"/>
  <c r="G240" i="4"/>
  <c r="I240" i="4" s="1"/>
  <c r="H240" i="4"/>
  <c r="G89" i="4"/>
  <c r="I89" i="4" s="1"/>
  <c r="H89" i="4"/>
  <c r="H105" i="4"/>
  <c r="G105" i="4"/>
  <c r="I105" i="4" s="1"/>
  <c r="G28" i="4"/>
  <c r="I28" i="4" s="1"/>
  <c r="H28" i="4"/>
  <c r="G156" i="4"/>
  <c r="I156" i="4" s="1"/>
  <c r="H156" i="4"/>
  <c r="G225" i="4"/>
  <c r="I225" i="4" s="1"/>
  <c r="H225" i="4"/>
  <c r="G130" i="4"/>
  <c r="I130" i="4" s="1"/>
  <c r="H130" i="4"/>
  <c r="H83" i="4"/>
  <c r="G83" i="4"/>
  <c r="I83" i="4" s="1"/>
  <c r="G63" i="4"/>
  <c r="I63" i="4" s="1"/>
  <c r="H63" i="4"/>
  <c r="G118" i="4"/>
  <c r="I118" i="4" s="1"/>
  <c r="H118" i="4"/>
  <c r="G42" i="4"/>
  <c r="I42" i="4" s="1"/>
  <c r="H42" i="4"/>
  <c r="H69" i="4"/>
  <c r="G69" i="4"/>
  <c r="I69" i="4" s="1"/>
  <c r="H137" i="4"/>
  <c r="G137" i="4"/>
  <c r="I137" i="4" s="1"/>
  <c r="G81" i="4"/>
  <c r="I81" i="4" s="1"/>
  <c r="H61" i="4"/>
  <c r="G61" i="4"/>
  <c r="I61" i="4" s="1"/>
  <c r="G77" i="4"/>
  <c r="I77" i="4" s="1"/>
  <c r="H181" i="4"/>
  <c r="G26" i="4"/>
  <c r="I26" i="4" s="1"/>
  <c r="H26" i="4"/>
  <c r="H91" i="4"/>
  <c r="G91" i="4"/>
  <c r="I91" i="4" s="1"/>
  <c r="G95" i="4"/>
  <c r="I95" i="4" s="1"/>
  <c r="H95" i="4"/>
  <c r="H50" i="4"/>
  <c r="G50" i="4"/>
  <c r="I50" i="4" s="1"/>
  <c r="H40" i="4"/>
  <c r="G40" i="4"/>
  <c r="I40" i="4" s="1"/>
  <c r="H109" i="4"/>
  <c r="H203" i="4"/>
  <c r="G203" i="4"/>
  <c r="I203" i="4" s="1"/>
  <c r="H43" i="4"/>
  <c r="G125" i="4"/>
  <c r="I125" i="4" s="1"/>
  <c r="H125" i="4"/>
  <c r="H22" i="4"/>
  <c r="H60" i="4"/>
  <c r="H151" i="4"/>
  <c r="H239" i="4"/>
  <c r="H171" i="4"/>
  <c r="G230" i="4"/>
  <c r="I230" i="4" s="1"/>
  <c r="G71" i="4"/>
  <c r="I71" i="4" s="1"/>
  <c r="G175" i="4"/>
  <c r="I175" i="4" s="1"/>
  <c r="G126" i="4"/>
  <c r="I126" i="4" s="1"/>
  <c r="H78" i="4"/>
  <c r="H108" i="4"/>
  <c r="G108" i="4"/>
  <c r="I108" i="4" s="1"/>
  <c r="H173" i="4"/>
  <c r="G114" i="4"/>
  <c r="I114" i="4" s="1"/>
  <c r="H204" i="4"/>
  <c r="G204" i="4"/>
  <c r="I2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H9" authorId="0" shapeId="0" xr:uid="{00000000-0006-0000-0500-000001000000}">
      <text>
        <r>
          <rPr>
            <b/>
            <sz val="9"/>
            <color indexed="81"/>
            <rFont val="Tahoma"/>
            <family val="2"/>
          </rPr>
          <t>FAVERAIS Laurent:</t>
        </r>
        <r>
          <rPr>
            <sz val="9"/>
            <color indexed="81"/>
            <rFont val="Tahoma"/>
            <family val="2"/>
          </rPr>
          <t xml:space="preserve">
Afficher les param du TCD
sélectionner les mois désirés dans "mois numéros" dans la partie haute des options du TCD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0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0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1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1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2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2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3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3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B1" authorId="0" shapeId="0" xr:uid="{00000000-0006-0000-2400-000001000000}">
      <text>
        <r>
          <rPr>
            <sz val="9"/>
            <color indexed="81"/>
            <rFont val="Tahoma"/>
            <family val="2"/>
          </rPr>
          <t xml:space="preserve">
Saisir ici les quantités stockées dans votre réservoir, cuve, silo…
En cas de remplissage, saisir ici la quantité avant remplissage</t>
        </r>
      </text>
    </comment>
    <comment ref="C1" authorId="0" shapeId="0" xr:uid="{00000000-0006-0000-2400-000002000000}">
      <text>
        <r>
          <rPr>
            <sz val="9"/>
            <color indexed="81"/>
            <rFont val="Tahoma"/>
            <family val="2"/>
          </rPr>
          <t xml:space="preserve">
Veuillez saisir la quantité remise dans le stockage</t>
        </r>
      </text>
    </comment>
    <comment ref="D1" authorId="0" shapeId="0" xr:uid="{00000000-0006-0000-2400-000003000000}">
      <text>
        <r>
          <rPr>
            <sz val="9"/>
            <color indexed="81"/>
            <rFont val="Tahoma"/>
            <family val="2"/>
          </rPr>
          <t xml:space="preserve">
Veuillez saisir ici la quantité restante après remplissage</t>
        </r>
      </text>
    </comment>
    <comment ref="F1" authorId="0" shapeId="0" xr:uid="{00000000-0006-0000-2400-000004000000}">
      <text>
        <r>
          <rPr>
            <sz val="9"/>
            <color indexed="81"/>
            <rFont val="Tahoma"/>
            <family val="2"/>
          </rPr>
          <t xml:space="preserve">
Copiez/Collez (valeur) les 2 colonnes "fin de période" et "Quantité" dans l'onglet correspondant à la consommation</t>
        </r>
      </text>
    </comment>
    <comment ref="G1" authorId="0" shapeId="0" xr:uid="{00000000-0006-0000-2400-000005000000}">
      <text>
        <r>
          <rPr>
            <sz val="9"/>
            <color indexed="81"/>
            <rFont val="Tahoma"/>
            <family val="2"/>
          </rPr>
          <t xml:space="preserve">
Copiez/Collez (valeur) les 2 colonnes "fin de période" et "Quantité" dans l'onglet correspondant à la consommation
</t>
        </r>
      </text>
    </comment>
    <comment ref="D2" authorId="0" shapeId="0" xr:uid="{F492C479-DC9D-431A-B425-B1397DAF9415}">
      <text>
        <r>
          <rPr>
            <b/>
            <sz val="9"/>
            <color indexed="81"/>
            <rFont val="Tahoma"/>
            <family val="2"/>
          </rPr>
          <t>FAVERAIS Laurent:</t>
        </r>
        <r>
          <rPr>
            <sz val="9"/>
            <color indexed="81"/>
            <rFont val="Tahoma"/>
            <family val="2"/>
          </rPr>
          <t xml:space="preserve">
Formule si besoin de la remettre :
=SI([@[Quantité restante dans la cuve
(si remplissage, valeur 
avant le plein)]]&lt;=0;"";[@[Quantité restante dans la cuve
(si remplissage, valeur 
avant le plein)]]+[@[Remplissage / 
Quantité remise]])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Fabien Rouault</author>
    <author>FAVERAIS Laurent</author>
  </authors>
  <commentList>
    <comment ref="D7" authorId="0" shapeId="0" xr:uid="{00000000-0006-0000-0300-000001000000}">
      <text>
        <r>
          <rPr>
            <sz val="9"/>
            <color indexed="81"/>
            <rFont val="Tahoma"/>
            <family val="2"/>
          </rPr>
          <t xml:space="preserve">Si la surface chauffé est inconnue ou égale à la surface totale, copiez/collez les valeurs de la surface totale 
</t>
        </r>
      </text>
    </comment>
    <comment ref="E7" authorId="0" shapeId="0" xr:uid="{00000000-0006-0000-0300-000002000000}">
      <text>
        <r>
          <rPr>
            <sz val="9"/>
            <color indexed="81"/>
            <rFont val="Tahoma"/>
            <family val="2"/>
          </rPr>
          <t xml:space="preserve">Si la surface refroidie est inconnue ou négligeable par rapport à la surface totale du bâtiment vous pouvez laisser la colonne vide
</t>
        </r>
      </text>
    </comment>
    <comment ref="H7" authorId="0" shapeId="0" xr:uid="{00000000-0006-0000-0300-000003000000}">
      <text>
        <r>
          <rPr>
            <sz val="9"/>
            <color indexed="81"/>
            <rFont val="Tahoma"/>
            <family val="2"/>
          </rPr>
          <t>La valeur Cabs est l'objectif de consommation en valeur aboslue calculé par la plateforme OPERAT. Elle permet de calculer l'ajustement climatique du chauffage et du refroidissement.</t>
        </r>
      </text>
    </comment>
    <comment ref="C8" authorId="1" shapeId="0" xr:uid="{0113CE4D-B7D6-4102-9BA3-E583059F092F}">
      <text>
        <r>
          <rPr>
            <b/>
            <sz val="9"/>
            <color indexed="81"/>
            <rFont val="Tahoma"/>
            <family val="2"/>
          </rPr>
          <t>FAVERAIS Laurent:</t>
        </r>
        <r>
          <rPr>
            <sz val="9"/>
            <color indexed="81"/>
            <rFont val="Tahoma"/>
            <family val="2"/>
          </rPr>
          <t xml:space="preserve">
Formule à copier pour récupérer la valeur calculée par la partie DEET
=SOMME.SI.ENS('Surface DEET'!$F$9:$F$38;'Surface DEET'!$B$9:$B$38;"&lt;="&amp;Site!$B8;'Surface DEET'!$C$9:$C$38;"&gt;="&amp;Site!$B8)</t>
        </r>
      </text>
    </comment>
    <comment ref="D8" authorId="1" shapeId="0" xr:uid="{221BCF59-7BB8-4720-9890-1BFBDABF6C59}">
      <text>
        <r>
          <rPr>
            <b/>
            <sz val="9"/>
            <color indexed="81"/>
            <rFont val="Tahoma"/>
            <family val="2"/>
          </rPr>
          <t>FAVERAIS Laurent:</t>
        </r>
        <r>
          <rPr>
            <sz val="9"/>
            <color indexed="81"/>
            <rFont val="Tahoma"/>
            <family val="2"/>
          </rPr>
          <t xml:space="preserve">
Formule à copier pour récupérer la valeur calculée par la partie DEET =SOMME.SI.ENS('Surface DEET'!$F$9:$F$38;'Surface DEET'!$B$9:$B$38;"&lt;="&amp;Site!$B8;'Surface DEET'!$C$9:$C$38;"&gt;="&amp;Site!$B8;'Surface DEET'!$G$9:$G$38;"Oui")</t>
        </r>
      </text>
    </comment>
    <comment ref="E8" authorId="1" shapeId="0" xr:uid="{71E5AB1D-B838-4046-99A0-AEE9E612E0FB}">
      <text>
        <r>
          <rPr>
            <b/>
            <sz val="9"/>
            <color indexed="81"/>
            <rFont val="Tahoma"/>
            <family val="2"/>
          </rPr>
          <t>FAVERAIS Laurent:</t>
        </r>
        <r>
          <rPr>
            <sz val="9"/>
            <color indexed="81"/>
            <rFont val="Tahoma"/>
            <family val="2"/>
          </rPr>
          <t xml:space="preserve">
Formule à copier pour récupérer la valeur calculée par la partie 
=SOMME.SI.ENS('Surface DEET'!$F$9:$F$38;'Surface DEET'!$B$9:$B$38;"&lt;="&amp;Site!$B8;'Surface DEET'!$C$9:$C$38;"&gt;="&amp;Site!$B8;'Surface DEET'!$H$9:$H$38;"Oui")</t>
        </r>
      </text>
    </comment>
    <comment ref="H8" authorId="1" shapeId="0" xr:uid="{6A0B3F25-128C-4803-97D6-FD2864259956}">
      <text>
        <r>
          <rPr>
            <b/>
            <sz val="9"/>
            <color indexed="81"/>
            <rFont val="Tahoma"/>
            <family val="2"/>
          </rPr>
          <t>FAVERAIS Laurent:</t>
        </r>
        <r>
          <rPr>
            <sz val="9"/>
            <color indexed="81"/>
            <rFont val="Tahoma"/>
            <family val="2"/>
          </rPr>
          <t xml:space="preserve">
Formule à copier pour récupérer la valeur calculée par la partie 
=SIERREUR(SOMME.SI.ENS('Surface DEET'!$X$9:$X$38;'Surface DEET'!$B$9:$B$38;"&lt;="&amp;Site!$B8;'Surface DEET'!$C$9:$C$38;"&gt;="&amp;Site!$B8)/C8;"")</t>
        </r>
      </text>
    </comment>
    <comment ref="C30" authorId="0" shapeId="0" xr:uid="{00000000-0006-0000-0300-000004000000}">
      <text>
        <r>
          <rPr>
            <sz val="9"/>
            <color indexed="81"/>
            <rFont val="Tahoma"/>
            <family val="2"/>
          </rPr>
          <t xml:space="preserve">Indiquez l'activité principale du site pour la comparaison avec les indicateurs régionaux </t>
        </r>
      </text>
    </comment>
    <comment ref="C37" authorId="0" shapeId="0" xr:uid="{00000000-0006-0000-0300-000006000000}">
      <text>
        <r>
          <rPr>
            <sz val="9"/>
            <color indexed="81"/>
            <rFont val="Tahoma"/>
            <family val="2"/>
          </rPr>
          <t xml:space="preserve">Indiquez un nom au compteur pour le reconnaitre dans les onglets "Suvi Compteur" et "Suivi Sous_compteur"
</t>
        </r>
      </text>
    </comment>
    <comment ref="I37" authorId="0" shapeId="0" xr:uid="{00000000-0006-0000-0300-000007000000}">
      <text>
        <r>
          <rPr>
            <sz val="9"/>
            <color indexed="81"/>
            <rFont val="Tahoma"/>
            <family val="2"/>
          </rPr>
          <t>Pour un remplissage automatique des dates, vous pouvez indiquer la première date de lecture du compteur ou de facturation ainsi que la fréquence 
Vous pouvez également supprimer le pré-remplissage et entrer les dates en particulier pour les combustibles stockables</t>
        </r>
      </text>
    </comment>
    <comment ref="B47" authorId="0" shapeId="0" xr:uid="{00000000-0006-0000-0300-000008000000}">
      <text>
        <r>
          <rPr>
            <b/>
            <sz val="9"/>
            <color indexed="81"/>
            <rFont val="Tahoma"/>
            <family val="2"/>
          </rPr>
          <t xml:space="preserve">Indiquez la station sélectionnée sur OPERAT:
</t>
        </r>
        <r>
          <rPr>
            <sz val="9"/>
            <color indexed="81"/>
            <rFont val="Tahoma"/>
            <family val="2"/>
          </rPr>
          <t>Détermine principalement l'ajustement climatique pour le Décret Tertiaire
L'altitude modifie les valeurs prises en compte pour la valeur Cabs calculée par défaut</t>
        </r>
      </text>
    </comment>
    <comment ref="C61" authorId="0" shapeId="0" xr:uid="{00000000-0006-0000-0300-000009000000}">
      <text>
        <r>
          <rPr>
            <sz val="9"/>
            <color indexed="81"/>
            <rFont val="Tahoma"/>
            <family val="2"/>
          </rPr>
          <t xml:space="preserve">L'onglet Choix DEET peut vous permettre de vérifier votre choix d'année de référence en considérant l'ajustement climatique.
</t>
        </r>
      </text>
    </comment>
    <comment ref="C63" authorId="1" shapeId="0" xr:uid="{74BB892F-A47A-4E6D-9303-01E8CC813D86}">
      <text>
        <r>
          <rPr>
            <b/>
            <sz val="9"/>
            <color indexed="81"/>
            <rFont val="Tahoma"/>
            <family val="2"/>
          </rPr>
          <t>FAVERAIS Laurent:</t>
        </r>
        <r>
          <rPr>
            <sz val="9"/>
            <color indexed="81"/>
            <rFont val="Tahoma"/>
            <family val="2"/>
          </rPr>
          <t xml:space="preserve">
Valeur la plus favorable issue de vos données</t>
        </r>
      </text>
    </comment>
    <comment ref="C65" authorId="0" shapeId="0" xr:uid="{00000000-0006-0000-0300-00000A000000}">
      <text>
        <r>
          <rPr>
            <sz val="9"/>
            <color indexed="81"/>
            <rFont val="Tahoma"/>
            <family val="2"/>
          </rPr>
          <t xml:space="preserve">Pour un calcul adéquat des indicateurs annuels, l'année doit être couverte du 1er janvier au 31 décembre </t>
        </r>
      </text>
    </comment>
    <comment ref="H73" authorId="1" shapeId="0" xr:uid="{00000000-0006-0000-0300-00000B000000}">
      <text>
        <r>
          <rPr>
            <b/>
            <sz val="9"/>
            <color indexed="81"/>
            <rFont val="Tahoma"/>
            <family val="2"/>
          </rPr>
          <t>FAVERAIS Laurent:</t>
        </r>
        <r>
          <rPr>
            <sz val="9"/>
            <color indexed="81"/>
            <rFont val="Tahoma"/>
            <family val="2"/>
          </rPr>
          <t xml:space="preserve">
Valeur moyenne = 70% pour un EHPAD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P22" authorId="0" shapeId="0" xr:uid="{C7D463F0-B68C-4F77-A8F7-96A27ABA049F}">
      <text>
        <r>
          <rPr>
            <b/>
            <sz val="9"/>
            <color indexed="81"/>
            <rFont val="Tahoma"/>
            <family val="2"/>
          </rPr>
          <t>FAVERAIS Laurent:</t>
        </r>
        <r>
          <rPr>
            <sz val="9"/>
            <color indexed="81"/>
            <rFont val="Tahoma"/>
            <family val="2"/>
          </rPr>
          <t xml:space="preserve">
Talon Thermique = conso estivale ramenée au mois et divisée la surface de l'établissement
</t>
        </r>
      </text>
    </comment>
    <comment ref="P27" authorId="0" shapeId="0" xr:uid="{873506AB-877E-4593-9A5B-1A96A07BCF03}">
      <text>
        <r>
          <rPr>
            <b/>
            <sz val="9"/>
            <color indexed="81"/>
            <rFont val="Tahoma"/>
            <family val="2"/>
          </rPr>
          <t>FAVERAIS Laurent:</t>
        </r>
        <r>
          <rPr>
            <sz val="9"/>
            <color indexed="81"/>
            <rFont val="Tahoma"/>
            <family val="2"/>
          </rPr>
          <t xml:space="preserve">
Talon Elec = cf valeur issue d'optiturpe et reportée dans onglet Compteur1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J24" authorId="0" shapeId="0" xr:uid="{00000000-0006-0000-1500-000001000000}">
      <text>
        <r>
          <rPr>
            <b/>
            <sz val="9"/>
            <color indexed="81"/>
            <rFont val="Tahoma"/>
            <family val="2"/>
          </rPr>
          <t>FAVERAIS Laurent:</t>
        </r>
        <r>
          <rPr>
            <sz val="9"/>
            <color indexed="81"/>
            <rFont val="Tahoma"/>
            <family val="2"/>
          </rPr>
          <t xml:space="preserve">
pour mémoire
</t>
        </r>
      </text>
    </comment>
    <comment ref="L25" authorId="0" shapeId="0" xr:uid="{FC634628-839D-49C5-81BA-C83E7DB0E97E}">
      <text>
        <r>
          <rPr>
            <b/>
            <sz val="9"/>
            <color indexed="81"/>
            <rFont val="Tahoma"/>
            <family val="2"/>
          </rPr>
          <t>FAVERAIS Laurent:</t>
        </r>
        <r>
          <rPr>
            <sz val="9"/>
            <color indexed="81"/>
            <rFont val="Tahoma"/>
            <family val="2"/>
          </rPr>
          <t xml:space="preserve">
3,7 = valeur issue de la moyenne des 20 talons de conso été des établissements Sarthois relevés sur 2024 et 2025</t>
        </r>
      </text>
    </comment>
    <comment ref="M25" authorId="0" shapeId="0" xr:uid="{8C838B4E-9C1E-4B2A-9827-B7EE1E7749D2}">
      <text>
        <r>
          <rPr>
            <b/>
            <sz val="9"/>
            <color indexed="81"/>
            <rFont val="Tahoma"/>
            <family val="2"/>
          </rPr>
          <t>FAVERAIS Laurent:</t>
        </r>
        <r>
          <rPr>
            <sz val="9"/>
            <color indexed="81"/>
            <rFont val="Tahoma"/>
            <family val="2"/>
          </rPr>
          <t xml:space="preserve">
3,6 = valeur issue de la moyenne des 20 talons de conso été (Consos Estivale/12mois/surface totale) des établissements Sarthois relevés sur 2024 et 2025</t>
        </r>
      </text>
    </comment>
    <comment ref="K27" authorId="0" shapeId="0" xr:uid="{00000000-0006-0000-1500-000002000000}">
      <text>
        <r>
          <rPr>
            <b/>
            <sz val="9"/>
            <color indexed="81"/>
            <rFont val="Tahoma"/>
            <family val="2"/>
          </rPr>
          <t>FAVERAIS Laurent:</t>
        </r>
        <r>
          <rPr>
            <sz val="9"/>
            <color indexed="81"/>
            <rFont val="Tahoma"/>
            <family val="2"/>
          </rPr>
          <t xml:space="preserve">
Moyenne de 97 EHPAD ligériens (Surface OPERAT / Nb lit + place de jour)
En neuf, le Dpt essai de rester autour des 50m2 de SU/lit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FAVERAIS Laurent</author>
    <author>ANKOU Mel</author>
  </authors>
  <commentList>
    <comment ref="H4" authorId="0" shapeId="0" xr:uid="{00000000-0006-0000-1400-000001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R4" authorId="0" shapeId="0" xr:uid="{00000000-0006-0000-1400-000002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B4" authorId="0" shapeId="0" xr:uid="{00000000-0006-0000-1400-000003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L4" authorId="0" shapeId="0" xr:uid="{00000000-0006-0000-1400-000004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V4" authorId="0" shapeId="0" xr:uid="{00000000-0006-0000-1400-000005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BF4" authorId="0" shapeId="0" xr:uid="{00000000-0006-0000-1400-000006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D29" authorId="1" shapeId="0" xr:uid="{00000000-0006-0000-1400-000007000000}">
      <text>
        <r>
          <rPr>
            <b/>
            <sz val="9"/>
            <color indexed="81"/>
            <rFont val="Tahoma"/>
            <family val="2"/>
          </rPr>
          <t>ANKOU Mel:</t>
        </r>
        <r>
          <rPr>
            <sz val="9"/>
            <color indexed="81"/>
            <rFont val="Tahoma"/>
            <family val="2"/>
          </rPr>
          <t xml:space="preserve">
Donnée échangée avec celle de Nov</t>
        </r>
      </text>
    </comment>
    <comment ref="F36" authorId="0" shapeId="0" xr:uid="{00000000-0006-0000-1400-000008000000}">
      <text>
        <r>
          <rPr>
            <b/>
            <sz val="9"/>
            <color indexed="81"/>
            <rFont val="Tahoma"/>
            <family val="2"/>
          </rPr>
          <t>FAVERAIS Laurent:</t>
        </r>
        <r>
          <rPr>
            <sz val="9"/>
            <color indexed="81"/>
            <rFont val="Tahoma"/>
            <family val="2"/>
          </rPr>
          <t xml:space="preserve">
</t>
        </r>
        <r>
          <rPr>
            <sz val="11"/>
            <color indexed="81"/>
            <rFont val="Tahoma"/>
            <family val="2"/>
          </rPr>
          <t>mettre les valeurs annuelles sur la ligne 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Fabien Rouault</author>
    <author>FAVERAIS Laurent</author>
  </authors>
  <commentList>
    <comment ref="K1" authorId="0" shapeId="0" xr:uid="{00000000-0006-0000-1C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C00-000002000000}">
      <text>
        <r>
          <rPr>
            <sz val="9"/>
            <color indexed="81"/>
            <rFont val="Tahoma"/>
            <family val="2"/>
          </rPr>
          <t xml:space="preserve">Indiquez un nom au compteur dans l'onglet "SITE" pour le reconnaitre dans les onglets "Suvi Compteur" et "Suivi Sous_compteur"...
</t>
        </r>
      </text>
    </comment>
    <comment ref="L10" authorId="1" shapeId="0" xr:uid="{CB14B51B-405C-4EF2-A1BB-DE1B0BC6A3A0}">
      <text>
        <r>
          <rPr>
            <b/>
            <sz val="9"/>
            <color indexed="81"/>
            <rFont val="Tahoma"/>
            <family val="2"/>
          </rPr>
          <t>FAVERAIS Laurent:</t>
        </r>
        <r>
          <rPr>
            <sz val="9"/>
            <color indexed="81"/>
            <rFont val="Tahoma"/>
            <family val="2"/>
          </rPr>
          <t xml:space="preserve">
Consommation minimum annuelle atteinte au plus petit pas de temps disponible selon les données ENEDIS (5, 10 ou 30 min)
Cette valeur peut être obtenue grâce à l'outil Optitupe, lien via le bouton vert de cette page.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1D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D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1E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E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1F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F00-000002000000}">
      <text>
        <r>
          <rPr>
            <sz val="9"/>
            <color indexed="81"/>
            <rFont val="Tahoma"/>
            <family val="2"/>
          </rPr>
          <t xml:space="preserve">Indiquez un nom au compteur dans l'onglet "SITE" pour le reconnaitre dans les onglets "Suvi Compteur" et "Suivi Sous_compteur"...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5A5A15-012D-4B24-B409-9250E49F6D3E}" keepAlive="1" name="Requête - Tab_Compteur_2" description="Connexion à la requête « Tab_Compteur_2 » dans le classeur." type="5" refreshedVersion="0" background="1">
    <dbPr connection="Provider=Microsoft.Mashup.OleDb.1;Data Source=$Workbook$;Location=Tab_Compteur_2;Extended Properties=&quot;&quot;" command="SELECT * FROM [Tab_Compteur_2]"/>
  </connection>
  <connection id="2" xr16:uid="{E7C99DC5-546A-4DAC-9D98-67647E8BD86D}" keepAlive="1" name="Requête - Tab_Compteur_3" description="Connexion à la requête « Tab_Compteur_3 » dans le classeur." type="5" refreshedVersion="0" background="1">
    <dbPr connection="Provider=Microsoft.Mashup.OleDb.1;Data Source=$Workbook$;Location=Tab_Compteur_3;Extended Properties=&quot;&quot;" command="SELECT * FROM [Tab_Compteur_3]"/>
  </connection>
  <connection id="3" xr16:uid="{4A1B9805-E18C-4DF9-B24D-C45A616CD81C}" keepAlive="1" name="Requête - Tab_Compteur_4" description="Connexion à la requête « Tab_Compteur_4 » dans le classeur." type="5" refreshedVersion="0" background="1">
    <dbPr connection="Provider=Microsoft.Mashup.OleDb.1;Data Source=$Workbook$;Location=Tab_Compteur_4;Extended Properties=&quot;&quot;" command="SELECT * FROM [Tab_Compteur_4]"/>
  </connection>
  <connection id="4" xr16:uid="{91CABB7E-40D8-4405-9B8C-95B7B291BC43}" keepAlive="1" name="Requête - Tab_Compteur_5" description="Connexion à la requête « Tab_Compteur_5 » dans le classeur." type="5" refreshedVersion="0" background="1">
    <dbPr connection="Provider=Microsoft.Mashup.OleDb.1;Data Source=$Workbook$;Location=Tab_Compteur_5;Extended Properties=&quot;&quot;" command="SELECT * FROM [Tab_Compteur_5]"/>
  </connection>
  <connection id="5" xr16:uid="{766B2382-CDF1-41A5-8836-AB1EE101FD7B}" keepAlive="1" name="Requête - Tab_Compteur_6" description="Connexion à la requête « Tab_Compteur_6 » dans le classeur." type="5" refreshedVersion="0" background="1">
    <dbPr connection="Provider=Microsoft.Mashup.OleDb.1;Data Source=$Workbook$;Location=Tab_Compteur_6;Extended Properties=&quot;&quot;" command="SELECT * FROM [Tab_Compteur_6]"/>
  </connection>
  <connection id="6" xr16:uid="{8B47AF55-5CBD-4C4E-ACDE-ED41463C33FA}" keepAlive="1" name="Requête - Tab_Compteur_7" description="Connexion à la requête « Tab_Compteur_7 » dans le classeur." type="5" refreshedVersion="0" background="1">
    <dbPr connection="Provider=Microsoft.Mashup.OleDb.1;Data Source=$Workbook$;Location=Tab_Compteur_7;Extended Properties=&quot;&quot;" command="SELECT * FROM [Tab_Compteur_7]"/>
  </connection>
  <connection id="7" xr16:uid="{4B02A386-145D-4F37-ABC4-025FD68559FD}" keepAlive="1" name="Requête - Tab_Compteur_8" description="Connexion à la requête « Tab_Compteur_8 » dans le classeur." type="5" refreshedVersion="0" background="1">
    <dbPr connection="Provider=Microsoft.Mashup.OleDb.1;Data Source=$Workbook$;Location=Tab_Compteur_8;Extended Properties=&quot;&quot;" command="SELECT * FROM [Tab_Compteur_8]"/>
  </connection>
  <connection id="8" xr16:uid="{530A4308-3792-4773-AE32-806CBDAE6E03}" name="Requête - Tab_concat" description="Connexion à la requête « Tab_concat » dans le classeur." type="100" refreshedVersion="7" minRefreshableVersion="5">
    <extLst>
      <ext xmlns:x15="http://schemas.microsoft.com/office/spreadsheetml/2010/11/main" uri="{DE250136-89BD-433C-8126-D09CA5730AF9}">
        <x15:connection id="cae3b230-15c6-43d9-809b-58218ae4aee4"/>
      </ext>
    </extLst>
  </connection>
  <connection id="9" xr16:uid="{D8C98B7D-0C01-429D-934A-0EC825DED832}" keepAlive="1" name="Requête - Tableau9" description="Connexion à la requête « Tableau9 » dans le classeur." type="5" refreshedVersion="0" background="1">
    <dbPr connection="Provider=Microsoft.Mashup.OleDb.1;Data Source=$Workbook$;Location=Tableau9;Extended Properties=&quot;&quot;" command="SELECT * FROM [Tableau9]"/>
  </connection>
  <connection id="10" xr16:uid="{921986D9-3B1B-435F-827E-AE2FD788BEEB}" name="Tableau16" type="102" refreshedVersion="7" minRefreshableVersion="5" saveData="1">
    <extLst>
      <ext xmlns:x15="http://schemas.microsoft.com/office/spreadsheetml/2010/11/main" uri="{DE250136-89BD-433C-8126-D09CA5730AF9}">
        <x15:connection id="Tableau16">
          <x15:rangePr sourceName="_xlcn.Tableau161"/>
        </x15:connection>
      </ext>
    </extLst>
  </connection>
  <connection id="11" xr16:uid="{36F6CE9E-94BC-406A-8592-A20A79C48F12}" keepAlive="1" name="ThisWorkbookDataModel" description="Modèle de donnée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9">
    <s v="ThisWorkbookDataModel"/>
    <s v="{[Tab_concat].[Source].[All]}"/>
    <s v="{[Tab_concat].[Mois].[All]}"/>
    <s v="{[Tab_concat].[Nom].[All]}"/>
    <s v="{[Tab_concat].[Nom].&amp;[Elec Générale (Factures)]}"/>
    <s v="{[Tab_concat].[Annee].[All]}"/>
    <s v="{[Tab_concat].[Type].[All]}"/>
    <s v="{[Tab_concat].[Dates (année)].[All]}"/>
    <s v="[Tab_concat].[Nom].[All]"/>
  </metadataStrings>
  <mdxMetadata count="8">
    <mdx n="0" f="s">
      <ms ns="1" c="0"/>
    </mdx>
    <mdx n="0" f="s">
      <ms ns="2" c="0"/>
    </mdx>
    <mdx n="0" f="s">
      <ms ns="3" c="0"/>
    </mdx>
    <mdx n="0" f="s">
      <ms ns="4" c="0"/>
    </mdx>
    <mdx n="0" f="s">
      <ms ns="5" c="0"/>
    </mdx>
    <mdx n="0" f="s">
      <ms ns="6" c="0"/>
    </mdx>
    <mdx n="0" f="s">
      <ms ns="7" c="0"/>
    </mdx>
    <mdx n="0" f="r">
      <t c="1">
        <n x="8"/>
      </t>
    </mdx>
  </mdxMetadata>
  <futureMetadata name="XLDAPR" count="1">
    <bk>
      <extLst>
        <ext uri="{bdbb8cdc-fa1e-496e-a857-3c3f30c029c3}">
          <xda:dynamicArrayProperties fDynamic="1" fCollapsed="0"/>
        </ext>
      </extLst>
    </bk>
  </futureMetadata>
  <cellMetadata count="1">
    <bk>
      <rc t="2" v="0"/>
    </bk>
  </cell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<sst xmlns="http://schemas.openxmlformats.org/spreadsheetml/2006/main" count="4520" uniqueCount="915">
  <si>
    <t xml:space="preserve">Nom du site : </t>
  </si>
  <si>
    <t>Bâtiment et Activité</t>
  </si>
  <si>
    <t xml:space="preserve">Version : </t>
  </si>
  <si>
    <t>Surfaces</t>
  </si>
  <si>
    <t>Accueil</t>
  </si>
  <si>
    <t>Données OPERAT</t>
  </si>
  <si>
    <t>Evénements dans la vie du site</t>
  </si>
  <si>
    <t>Année</t>
  </si>
  <si>
    <t>Totale- m²</t>
  </si>
  <si>
    <t>Chauffée - m²</t>
  </si>
  <si>
    <t>Refroidie - m²</t>
  </si>
  <si>
    <t xml:space="preserve">Lits </t>
  </si>
  <si>
    <t>Places de jour</t>
  </si>
  <si>
    <t>Cabs</t>
  </si>
  <si>
    <t xml:space="preserve">Activité principal du site : </t>
  </si>
  <si>
    <t xml:space="preserve">Fonctionnement du site : </t>
  </si>
  <si>
    <t>Nombre de places de parking :</t>
  </si>
  <si>
    <t>Comptage energie et eau</t>
  </si>
  <si>
    <t>Compteur/ Livraison</t>
  </si>
  <si>
    <t>Nom</t>
  </si>
  <si>
    <t>Type</t>
  </si>
  <si>
    <t>Source</t>
  </si>
  <si>
    <t>Detail usage</t>
  </si>
  <si>
    <t>Combustible (Seulement Conso)</t>
  </si>
  <si>
    <t>Type de données saisies</t>
  </si>
  <si>
    <t>Compteur 1</t>
  </si>
  <si>
    <t>Consommation</t>
  </si>
  <si>
    <t>Electricité</t>
  </si>
  <si>
    <t>Elec_Général</t>
  </si>
  <si>
    <t>Electricité (kWh)</t>
  </si>
  <si>
    <t>Compteur 2</t>
  </si>
  <si>
    <t>Chaleur</t>
  </si>
  <si>
    <t>ECS et Chauffage</t>
  </si>
  <si>
    <t>Fioul domestique (litres)</t>
  </si>
  <si>
    <t>Compteur 3</t>
  </si>
  <si>
    <t>Eau</t>
  </si>
  <si>
    <t>General EF</t>
  </si>
  <si>
    <t>Eau (m3)</t>
  </si>
  <si>
    <t>Compteur 4</t>
  </si>
  <si>
    <t>Compteur 5</t>
  </si>
  <si>
    <t>Compteur 6</t>
  </si>
  <si>
    <t>Compteur 7</t>
  </si>
  <si>
    <t>Compteur 8</t>
  </si>
  <si>
    <t xml:space="preserve">Données Climatiques </t>
  </si>
  <si>
    <t xml:space="preserve">Altitude du site : </t>
  </si>
  <si>
    <t>Suivi Dispositif Eco Energie Tertiaire</t>
  </si>
  <si>
    <t xml:space="preserve">Usages de l'énergie thermique </t>
  </si>
  <si>
    <t>Séparer le chauffage des autres usages :</t>
  </si>
  <si>
    <t xml:space="preserve">Année de référence choisie : </t>
  </si>
  <si>
    <t xml:space="preserve">Dernière année déclarée : </t>
  </si>
  <si>
    <t xml:space="preserve">Si oui indiquez % chauffage : </t>
  </si>
  <si>
    <t>%</t>
  </si>
  <si>
    <t>Indiquez un nombre entre 1 et 100 seulement si vous souhaitez forcer la part chauffage</t>
  </si>
  <si>
    <t>Régime TVA</t>
  </si>
  <si>
    <t>régime TVA appliqué :</t>
  </si>
  <si>
    <t xml:space="preserve">Pour communiquer les resultats, les différents onglets sont imprimables en orientation paysage. Pour la planète, Préférez une impression au format numérique .pdf. Les onglets des tableaux de bord correspondent aux 10 premières pages </t>
  </si>
  <si>
    <t xml:space="preserve">Station météo : </t>
  </si>
  <si>
    <t xml:space="preserve"> </t>
  </si>
  <si>
    <t>Dernière année déclarée :</t>
  </si>
  <si>
    <t xml:space="preserve">Année de référence: </t>
  </si>
  <si>
    <t>Sélectionnez l'année à déclarer</t>
  </si>
  <si>
    <t>Si et seulement si les données saisies sont bien celles de vos factures, 
vous pouvez utiliser ce tableau pour la saisie OPERAT :</t>
  </si>
  <si>
    <t>Sélectionnez l'année dans le tableau de droite et reportez vos consommations :</t>
  </si>
  <si>
    <t>https://operat.ademe.fr/#/public/signin</t>
  </si>
  <si>
    <t>Étiquettes de lignes</t>
  </si>
  <si>
    <t>Année 1</t>
  </si>
  <si>
    <t>Correction DJU</t>
  </si>
  <si>
    <t>Année 2</t>
  </si>
  <si>
    <t>Mois</t>
  </si>
  <si>
    <t>nom mois</t>
  </si>
  <si>
    <t>Conso</t>
  </si>
  <si>
    <t>DJU</t>
  </si>
  <si>
    <t>DJU Moyen</t>
  </si>
  <si>
    <t>janv</t>
  </si>
  <si>
    <t>Étiquettes de colonnes</t>
  </si>
  <si>
    <t>Le Mans</t>
  </si>
  <si>
    <t>(vide)</t>
  </si>
  <si>
    <t>mars</t>
  </si>
  <si>
    <t>Somme de DJU(chauffagiste)</t>
  </si>
  <si>
    <t>avr</t>
  </si>
  <si>
    <t>mai</t>
  </si>
  <si>
    <t>juin</t>
  </si>
  <si>
    <t>juil</t>
  </si>
  <si>
    <t>sept</t>
  </si>
  <si>
    <t>oct</t>
  </si>
  <si>
    <t>nov</t>
  </si>
  <si>
    <t>Total général</t>
  </si>
  <si>
    <t>L'usage de cet onglet nécessite le renseignement des données de comptage mensuelles ou de chaque livraison pour les combustibles stockables.</t>
  </si>
  <si>
    <t>Si toute les sources d'énergie n'apparaissent pas, vérifiez en cliquant sur le boutont "Combustible" du graphique ainsi que la période sélectionnée</t>
  </si>
  <si>
    <t>Information compteur :</t>
  </si>
  <si>
    <t>Combustible</t>
  </si>
  <si>
    <t>Sous_comptage</t>
  </si>
  <si>
    <t>Colonne1</t>
  </si>
  <si>
    <t xml:space="preserve">Combustible </t>
  </si>
  <si>
    <t>Sous_comptage_Chaleur</t>
  </si>
  <si>
    <t>Sous_comptage_elec</t>
  </si>
  <si>
    <t>Sous_comptage_eau</t>
  </si>
  <si>
    <t>Information sous-compteur :</t>
  </si>
  <si>
    <t>Mise en forme pour fichier PENSEE</t>
  </si>
  <si>
    <t>Données de l'onglet "Suivi DEET", influencées par Cabs et légèrement différentes des données de l'onglet "Synthèse"</t>
  </si>
  <si>
    <t>Année de référence choisie</t>
  </si>
  <si>
    <t>Surface année de référence</t>
  </si>
  <si>
    <t>Consommation thermique - kWh 
PCI</t>
  </si>
  <si>
    <t>Consommation électrique - kWh</t>
  </si>
  <si>
    <t>Consommation eau froide - m3</t>
  </si>
  <si>
    <t>kWh(DJU) / m²</t>
  </si>
  <si>
    <t>kWh(ECS) / m²</t>
  </si>
  <si>
    <t>kWh thermique / m²</t>
  </si>
  <si>
    <t>kWh électrique / m²</t>
  </si>
  <si>
    <t>L eau / jour / lit</t>
  </si>
  <si>
    <t>Surface année 2021</t>
  </si>
  <si>
    <t>Surface année 2022</t>
  </si>
  <si>
    <t>Surface année 2023</t>
  </si>
  <si>
    <t>Surface année 2024</t>
  </si>
  <si>
    <t>Attention le calcul imposé par le décret applique une part de DJU sur l'élec</t>
  </si>
  <si>
    <t xml:space="preserve">Table de conversion </t>
  </si>
  <si>
    <t>Cette table de conversion permet de passer de l'ancien au nouveau fichier de Suivi Energie</t>
  </si>
  <si>
    <t>Si vous n'avez des données annuelles, les saisir sur la première ligne</t>
  </si>
  <si>
    <t>Si vous avez des données complètes, copier/coller vos données ci-dessous</t>
  </si>
  <si>
    <t>Puis faites un Copier/Coller "Valeur" de vos données (fond vert) dans l'onglet "Compteur_X" choisi, en fonction de la périodicité souhaitée</t>
  </si>
  <si>
    <t>Janvier ou
Données Annuelles</t>
  </si>
  <si>
    <t>Février</t>
  </si>
  <si>
    <t>Mars</t>
  </si>
  <si>
    <t>Avril</t>
  </si>
  <si>
    <t>Mai</t>
  </si>
  <si>
    <t>Juin</t>
  </si>
  <si>
    <t>Juillet</t>
  </si>
  <si>
    <t>Août</t>
  </si>
  <si>
    <t>Septembre</t>
  </si>
  <si>
    <t>Octobre</t>
  </si>
  <si>
    <t>Novembre</t>
  </si>
  <si>
    <t>Décembre</t>
  </si>
  <si>
    <t>Valeurs Bases mensuelles</t>
  </si>
  <si>
    <t>Valeurs Bases annuelles</t>
  </si>
  <si>
    <t>Valeurs Base semestrielle</t>
  </si>
  <si>
    <t>Zone climatique</t>
  </si>
  <si>
    <t>Altitude</t>
  </si>
  <si>
    <t>Type Compteur</t>
  </si>
  <si>
    <t>Production</t>
  </si>
  <si>
    <t>Process</t>
  </si>
  <si>
    <t>Photovolaïque</t>
  </si>
  <si>
    <t>Cogénération</t>
  </si>
  <si>
    <t>Collecteurs_solaires</t>
  </si>
  <si>
    <t>Type de combustilbe</t>
  </si>
  <si>
    <t>H1a</t>
  </si>
  <si>
    <t>Altitude &lt; 400 m</t>
  </si>
  <si>
    <t>ECS seule</t>
  </si>
  <si>
    <t>Cuisine</t>
  </si>
  <si>
    <t>Bois - Plaquettes (tonnes)</t>
  </si>
  <si>
    <t>PV_autoconsommé</t>
  </si>
  <si>
    <t>Cogé_elec_autoconsomée</t>
  </si>
  <si>
    <t>ECS_solaire</t>
  </si>
  <si>
    <t xml:space="preserve">Chauffage </t>
  </si>
  <si>
    <t>Borne_IRVE</t>
  </si>
  <si>
    <t>Sous-comptage EF</t>
  </si>
  <si>
    <t>Sources d'énergie</t>
  </si>
  <si>
    <t>PCI</t>
  </si>
  <si>
    <t>PCI_DEET</t>
  </si>
  <si>
    <t xml:space="preserve"> Emissions
KgCO2/kWh PCI</t>
  </si>
  <si>
    <t>Rapport
PCS/PCI</t>
  </si>
  <si>
    <t>Evol. prix de l'énergie</t>
  </si>
  <si>
    <t>H1b</t>
  </si>
  <si>
    <t>Altitude 400 à 800 m</t>
  </si>
  <si>
    <t>Chauffage seul</t>
  </si>
  <si>
    <t>Laverie</t>
  </si>
  <si>
    <t>Bois - Granulés (tonnes)</t>
  </si>
  <si>
    <t>Comptage récupération</t>
  </si>
  <si>
    <t>PV_revente</t>
  </si>
  <si>
    <t>Cogé_elec_revendue</t>
  </si>
  <si>
    <t>ECS</t>
  </si>
  <si>
    <t>Sous-comptage Climatisation</t>
  </si>
  <si>
    <t>Sous-comptage ECS</t>
  </si>
  <si>
    <t>kWh par tonne</t>
  </si>
  <si>
    <t>H1c</t>
  </si>
  <si>
    <t>Altitude 800 à 1200 m</t>
  </si>
  <si>
    <t>Bois - Bûches (stères)</t>
  </si>
  <si>
    <t>Cogé_chaleur</t>
  </si>
  <si>
    <t>Sous-comptage_Zone</t>
  </si>
  <si>
    <t>Sous-comptage Arrosage</t>
  </si>
  <si>
    <t>H2a</t>
  </si>
  <si>
    <t>Altitude 1200 m -1600m</t>
  </si>
  <si>
    <t>ECS, Chauffage et Cuisson</t>
  </si>
  <si>
    <t>Gaz naturel (kWh)</t>
  </si>
  <si>
    <t>kWh par stère</t>
  </si>
  <si>
    <t>H2b</t>
  </si>
  <si>
    <t>Altitude &gt; 1600m</t>
  </si>
  <si>
    <t>Cuisson</t>
  </si>
  <si>
    <t>Gaz naturel (m3)</t>
  </si>
  <si>
    <t>kWh par kWh</t>
  </si>
  <si>
    <t>H2c</t>
  </si>
  <si>
    <t>Gaz propane (tonnes)</t>
  </si>
  <si>
    <t>kWh par m3</t>
  </si>
  <si>
    <t>H2d</t>
  </si>
  <si>
    <t>Gaz propane (m3)</t>
  </si>
  <si>
    <t>H3</t>
  </si>
  <si>
    <t>Gaz butane (tonnes)</t>
  </si>
  <si>
    <t>Gaz butane (litres)</t>
  </si>
  <si>
    <t>Gaz butane (m3)</t>
  </si>
  <si>
    <t>kWh par litre</t>
  </si>
  <si>
    <t xml:space="preserve">Station Meteo et Zones climatiques </t>
  </si>
  <si>
    <t>Regime TVA</t>
  </si>
  <si>
    <t xml:space="preserve">Ouverture </t>
  </si>
  <si>
    <t>Oui/Non</t>
  </si>
  <si>
    <t>Conso/Index</t>
  </si>
  <si>
    <t>Pompe A Chaleur (kWh)</t>
  </si>
  <si>
    <t>Saint-Brieuc</t>
  </si>
  <si>
    <t>Réseau de chaleur (kWh)</t>
  </si>
  <si>
    <t>Brest - Guipavas</t>
  </si>
  <si>
    <t>HT</t>
  </si>
  <si>
    <t>Continu</t>
  </si>
  <si>
    <t>Oui</t>
  </si>
  <si>
    <t>Quimper</t>
  </si>
  <si>
    <t>TTC</t>
  </si>
  <si>
    <t xml:space="preserve">Jours ouvrés </t>
  </si>
  <si>
    <t>Non</t>
  </si>
  <si>
    <t>Index</t>
  </si>
  <si>
    <t>Rennes - St Jacques</t>
  </si>
  <si>
    <t>Jours ouvrés + samedi</t>
  </si>
  <si>
    <t>Compteurs Différents</t>
  </si>
  <si>
    <t>Dinard</t>
  </si>
  <si>
    <t>Lorient - Lann Bihoue</t>
  </si>
  <si>
    <t>Vannes-Sene</t>
  </si>
  <si>
    <t>Nantes - Bouguenais</t>
  </si>
  <si>
    <t>Angers - Beaucouzé</t>
  </si>
  <si>
    <t>INDICATEURS</t>
  </si>
  <si>
    <t>Type d'étblissement</t>
  </si>
  <si>
    <t>Thermique - kWh/m²</t>
  </si>
  <si>
    <t>Electrique - kWh/m²</t>
  </si>
  <si>
    <t>Totale - kWh/m²</t>
  </si>
  <si>
    <t>CHAUFFAGE - (CH/DJU/m²)x1000</t>
  </si>
  <si>
    <t>ECS - kWh/m²</t>
  </si>
  <si>
    <t>Cabs USE- kWh/m2.an</t>
  </si>
  <si>
    <t>Ratio surface usagers</t>
  </si>
  <si>
    <t>Niort</t>
  </si>
  <si>
    <t>Ratios de Consommation</t>
  </si>
  <si>
    <t>CHU</t>
  </si>
  <si>
    <t>-</t>
  </si>
  <si>
    <t>Paris - Montsouris</t>
  </si>
  <si>
    <t>CH / CLINIQUE</t>
  </si>
  <si>
    <t>Marseille - Marignane</t>
  </si>
  <si>
    <t>EHPAD</t>
  </si>
  <si>
    <t>Laval</t>
  </si>
  <si>
    <t>ESAT</t>
  </si>
  <si>
    <t>Se reporter à l'activité principale</t>
  </si>
  <si>
    <t>IME - ITEP</t>
  </si>
  <si>
    <t>La Roche sur Yon</t>
  </si>
  <si>
    <t>FAM - MAS - FDV</t>
  </si>
  <si>
    <t>Alençon</t>
  </si>
  <si>
    <t>AUTRES</t>
  </si>
  <si>
    <t>Composante CVC</t>
  </si>
  <si>
    <t>DPE</t>
  </si>
  <si>
    <t xml:space="preserve">Graphique Jauge </t>
  </si>
  <si>
    <t>Hebergement</t>
  </si>
  <si>
    <t xml:space="preserve">Accueil de jour </t>
  </si>
  <si>
    <t>Bâtiment à occupation continue</t>
  </si>
  <si>
    <t>Bâtiment à usage de bureau ou d'administration</t>
  </si>
  <si>
    <t>A</t>
  </si>
  <si>
    <t>B</t>
  </si>
  <si>
    <t>C</t>
  </si>
  <si>
    <t>D</t>
  </si>
  <si>
    <t>E</t>
  </si>
  <si>
    <t>Jours Fériés</t>
  </si>
  <si>
    <t>date</t>
  </si>
  <si>
    <t>annee</t>
  </si>
  <si>
    <t>zone</t>
  </si>
  <si>
    <t>nom_jour_ferie</t>
  </si>
  <si>
    <t>Jours</t>
  </si>
  <si>
    <t xml:space="preserve">Jour semaine </t>
  </si>
  <si>
    <t>Samedi</t>
  </si>
  <si>
    <t xml:space="preserve">Dimanche </t>
  </si>
  <si>
    <t>Fériés</t>
  </si>
  <si>
    <t>Fermé</t>
  </si>
  <si>
    <t>MÃ©tropole</t>
  </si>
  <si>
    <t>1er janvier</t>
  </si>
  <si>
    <t>Lundi de PÃ¢ques</t>
  </si>
  <si>
    <t>1er mai</t>
  </si>
  <si>
    <t>Jour ouvrés moins petites vacances scolaires</t>
  </si>
  <si>
    <t>Jour ouvrés moins toutes vacances scolaires</t>
  </si>
  <si>
    <t>Ascension</t>
  </si>
  <si>
    <t>Lundi de PentecÃ´te</t>
  </si>
  <si>
    <t>Nombre de jours fermés</t>
  </si>
  <si>
    <t>Assomption</t>
  </si>
  <si>
    <t>Toussaint</t>
  </si>
  <si>
    <t>Jour de NoÃ«l</t>
  </si>
  <si>
    <t>Type de combustible</t>
  </si>
  <si>
    <t>Compteur/Livraison</t>
  </si>
  <si>
    <t>Compteur_1</t>
  </si>
  <si>
    <t>Compteur_2</t>
  </si>
  <si>
    <t>Compteur_3</t>
  </si>
  <si>
    <t>Compteur_4</t>
  </si>
  <si>
    <t>Compteur_5</t>
  </si>
  <si>
    <t>Compteur_6</t>
  </si>
  <si>
    <t>Compteur_7</t>
  </si>
  <si>
    <t>Compteur_8</t>
  </si>
  <si>
    <t>Indicqteurs de performances</t>
  </si>
  <si>
    <t xml:space="preserve">type </t>
  </si>
  <si>
    <t>Cabs - kWh/m2,an</t>
  </si>
  <si>
    <t>USE</t>
  </si>
  <si>
    <t>CVC</t>
  </si>
  <si>
    <t>Ratio surface/usager</t>
  </si>
  <si>
    <t>Valeur CVC chauf</t>
  </si>
  <si>
    <t>Valeur CVC refroid</t>
  </si>
  <si>
    <t xml:space="preserve">Ouverture du site </t>
  </si>
  <si>
    <t>Séparation chauffage</t>
  </si>
  <si>
    <t xml:space="preserve">Forçage Chauffage </t>
  </si>
  <si>
    <t>Valeur du forçage</t>
  </si>
  <si>
    <t>Conso annuelle :</t>
  </si>
  <si>
    <t>Cout annuel:</t>
  </si>
  <si>
    <t xml:space="preserve">Année </t>
  </si>
  <si>
    <t>Surface total</t>
  </si>
  <si>
    <t>Surface Chauffée</t>
  </si>
  <si>
    <t>Surface refroidie</t>
  </si>
  <si>
    <t>Places</t>
  </si>
  <si>
    <t xml:space="preserve">Intensité d'usage </t>
  </si>
  <si>
    <t>Total</t>
  </si>
  <si>
    <t>Energie MWh</t>
  </si>
  <si>
    <t>Energie Cout</t>
  </si>
  <si>
    <t>Camembert Usage</t>
  </si>
  <si>
    <t xml:space="preserve">Indicateur de performances </t>
  </si>
  <si>
    <t>Thermique</t>
  </si>
  <si>
    <t>Conso EF</t>
  </si>
  <si>
    <t>Conso EP</t>
  </si>
  <si>
    <t>Calcul DPE</t>
  </si>
  <si>
    <t xml:space="preserve">hébergement </t>
  </si>
  <si>
    <t>Conso annuelle EAU :</t>
  </si>
  <si>
    <t>Différence</t>
  </si>
  <si>
    <t>ECS et chauffage</t>
  </si>
  <si>
    <t xml:space="preserve">index </t>
  </si>
  <si>
    <t>Total thermique</t>
  </si>
  <si>
    <t>DJU moyen</t>
  </si>
  <si>
    <t>DJU année</t>
  </si>
  <si>
    <t>Valeur indicateur</t>
  </si>
  <si>
    <t xml:space="preserve">Electricité </t>
  </si>
  <si>
    <t>debut aiguille</t>
  </si>
  <si>
    <t>Bornes IRVE</t>
  </si>
  <si>
    <t>largeur aiguille</t>
  </si>
  <si>
    <t>total Elec</t>
  </si>
  <si>
    <t xml:space="preserve">Reste </t>
  </si>
  <si>
    <t>Total energie</t>
  </si>
  <si>
    <t xml:space="preserve">Njour année </t>
  </si>
  <si>
    <t>Fermeture</t>
  </si>
  <si>
    <t>Ouverture</t>
  </si>
  <si>
    <t>Indicateur eau</t>
  </si>
  <si>
    <t>chauffage</t>
  </si>
  <si>
    <t>clim</t>
  </si>
  <si>
    <t xml:space="preserve">Sous -Comptage Chauffage </t>
  </si>
  <si>
    <t xml:space="preserve">Energie chauffage </t>
  </si>
  <si>
    <t xml:space="preserve">Sous - comptage Climatisation </t>
  </si>
  <si>
    <t>Sous-comptage Borne IRVE</t>
  </si>
  <si>
    <t>Année de référence</t>
  </si>
  <si>
    <t xml:space="preserve">indicateurs </t>
  </si>
  <si>
    <t>Référence</t>
  </si>
  <si>
    <t>objectif -40</t>
  </si>
  <si>
    <t>objectif -50</t>
  </si>
  <si>
    <t>objectif -60</t>
  </si>
  <si>
    <t>selection année</t>
  </si>
  <si>
    <t>Comptage DEET</t>
  </si>
  <si>
    <t>année</t>
  </si>
  <si>
    <t>Ajustement climatique Chauffage</t>
  </si>
  <si>
    <t>DJU chauffage</t>
  </si>
  <si>
    <t>SDP tot</t>
  </si>
  <si>
    <t>CVC chauf</t>
  </si>
  <si>
    <t>SDP Chauffé</t>
  </si>
  <si>
    <t>ajust chauf</t>
  </si>
  <si>
    <t>Ajustement Chauffage</t>
  </si>
  <si>
    <t>ajust clim</t>
  </si>
  <si>
    <t>Ajustement climatique Refroidissement</t>
  </si>
  <si>
    <t>intensité tot</t>
  </si>
  <si>
    <t>DJU climatisation</t>
  </si>
  <si>
    <t>Reduction</t>
  </si>
  <si>
    <t>CVC refroid</t>
  </si>
  <si>
    <t>SDP Refroidi</t>
  </si>
  <si>
    <t>Ajustement Clim</t>
  </si>
  <si>
    <t>Energie Thermique</t>
  </si>
  <si>
    <t>Totale</t>
  </si>
  <si>
    <t>Totale ajustée</t>
  </si>
  <si>
    <t>Intensités surfacique</t>
  </si>
  <si>
    <t>SDP total</t>
  </si>
  <si>
    <t>Chauffage</t>
  </si>
  <si>
    <t>Ajust. Chauffage</t>
  </si>
  <si>
    <t>Ajust. Refroidissement</t>
  </si>
  <si>
    <t>Intensité totale ajustée</t>
  </si>
  <si>
    <t>rampe limite basse</t>
  </si>
  <si>
    <t>objectif anuel</t>
  </si>
  <si>
    <t>rampe limite haute</t>
  </si>
  <si>
    <t>Valeur référence</t>
  </si>
  <si>
    <t>INF</t>
  </si>
  <si>
    <t>Variation DJU</t>
  </si>
  <si>
    <t>Positif</t>
  </si>
  <si>
    <t>Negatif</t>
  </si>
  <si>
    <t>Sous-comptage clim</t>
  </si>
  <si>
    <t>DEET</t>
  </si>
  <si>
    <t xml:space="preserve">Total conso </t>
  </si>
  <si>
    <t>Total ECS</t>
  </si>
  <si>
    <t>Consommation estimée ECS</t>
  </si>
  <si>
    <t>Bilan Synthèse</t>
  </si>
  <si>
    <t>ECS seul</t>
  </si>
  <si>
    <t>Début de période</t>
  </si>
  <si>
    <t>Fin de période</t>
  </si>
  <si>
    <t>Quantité</t>
  </si>
  <si>
    <t>Delta Jour</t>
  </si>
  <si>
    <t>Demande_jour</t>
  </si>
  <si>
    <t>Cout_jour</t>
  </si>
  <si>
    <t>Conso/Jour</t>
  </si>
  <si>
    <t>Commentaires</t>
  </si>
  <si>
    <t>Valeur Initiale Index</t>
  </si>
  <si>
    <t>Créateur : Fabien Rouault (CTEES Groupement BRE123)
Contributeurs : Allan Fontaine (Econome de flux, ALE du Pays de Fougère), Laurent Faverais (CME49, MAPES Pays de la Loire)</t>
  </si>
  <si>
    <t xml:space="preserve">Crédit Flaticon : </t>
  </si>
  <si>
    <t>Freepik</t>
  </si>
  <si>
    <t>logo parking</t>
  </si>
  <si>
    <t>Version</t>
  </si>
  <si>
    <t>0.7</t>
  </si>
  <si>
    <t>- Correction date initiale compteur 1 
- Changement de la feuille "Données" en "Site" pour éviter la confusion avec l'onglet "Données" de la barre d'outils
- Création du tableau suivi d'eau
- Suppression de l'ajustement climatique en attente de l'arrêté valeur absolue 
- limitation des DJU chauffage aux mois d'octobre à mai et refroidissement de juin à septembre
- Création d'un tableau d'analyse chauffage vs. DJU</t>
  </si>
  <si>
    <t>0.8</t>
  </si>
  <si>
    <t>-Ajout de l'item "Eau (m3)" dans la liste des combustible pour éviter erreur 
- Correction référence bouton de retour a l'onglet Site dans les onglets de Compteur
- Suppression de l'ajustement climatique dans le graphique "Choix DEET"+ ajout Disclaimer
- Ajout DJU Paris et Marseille (pour fondation SJD)</t>
  </si>
  <si>
    <t>0.9</t>
  </si>
  <si>
    <t>- Ajout des DJU des villes de Le Mans, Laval et la Roche-sur-Yon pour couvrir les Pays de la Loire 
- Ajout d'une colonne Cabs dans l'onglet "Sites" nécessaires pour le calcul de l'ajustement climatique
- Ajout d'une liste déroulante dans l'onglet "Sites" pour la sélection de l'altitude nécessaire pour le calcul de l'ajustement
- Ajout de l'ajustement climatique chauffage et refroidissement dans les onglets "Choix DEET" et "Suivi DEET" + courbe de l'intensité totale ajustée 
- Ajout d'un graphique Etiquette énergétique type DPE
- Ajout de la valeur Cabs sur le graphique de "Suivi DEET"
- Correction erreur intensité énergétique graphique "Suivi DEET"
- Correction erreur DJU moyen
- Différenciation des facteurs de conversion DEET et réels (DEET : RC = 0,77)</t>
  </si>
  <si>
    <t>1.0</t>
  </si>
  <si>
    <t>- Retouches Onglets graphiques : Ajout nom de site, ajout logo Dispositif ÉTÉ, Correction pour faire réapparaitre la station météo
- Ajout "Cuisson" à "Chauffage et ECS" dans la liste "Chaleur"
- Ajout "Sous compteur" dans la liste "Type Compteur"
- Pré saisie des dates de début et fin des onglets Compteurs, sur la base d'une périodicité ajoutée dans l'onglet Site
- Remplacement des chaines de caractères "Chaleur" de la colonne M par les valeurs définies par celles de l’onglet Liste de manière à ce que les changements de noms se propagent
- Idem dans onglet Calcul DEET, colonne C
- Ajout Page de conversion des données compteurs depuis l'ancien fichier</t>
  </si>
  <si>
    <t>1.1</t>
  </si>
  <si>
    <t>- Mises à jour graphiques
- Onglet Synthèse : afficher les ratios thermiques en kWh EF PCI corrigés du DJU
-Tous Onglets : Ajout  EP/EF, PCS/PCI, Corrigé DJU ou non pour éviter confusion
- Onglet Site et Synthèse : Ajout nb places de parking pour suivi des obligations de solarisation
-Ajout fonctionnement site pour corriger la consommation journalière d'eau
- Fautes d'orthographe : "Sation" au lieu de Station sur onglet site, Manque un "v" à niveau sur onglet DEET
- Onglet Site, remplacer "Date du premier comptage" par "Date de fin de consommation de la première facture"
- Onglet Suivi Compteur : Graphique dynamique avec modification du pas de temps (mensuel, trimestriel, annuel)
- Mise en forme des donnée en Monétaire pour la colonne Cout de chaque compteur
- Ajout estimation ECS dans onglets Suivi DEET et Choix DEET
- Ajout d'un graphique en secteur des usages avec ECS estimée</t>
  </si>
  <si>
    <t>1.2</t>
  </si>
  <si>
    <t>Onglet Synthèse : affiché les ratios thermiques en kWh EF PCI corrigés du DJU
Tous Onglets : bien préciser les unités (EP/EF, PCS/PCI, Corrigé DJU ou non) pour éviter les erreurs
Re créer les données liées aux estimations de consommations induites par l'ECS+Cuisson :
   - Select Box pour choisir de séparer ou non "ECS + Cuisson" du chauffage et sa la méthode d'estimation  :
   - Si non : Estimation de la conso d'ECS annuel sur la base des 4 mois d'été (moyenne des 4 mois étendu sur 12 mois)
   - Si oui : pas de possibilité de définir la conso d'ECS estivale/Chauffage, un champ "forçage %" sur l'Onglet SITE permet de forcer de la part chauffage (mettre en commentaire, valeur moyenne= 70%)
   - introduire ces données de conso ECS dans les différents graphiques : Synthèse, Choix DEET, Suivi DEET
Onglet Site et Synthèse : Ajout nb places de parking pour suivi des obligation de solarisation
Ajouter le nombre de jour ouvrés pour corriger la consommation journalière d'eau
Ajouter le numéro de version du fichier sur l'onglet Site, pour un meilleur suivi avec les utilisateurs
Ajouter Alençon dans les stations météo
Ajouter des titres et revoir la mise en place des graph sur onglets Suivi compteurs / Coût énergie
Onglet Site, remplacer "Date du premier comptage" par "Date de fin de consommation de la première facture"
Faire une passe sur les mises en forme des cellules et leur verrouillage, notament les onglets compteurs (pour les données saisies)
Remplir Release Note (1,1 et futur dev)
Onglet Suivi Compteur : remettre la possibilité de changer le pas de temps, Ex : Quelle conso par année ?
Ajout onglet "Déclaration Operat"
Reprise de mises en forme et commentaires suite relecture avec les CME
Ajout des DJU 2023</t>
  </si>
  <si>
    <t>1.3</t>
  </si>
  <si>
    <t>Actualisation des valeurs par défaut suite à la parution de l'arrêté valeur absolue 4
Actualisation de l'onglet Aide_CME</t>
  </si>
  <si>
    <t>mois</t>
  </si>
  <si>
    <t>mois_numero</t>
  </si>
  <si>
    <t>DJU(chauffagiste)</t>
  </si>
  <si>
    <t>DJU(climaticien)</t>
  </si>
  <si>
    <t>Somme de DJU(climaticien)</t>
  </si>
  <si>
    <t>Cabs USE max : Lieux de vie</t>
  </si>
  <si>
    <t>Implémentation de l'onglet "Suivi Mensuel"
Actualisation des DJU pour S1 2024
Ajout de la possibilité de saisir des index dans les onglets compteurs (Onglet Site &amp; Compteurs)
Possibilité de saisir année de ref jusqu'en 2022 + modification des affichages impactés
Ajout indicateur surface/usager + Ajout de valeurs moyennes par établissement
Ratio de consommation EAU dorénavent basé sur total lits + places
Actualisation de l'onglet Aide_CME
Ajout conso journalière dans onglets compteurs
Actualisation des valeurs par défaut + formule de calcul de correction des DJU suite arrêté 5
Diverses corrections mineures</t>
  </si>
  <si>
    <t>Eau - L/j/Usager</t>
  </si>
  <si>
    <t>Montant</t>
  </si>
  <si>
    <t>1.4</t>
  </si>
  <si>
    <t>1.5</t>
  </si>
  <si>
    <t>Tableau Comparatif Mensuel EAU</t>
  </si>
  <si>
    <t>Analyse Electricité</t>
  </si>
  <si>
    <t>Analyse Chauffage</t>
  </si>
  <si>
    <t>Analyse EAU</t>
  </si>
  <si>
    <t>Implémentation des valeurs de l'arrêté 5 du DEET : https://www.legifrance.gouv.fr/jorf/id/JORFTEXT000049950583
Prise en compte des DJU hiver pendant les mois d'été et réciproquement pour les DJU climaticien
Gestion de l'affichage TTC/HT dans les onglets compteurs
Détection et ignorance des valeurs non saisies dans les onglets compteurs pour éviter les résultats négatifs dans la ligne qui suit la dernière valeur saisie 
Onglet Site : Ajout lien vers Tuto et Base doc MAPES
Gestion de l'eau dans l'onglet Suivi Mensuel 
Correction d'un bug dans le comptage des compteurs si année incomplète
Corrections de bugs mineurs</t>
  </si>
  <si>
    <t>Gestion des Solaires Th et PV =&gt;  unité spécifique, non intégration DEET mais mise en avant de l'autoconso, onglet spécifique à interoger ? ...</t>
  </si>
  <si>
    <t>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t>
  </si>
  <si>
    <t>Comment actualiser les DJU ?</t>
  </si>
  <si>
    <t>2. Ajouter les valeurs souhaitées en bas du tableau le plus à gauche dans cet onglet</t>
  </si>
  <si>
    <t>Plus d'infos climatologiques disponibles sur infoclimat :</t>
  </si>
  <si>
    <t>https://www.infoclimat.fr/climatologie/annee/2024/le-mans-arnage/valeurs/07235.html</t>
  </si>
  <si>
    <t>1. Récupérer les données DJU, issues du site meteo.gouv.fr via le lien ci-dessous :</t>
  </si>
  <si>
    <t>Ou ici :</t>
  </si>
  <si>
    <t>Observations</t>
  </si>
  <si>
    <t>Quantité restante dans la cuve après le plein</t>
  </si>
  <si>
    <t>Remplissage / 
Quantité remise</t>
  </si>
  <si>
    <t>Test Cohérence</t>
  </si>
  <si>
    <t>Nom de votre Cuve</t>
  </si>
  <si>
    <t>Unité de votre cuve</t>
  </si>
  <si>
    <t>Outil vous permettant de convertir vos niveaux 
de cuve en quantités consommées</t>
  </si>
  <si>
    <t>Onglets Compteurs : Ajout onglet "ConversionCuveQuantite" : pour faciliter la gestion des énergies de stock, y compris remplissage cuve…
Onglet DJU :  Ajout des DJU 2024 pour les Pays de la Loire (S2 en 53 = données Grez-en-bouere au lieu de Laval)
Onglet DJU : Ajout d'instructions pour actualiser les DJU</t>
  </si>
  <si>
    <t>1.53</t>
  </si>
  <si>
    <t>Forme de la cuve</t>
  </si>
  <si>
    <t>% remplissage</t>
  </si>
  <si>
    <t>Liste des formes de cuves</t>
  </si>
  <si>
    <t>Rectangulaire</t>
  </si>
  <si>
    <t>Cylindrique</t>
  </si>
  <si>
    <t>Volume contenu</t>
  </si>
  <si>
    <t>Volume de la cuve</t>
  </si>
  <si>
    <t>Sphère / Calcul non implémenté, en faire la demande</t>
  </si>
  <si>
    <t>Quantité
/Jour</t>
  </si>
  <si>
    <t>Date de 
relève</t>
  </si>
  <si>
    <t>Quantité restante dans la cuve
(si remplissage, valeur 
avant le plein)</t>
  </si>
  <si>
    <t>Fioul</t>
  </si>
  <si>
    <t>litres</t>
  </si>
  <si>
    <t>REFERENCE - Consommation thermique - kWh</t>
  </si>
  <si>
    <t>2021 - Consommation thermique - kWh</t>
  </si>
  <si>
    <t>2022 - Consommation thermique - kWh</t>
  </si>
  <si>
    <t>2023 - Consommation thermique - kWh</t>
  </si>
  <si>
    <t>2024 - Consommation thermique - kWh</t>
  </si>
  <si>
    <t>2025 - Consommation thermique - kWh</t>
  </si>
  <si>
    <t>2026 - Consommation thermique - kWh</t>
  </si>
  <si>
    <t>REFERENCE - Consommation électrique - kWh</t>
  </si>
  <si>
    <t>2021 - Consommation électrique - kWh</t>
  </si>
  <si>
    <t>2022 - Consommation électrique - kWh</t>
  </si>
  <si>
    <t>2023 - Consommation électrique - kWh</t>
  </si>
  <si>
    <t>2024 - Consommation électrique - kWh</t>
  </si>
  <si>
    <t>2025 - Consommation électrique - kWh</t>
  </si>
  <si>
    <t>2026 - Consommation électrique - kWh</t>
  </si>
  <si>
    <t>REFERENCE - Consommation eau froide - m3</t>
  </si>
  <si>
    <t>2021 - Consommation eau froide - m3</t>
  </si>
  <si>
    <t>2022 - Consommation eau froide - m3</t>
  </si>
  <si>
    <t>2023 - Consommation eau froide - m3</t>
  </si>
  <si>
    <t>2024 - Consommation eau froide - m3</t>
  </si>
  <si>
    <t>2025 - Consommation eau froide - m3</t>
  </si>
  <si>
    <t>2026 - Consommation eau froide - m3</t>
  </si>
  <si>
    <t>REFERENCE - kWh(DJU)/m² ou kWh/m² si kWh(ECS)/m² = NC</t>
  </si>
  <si>
    <t>2021 - kWh(DJU)/m² ou kWh/m² si kWh(ECS)/m² = NC</t>
  </si>
  <si>
    <t>2022 - kWh(DJU)/m² ou kWh/m² si kWh(ECS)/m² = NC</t>
  </si>
  <si>
    <t>2023 - kWh(DJU)/m² ou kWh/m² si kWh(ECS)/m² = NC</t>
  </si>
  <si>
    <t>2024 - kWh(DJU)/m² ou kWh/m² si kWh(ECS)/m² = NC</t>
  </si>
  <si>
    <t>2025 - kWh(DJU)/m² ou kWh/m² si kWh(ECS)/m² = NC</t>
  </si>
  <si>
    <t>2026 - kWh(DJU)/m² ou kWh/m² si kWh(ECS)/m² = NC</t>
  </si>
  <si>
    <t>REFERENCE - kWh(ECS)/m²</t>
  </si>
  <si>
    <t>2021 - kWh(ECS)/m²</t>
  </si>
  <si>
    <t>2022 - kWh(ECS)/m²</t>
  </si>
  <si>
    <t>2023 - kWh(ECS)/m²</t>
  </si>
  <si>
    <t>2024 - kWh(ECS)/m²</t>
  </si>
  <si>
    <t>2025 - kWh(ECS)/m²</t>
  </si>
  <si>
    <t>2026 - kWh(ECS)/m²</t>
  </si>
  <si>
    <t>PENSEE 2</t>
  </si>
  <si>
    <t>PENSEE 1</t>
  </si>
  <si>
    <t>Rappel dernière 
année saisie</t>
  </si>
  <si>
    <t>1.54</t>
  </si>
  <si>
    <t>Gestion de l'année 2026 dans différents onglets
MAJ onglet "Aide CME" pour tableau PENSEE2
MAJ DJU</t>
  </si>
  <si>
    <t>Ne pas saisir les volumes pour l'assainissement</t>
  </si>
  <si>
    <t xml:space="preserve"> (sinon, cela compte double)</t>
  </si>
  <si>
    <t xml:space="preserve">Pour l'assainissement, mettre date à J+1 de la </t>
  </si>
  <si>
    <t>date de colonne A</t>
  </si>
  <si>
    <t>1.55</t>
  </si>
  <si>
    <t xml:space="preserve">Instructions pour remplir le suivi des consommations de vos cuves </t>
  </si>
  <si>
    <t>Remplir uniquement les cases grisées</t>
  </si>
  <si>
    <t xml:space="preserve">Vous pouvez conserver des cases "rouge", c'est juste un point d'attention </t>
  </si>
  <si>
    <t>Pour autant, certaines jauges de mesure étant peu fiables, vous pouvez forcer ces valeurs à vos mesures</t>
  </si>
  <si>
    <t>Si une case se colore de rouge, c'est qu'il y a une incohérence, qui peut être due à l'imprecision de la jauge</t>
  </si>
  <si>
    <t>Montant 
HT ou TTC</t>
  </si>
  <si>
    <t xml:space="preserve">Une fois le tableau rempli, vous pouvez faire un copier/coller des colonnes "Fin de période", "Quantité" </t>
  </si>
  <si>
    <t>Date de début de la 1ère facture</t>
  </si>
  <si>
    <t>Suppression de la prise en compte des sous compteurs dans l'onglet "Déclaration OPERAT"
Suppression des sous compteurs dans les comptages généraux (chaleur/élec…) (même si cela ne semblait pas provoquer de bug)
Gestion de la remise à 0 d'un index d'un (sous) compteur : mettre une ligne avec la meme date de début et fin et index = 0
Suppression des dates de fin de période dans les onglets Compteurs + MAJ sur Onglet Synthèse
Amélioration de la gestion des énergies stockées : cuve fioul, gaz...</t>
  </si>
  <si>
    <t xml:space="preserve">Zone climatique : </t>
  </si>
  <si>
    <t xml:space="preserve">Altitude : </t>
  </si>
  <si>
    <t>m²</t>
  </si>
  <si>
    <t>Cabs EFA</t>
  </si>
  <si>
    <t>kWh/m2.an</t>
  </si>
  <si>
    <t>Nom des zones</t>
  </si>
  <si>
    <t xml:space="preserve">Début d'activité </t>
  </si>
  <si>
    <t>Fin d'activité</t>
  </si>
  <si>
    <t>Catégorie Principale</t>
  </si>
  <si>
    <t xml:space="preserve">Sous-Catégorie </t>
  </si>
  <si>
    <t>Surface de plancher</t>
  </si>
  <si>
    <t>Refroidssiment</t>
  </si>
  <si>
    <t>Cabs modulé</t>
  </si>
  <si>
    <t>Use modulé</t>
  </si>
  <si>
    <t>use etalon</t>
  </si>
  <si>
    <t>CVC+etalon</t>
  </si>
  <si>
    <t>% use variable</t>
  </si>
  <si>
    <t>indicateur d'intensité 1</t>
  </si>
  <si>
    <t>Valeur étalon intensité 1</t>
  </si>
  <si>
    <t>Valeur  intensité 1</t>
  </si>
  <si>
    <t>indicateur d'intensité 2</t>
  </si>
  <si>
    <t>Valeur étalon intensité 2</t>
  </si>
  <si>
    <t>Valeur intensité 2</t>
  </si>
  <si>
    <t>indicateur d'intensité 3</t>
  </si>
  <si>
    <t>Valeur étalon intensité 3</t>
  </si>
  <si>
    <t>Valeur intensité 3</t>
  </si>
  <si>
    <t>Consomation totale</t>
  </si>
  <si>
    <t>Catégorie 1</t>
  </si>
  <si>
    <t>Catégorie 2</t>
  </si>
  <si>
    <t>Catégorie 3</t>
  </si>
  <si>
    <t>Catégorie 4</t>
  </si>
  <si>
    <t>Catégorie 5</t>
  </si>
  <si>
    <t>Catégorie 6</t>
  </si>
  <si>
    <t>Catégorie 7</t>
  </si>
  <si>
    <t>Catégorie 8</t>
  </si>
  <si>
    <t>Catégorie 9</t>
  </si>
  <si>
    <t>Catégorie 10</t>
  </si>
  <si>
    <t>Catégorie 11</t>
  </si>
  <si>
    <t>Catégorie 12</t>
  </si>
  <si>
    <t>Catégorie 13</t>
  </si>
  <si>
    <t>Catégorie 14</t>
  </si>
  <si>
    <t>Catégorie 15</t>
  </si>
  <si>
    <t>Catégorie 16</t>
  </si>
  <si>
    <t>Catégorie 17</t>
  </si>
  <si>
    <t>Catégorie 18</t>
  </si>
  <si>
    <t>Catégorie 19</t>
  </si>
  <si>
    <t>Catégorie 20</t>
  </si>
  <si>
    <t>Catégorie 21</t>
  </si>
  <si>
    <t>Catégorie 22</t>
  </si>
  <si>
    <t>Catégorie 23</t>
  </si>
  <si>
    <t>Catégorie 24</t>
  </si>
  <si>
    <t>Catégorie 25</t>
  </si>
  <si>
    <t>Catégorie 26</t>
  </si>
  <si>
    <t>Catégorie 27</t>
  </si>
  <si>
    <t>Catégorie 28</t>
  </si>
  <si>
    <t>Catégorie 29</t>
  </si>
  <si>
    <t>Catégorie 30</t>
  </si>
  <si>
    <t>USE Modulé</t>
  </si>
  <si>
    <t>Variables</t>
  </si>
  <si>
    <t>Sous catégorie</t>
  </si>
  <si>
    <t xml:space="preserve">Indicateur </t>
  </si>
  <si>
    <t xml:space="preserve">Valeur </t>
  </si>
  <si>
    <t>Etablissements médico-sociaux - Administration et bureaux</t>
  </si>
  <si>
    <r>
      <t xml:space="preserve">Amplitude horaire annuelle (h ouvrées/an) </t>
    </r>
    <r>
      <rPr>
        <b/>
        <sz val="10"/>
        <color theme="1"/>
        <rFont val="Calibri"/>
        <family val="2"/>
        <scheme val="minor"/>
      </rPr>
      <t>Nb_h ouvrées</t>
    </r>
  </si>
  <si>
    <r>
      <t xml:space="preserve">Surface Plancher / poste de travail </t>
    </r>
    <r>
      <rPr>
        <sz val="9"/>
        <color theme="1"/>
        <rFont val="Calibri"/>
        <family val="2"/>
        <scheme val="minor"/>
      </rPr>
      <t xml:space="preserve">ou Surface Utile Brute </t>
    </r>
    <r>
      <rPr>
        <sz val="10"/>
        <color theme="1"/>
        <rFont val="Calibri"/>
        <family val="2"/>
        <scheme val="minor"/>
      </rPr>
      <t xml:space="preserve">(m²/poste) </t>
    </r>
    <r>
      <rPr>
        <b/>
        <sz val="9"/>
        <color theme="1"/>
        <rFont val="Calibri"/>
        <family val="2"/>
        <scheme val="minor"/>
      </rPr>
      <t>Surf_poste</t>
    </r>
  </si>
  <si>
    <r>
      <t xml:space="preserve">Taux d’occupation (%)  </t>
    </r>
    <r>
      <rPr>
        <b/>
        <sz val="10"/>
        <color theme="1"/>
        <rFont val="Calibri"/>
        <family val="2"/>
        <scheme val="minor"/>
      </rPr>
      <t xml:space="preserve">T_occ </t>
    </r>
  </si>
  <si>
    <t xml:space="preserve">Centre médical (Maison médicale - Protection Maternelle et Infantile) </t>
  </si>
  <si>
    <r>
      <t xml:space="preserve">Surface Plancher / salle consultation ou Surface Utile Brute (m²/salle) </t>
    </r>
    <r>
      <rPr>
        <b/>
        <sz val="10"/>
        <color theme="1"/>
        <rFont val="Calibri"/>
        <family val="2"/>
        <scheme val="minor"/>
      </rPr>
      <t>Surf_consult</t>
    </r>
  </si>
  <si>
    <t xml:space="preserve">Centre médical spécialisé pour enfants et adolescents (CAMSP – CMPP) </t>
  </si>
  <si>
    <t>Etablissement d'hébergement pour personnes âgées dépendantes (EHPAD) - Zones de vie</t>
  </si>
  <si>
    <r>
      <t xml:space="preserve">Surface utile par lit (m²/lit) </t>
    </r>
    <r>
      <rPr>
        <b/>
        <sz val="10"/>
        <color theme="1"/>
        <rFont val="Calibri"/>
        <family val="2"/>
        <scheme val="minor"/>
      </rPr>
      <t>Surf</t>
    </r>
  </si>
  <si>
    <r>
      <t xml:space="preserve">Taux d’utilisation (%)  </t>
    </r>
    <r>
      <rPr>
        <b/>
        <sz val="10"/>
        <color theme="1"/>
        <rFont val="Calibri"/>
        <family val="2"/>
      </rPr>
      <t>T_util</t>
    </r>
  </si>
  <si>
    <t>Etablissement médicalisé d'hébergement permanent pour adultes dépendants (MAS – FAM/EAM) - Zones de vie</t>
  </si>
  <si>
    <t>Etablissement de prise en charge pour les enfants et adolescents (IEM – EEAP – IME – IDA – IDV - ITEP) - Zones de vie</t>
  </si>
  <si>
    <r>
      <t>Surface par chambre</t>
    </r>
    <r>
      <rPr>
        <sz val="9"/>
        <color rgb="FF000000"/>
        <rFont val="Calibri"/>
        <family val="2"/>
        <scheme val="minor"/>
      </rPr>
      <t xml:space="preserve"> </t>
    </r>
    <r>
      <rPr>
        <sz val="10"/>
        <color rgb="FF000000"/>
        <rFont val="Calibri"/>
        <family val="2"/>
        <scheme val="minor"/>
      </rPr>
      <t xml:space="preserve">(m²) </t>
    </r>
    <r>
      <rPr>
        <b/>
        <sz val="9"/>
        <color rgb="FF000000"/>
        <rFont val="Calibri"/>
        <family val="2"/>
        <scheme val="minor"/>
      </rPr>
      <t>Surf</t>
    </r>
  </si>
  <si>
    <t>Etablissements médico-sociaux –Blanchisserie</t>
  </si>
  <si>
    <t>Etablissement médico-social –Laverie</t>
  </si>
  <si>
    <t>Amplitude horaire annuelle (h ouvrées/an) Nb_h_ouvrées</t>
  </si>
  <si>
    <t>Nombre de résidents Nb_résidents</t>
  </si>
  <si>
    <t>Etablissements médico-sociaux –Restauration collective</t>
  </si>
  <si>
    <r>
      <t xml:space="preserve">Amplitude horaire annuelle (h ouvrées/an) </t>
    </r>
    <r>
      <rPr>
        <b/>
        <sz val="10"/>
        <color theme="1"/>
        <rFont val="Calibri"/>
        <family val="2"/>
        <scheme val="minor"/>
      </rPr>
      <t>Nb_h_ouvrées</t>
    </r>
  </si>
  <si>
    <t>Ratio surfacique cuisine (%) Surf_cuisine</t>
  </si>
  <si>
    <t xml:space="preserve">Parametre supplémentaire 1 </t>
  </si>
  <si>
    <t>Densité cuisine (kWh/m²/an) DE_cuisineétalon</t>
  </si>
  <si>
    <t>Parametre supplémentaire 2</t>
  </si>
  <si>
    <t>Densité salle (kWh/m²/an) DE_salleétalon</t>
  </si>
  <si>
    <t>Parametre supplémentaire 3</t>
  </si>
  <si>
    <t>Densité totale (kWh/m²/an) DE_restaurantétalon</t>
  </si>
  <si>
    <t>Etablissements médico-sociaux – Valeur par défaut</t>
  </si>
  <si>
    <t>Etablissement d'hébergement social ou médico-social de mineurs en difficultés (MECS) - Zones de vie</t>
  </si>
  <si>
    <t xml:space="preserve">Centre Hospitalier-Restauration collective avec services – Restauration inter-entreprises </t>
  </si>
  <si>
    <t>Pente (kWh/an/(nombre de couverts servis)²)</t>
  </si>
  <si>
    <r>
      <t xml:space="preserve">Ordonnée à l’origine (kWh/an, par nombre de couverts servis) </t>
    </r>
    <r>
      <rPr>
        <b/>
        <sz val="10"/>
        <color theme="1"/>
        <rFont val="Calibri"/>
        <family val="2"/>
        <scheme val="minor"/>
      </rPr>
      <t>B</t>
    </r>
  </si>
  <si>
    <t>Centre Hospitalier-Restauration collective cuisine centrale (plateau repas)</t>
  </si>
  <si>
    <r>
      <t xml:space="preserve">Nombre de couverts (servis par jour) </t>
    </r>
    <r>
      <rPr>
        <b/>
        <sz val="10"/>
        <color theme="1"/>
        <rFont val="Calibri"/>
        <family val="2"/>
        <scheme val="minor"/>
      </rPr>
      <t>Nb_couverts</t>
    </r>
  </si>
  <si>
    <t>Surface plancher (m2)</t>
  </si>
  <si>
    <t>Centre Hospitalier-Administration</t>
  </si>
  <si>
    <t>Surface Plancher / poste de travail</t>
  </si>
  <si>
    <r>
      <t xml:space="preserve">Taux d’utilisation (%)  </t>
    </r>
    <r>
      <rPr>
        <b/>
        <sz val="10"/>
        <color theme="1"/>
        <rFont val="Calibri"/>
        <family val="2"/>
        <scheme val="minor"/>
      </rPr>
      <t>T_util</t>
    </r>
  </si>
  <si>
    <t>Centre Hospitalier-Consultations</t>
  </si>
  <si>
    <r>
      <t xml:space="preserve">Surface Plancher salle consultation ou Surface Utile Brute (m²/salle) </t>
    </r>
    <r>
      <rPr>
        <b/>
        <sz val="10"/>
        <color theme="1"/>
        <rFont val="Calibri"/>
        <family val="2"/>
        <scheme val="minor"/>
      </rPr>
      <t>Surf_consult</t>
    </r>
  </si>
  <si>
    <t>Centre Hospitalier-Hospitalisation conventionnelle</t>
  </si>
  <si>
    <t>Centre Hospitalier-Hospitalisation ambulatoire</t>
  </si>
  <si>
    <t>Centre Hospitalier-Zone accueil public</t>
  </si>
  <si>
    <t>Centre Hospitalier-Valeur par défaut</t>
  </si>
  <si>
    <t>Centre Hospitalier-Blanchisserie</t>
  </si>
  <si>
    <t>Production renseignée (t/an) P</t>
  </si>
  <si>
    <t xml:space="preserve">Surface </t>
  </si>
  <si>
    <t>Centres hospitaliers – Blocs opératoires</t>
  </si>
  <si>
    <t>Amplitude horaire annuelle blocs opératoires (h ouvrées/ an)</t>
  </si>
  <si>
    <t>Surface de plancher par bloc (m²/bloc opératoire) SDP_par_bloc</t>
  </si>
  <si>
    <t>Taux d’utilisation (%) T_util</t>
  </si>
  <si>
    <t>Centres hospitaliers – Réanimation</t>
  </si>
  <si>
    <t>Amplitude horaire annuelle (h ouvrées/ an) Nb_h_ouvrées</t>
  </si>
  <si>
    <t>Surface de plancher par lit (m²/lit) SDP_par_lit</t>
  </si>
  <si>
    <t>Centres hospitaliers – Salles blanches</t>
  </si>
  <si>
    <t>Amplitude horaire annuelle (h ouvrées/an)
Nb_h_ouvrées</t>
  </si>
  <si>
    <t>Densité énergétique réelle (kWh/m²/an) Deréelle</t>
  </si>
  <si>
    <t>Centres hospitaliers – Chambres froides positives</t>
  </si>
  <si>
    <t>Etablissement de Balnéothérapie – Bassins et Piscines (dont vestiaires et douches)</t>
  </si>
  <si>
    <t>Ratio surfacique des bassins (%) %Sbassin</t>
  </si>
  <si>
    <t>Variation de consommation selon l’amplitude horaire
(kWh/m²/an/h ouvrée) Variation_amplitude</t>
  </si>
  <si>
    <t>Variation de consommation selon le ratio surfacique bassins
(kWh/m²/an/%) Variation_%Sbassin</t>
  </si>
  <si>
    <t>Etablissement de Balnéothérapie – Zone de soins (Massages, Sauna et Hammam)</t>
  </si>
  <si>
    <t>Surface par chambre (m²) SDP_par_chambre</t>
  </si>
  <si>
    <t>Logistique - Entrepôt à température ambiante</t>
  </si>
  <si>
    <t>Logistique - Entrepôt sans maitien en température</t>
  </si>
  <si>
    <t>Salles serveurs - Local serveurs (surface salle IT &lt; 20 m²)</t>
  </si>
  <si>
    <t>PUE_Zone</t>
  </si>
  <si>
    <t>Consommation annuelle réelle des équipements informatiques (kWh/an)</t>
  </si>
  <si>
    <t>Surface</t>
  </si>
  <si>
    <t>Salles serveurs - Salle serveurs (20 m² ≤ surface salle IT &lt; 100 m²)</t>
  </si>
  <si>
    <t>Bureau - Bureaux standards</t>
  </si>
  <si>
    <t>Bureau - Open Space</t>
  </si>
  <si>
    <t>Bureau - Zone Accueil Public</t>
  </si>
  <si>
    <r>
      <t xml:space="preserve">Surface Plancher / guichet </t>
    </r>
    <r>
      <rPr>
        <sz val="9"/>
        <color theme="1"/>
        <rFont val="Calibri"/>
        <family val="2"/>
        <scheme val="minor"/>
      </rPr>
      <t xml:space="preserve">ou Surface Utile Brute </t>
    </r>
    <r>
      <rPr>
        <sz val="10"/>
        <color theme="1"/>
        <rFont val="Calibri"/>
        <family val="2"/>
        <scheme val="minor"/>
      </rPr>
      <t xml:space="preserve">(m²/guichet) </t>
    </r>
    <r>
      <rPr>
        <b/>
        <sz val="9"/>
        <color theme="1"/>
        <rFont val="Calibri"/>
        <family val="2"/>
        <scheme val="minor"/>
      </rPr>
      <t>Surf_poste</t>
    </r>
  </si>
  <si>
    <t>Bureau - Grande salle de réunion - Auditorium - Amphithéatre</t>
  </si>
  <si>
    <r>
      <t xml:space="preserve">Surface Plancher / place </t>
    </r>
    <r>
      <rPr>
        <sz val="9"/>
        <color theme="1"/>
        <rFont val="Calibri"/>
        <family val="2"/>
        <scheme val="minor"/>
      </rPr>
      <t xml:space="preserve">ou Surface Utile Brute </t>
    </r>
    <r>
      <rPr>
        <sz val="10"/>
        <color theme="1"/>
        <rFont val="Calibri"/>
        <family val="2"/>
        <scheme val="minor"/>
      </rPr>
      <t xml:space="preserve">(m²/guichet) </t>
    </r>
    <r>
      <rPr>
        <b/>
        <sz val="9"/>
        <color theme="1"/>
        <rFont val="Calibri"/>
        <family val="2"/>
        <scheme val="minor"/>
      </rPr>
      <t>Surf_poste</t>
    </r>
  </si>
  <si>
    <t>Enseignement - Maternelle</t>
  </si>
  <si>
    <t>Durée supplémentaire d'ouverture en période de chauffe par rappoirt à l'étalon (h/an)</t>
  </si>
  <si>
    <t>Durée supplémentaire d'ouverture hors période de chauffe par rappoirt à l'étalon (h/an)</t>
  </si>
  <si>
    <t>Enseignement - Elémentaire</t>
  </si>
  <si>
    <t>Enseignement - Salle multi-activités et Périscolaire</t>
  </si>
  <si>
    <t>Enseignement - Internat Primaire</t>
  </si>
  <si>
    <t>Enseignement - Collège</t>
  </si>
  <si>
    <t xml:space="preserve">Enseignement - Lycée </t>
  </si>
  <si>
    <t>Enseignement - Etablissement régional d'enseignement adapté</t>
  </si>
  <si>
    <t>Enseignement - Internat secondaire</t>
  </si>
  <si>
    <t>Centre Hospitalier - Soins et Supports - Rééducation fonctionnelle, Kinésithérapie</t>
  </si>
  <si>
    <r>
      <t>Densité énergétique moyenne</t>
    </r>
    <r>
      <rPr>
        <b/>
        <sz val="10"/>
        <color theme="1"/>
        <rFont val="Calibri"/>
        <family val="2"/>
        <scheme val="minor"/>
      </rPr>
      <t xml:space="preserve"> </t>
    </r>
    <r>
      <rPr>
        <sz val="10"/>
        <color theme="1"/>
        <rFont val="Calibri"/>
        <family val="2"/>
        <scheme val="minor"/>
      </rPr>
      <t xml:space="preserve">(Wh/m²/an) </t>
    </r>
    <r>
      <rPr>
        <b/>
        <sz val="10"/>
        <color theme="1"/>
        <rFont val="Calibri"/>
        <family val="2"/>
        <scheme val="minor"/>
      </rPr>
      <t>DE</t>
    </r>
    <r>
      <rPr>
        <b/>
        <vertAlign val="subscript"/>
        <sz val="10"/>
        <color theme="1"/>
        <rFont val="Calibri"/>
        <family val="2"/>
        <scheme val="minor"/>
      </rPr>
      <t>réelle</t>
    </r>
  </si>
  <si>
    <t>Centres hospitaliers – Laboratoires classés P2, P3, P4</t>
  </si>
  <si>
    <t>Centres hospitaliers – Laboratoires classés P2, P3, P5</t>
  </si>
  <si>
    <t>Centres hospitaliers – Laboratoires classés P2, P3, P6</t>
  </si>
  <si>
    <t>Centres hospitaliers – Laboratoires classés P2, P3, P7</t>
  </si>
  <si>
    <t>Centres hospitaliers – Laboratoires classés P2, P3, P8</t>
  </si>
  <si>
    <t>Centres hospitaliers – Laboratoires classés P2, P3, P9</t>
  </si>
  <si>
    <t>Densité énergétique réelle (kWh/m²/an) DEréelle</t>
  </si>
  <si>
    <t>Centres hospitaliers – Laboratoires classés P2, P3, P10</t>
  </si>
  <si>
    <t>Centres hospitaliers – Laboratoires classés P2, P3, P11</t>
  </si>
  <si>
    <t>Centres hospitaliers – Stérilisation</t>
  </si>
  <si>
    <t>Centres hospitaliers – Imageries médicales</t>
  </si>
  <si>
    <t>Amplitude horaire annuelle (h ouvrées/an)</t>
  </si>
  <si>
    <t>Densité énergétique réelle (kWh/m²/an)</t>
  </si>
  <si>
    <t>Centres hospitaliers – Laboratoires courants</t>
  </si>
  <si>
    <t>Collège ‐ Salles d'enseignements professionnels adaptés</t>
  </si>
  <si>
    <t>Enseignement secondaire ‐ Salles de TP</t>
  </si>
  <si>
    <t>Zones Géographiques</t>
  </si>
  <si>
    <t>en kWh/m²/an</t>
  </si>
  <si>
    <t>Guadeloupe</t>
  </si>
  <si>
    <t>Martinique</t>
  </si>
  <si>
    <t>Guyane</t>
  </si>
  <si>
    <t>Réunion</t>
  </si>
  <si>
    <t>Mayotte</t>
  </si>
  <si>
    <t>Définie par arrêté</t>
  </si>
  <si>
    <t xml:space="preserve">Définie par arrêté </t>
  </si>
  <si>
    <t xml:space="preserve">  </t>
  </si>
  <si>
    <t>Logistique - Logistique ou messagerie température dirigée +12 à +17°C</t>
  </si>
  <si>
    <t>Catégories</t>
  </si>
  <si>
    <t>Etablissements_Médico_sociaux</t>
  </si>
  <si>
    <t>Centre_Hospitalier</t>
  </si>
  <si>
    <t>Etablissement_Balneo</t>
  </si>
  <si>
    <t>Logistique</t>
  </si>
  <si>
    <t>Bureau_services_Publics</t>
  </si>
  <si>
    <t>Enseignement</t>
  </si>
  <si>
    <t>Salles_serveurs</t>
  </si>
  <si>
    <t xml:space="preserve">Penser à ajouter les nouvelles sous catégories dans les feuilles CABS_CVC, Calcul_CABS et SurfaceXactvités </t>
  </si>
  <si>
    <t>Moyenne</t>
  </si>
  <si>
    <t>DJU Mensuels Climaticien</t>
  </si>
  <si>
    <t>DJU Mensuels DJU Chauffagiste</t>
  </si>
  <si>
    <t>Calcul du DJU moyen</t>
  </si>
  <si>
    <t>Numéro</t>
  </si>
  <si>
    <t>Département</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</si>
  <si>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</si>
  <si>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</si>
  <si>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</si>
  <si>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</si>
  <si>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</si>
  <si>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</si>
  <si>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</si>
  <si>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</si>
  <si>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</si>
  <si>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</si>
  <si>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</si>
  <si>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</si>
  <si>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</si>
  <si>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</si>
  <si>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</si>
  <si>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</si>
  <si>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</si>
  <si>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</si>
  <si>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</si>
  <si>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Corse-du-Sud / Haute-Corse</t>
  </si>
  <si>
    <t>Côte-d’Or</t>
  </si>
  <si>
    <t>Côtes-d’Armor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</si>
  <si>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</si>
  <si>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</si>
  <si>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</si>
  <si>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</si>
  <si>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</si>
  <si>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</si>
  <si>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</si>
  <si>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</si>
  <si>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</si>
  <si>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</si>
  <si>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</si>
  <si>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</si>
  <si>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</si>
  <si>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</si>
  <si>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</si>
  <si>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</si>
  <si>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</si>
  <si>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</si>
  <si>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</si>
  <si>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</si>
  <si>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</si>
  <si>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</si>
  <si>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</si>
  <si>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</si>
  <si>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</si>
  <si>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</si>
  <si>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</si>
  <si>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</si>
  <si>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</si>
  <si>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</si>
  <si>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</si>
  <si>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</si>
  <si>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</si>
  <si>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</si>
  <si>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</si>
  <si>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</si>
  <si>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</si>
  <si>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</si>
  <si>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</si>
  <si>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</si>
  <si>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</si>
  <si>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</si>
  <si>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</si>
  <si>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</si>
  <si>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</si>
  <si>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</si>
  <si>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</si>
  <si>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</si>
  <si>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</si>
  <si>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</si>
  <si>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</si>
  <si>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</si>
  <si>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</si>
  <si>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</si>
  <si>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</si>
  <si>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</si>
  <si>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</si>
  <si>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</si>
  <si>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</si>
  <si>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</si>
  <si>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</si>
  <si>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</si>
  <si>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</si>
  <si>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</si>
  <si>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</si>
  <si>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</si>
  <si>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</si>
  <si>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</si>
  <si>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</si>
  <si>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</si>
  <si>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</si>
  <si>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</si>
  <si>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</si>
  <si>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Auvergne-Rhône-Alpes</t>
  </si>
  <si>
    <t>Hauts-de-France</t>
  </si>
  <si>
    <t>Provence-Alpes-Côte d'Azur</t>
  </si>
  <si>
    <t>Grand Est</t>
  </si>
  <si>
    <t>Occitanie</t>
  </si>
  <si>
    <t>Normandie</t>
  </si>
  <si>
    <t>Nouvelle-Aquitaine</t>
  </si>
  <si>
    <t>Centre-Val de Loire</t>
  </si>
  <si>
    <t>Bourgogne-Franche-Comté</t>
  </si>
  <si>
    <t>Bretagne</t>
  </si>
  <si>
    <t>Pays de la Loire</t>
  </si>
  <si>
    <t>Île-de-France</t>
  </si>
  <si>
    <t>Corse</t>
  </si>
  <si>
    <t>Region</t>
  </si>
  <si>
    <t>La Réunion</t>
  </si>
  <si>
    <t>Outre-mer</t>
  </si>
  <si>
    <t>1.56</t>
  </si>
  <si>
    <t xml:space="preserve">Gestion des DJU depuis une BDD externe pour diffusion nationale du fichier
Module calcul du Cabs pour le décret tertiaire avec les modulations
</t>
  </si>
  <si>
    <t xml:space="preserve">Par défaut, la colonne "Quantité Restante dans la cuve après plein" (colonne D) se remplit </t>
  </si>
  <si>
    <t>automatiquement avec la valeur déduite des lignes précédentes</t>
  </si>
  <si>
    <t>et "Montant" (Colonnes F, G et H) dans l'onglet compteur approprié ou faire des liens entre cellules.</t>
  </si>
  <si>
    <t>Test Cohérence des données DJU</t>
  </si>
  <si>
    <t>Si des valeurs apparaissent en rouge ci-dessous, vos données climatiques sont erronnées</t>
  </si>
  <si>
    <t>Station Météo</t>
  </si>
  <si>
    <t>3. Actualisez les tableaux croisés dynamiques ci-dessous en cliquant sur l'onglet "Données" puis le bouton "Actualiser tout"</t>
  </si>
  <si>
    <t>si toujours en activité indiquer une année lointaine (ex: 2030)</t>
  </si>
  <si>
    <t>Années DEET</t>
  </si>
  <si>
    <t>Si très ancien indiquer 2010</t>
  </si>
  <si>
    <r>
      <t xml:space="preserve">Une fois les données de comptage remplies, veuillez les actualiser en faisant Ctrl+Alt+F5 ou en cliquant sur le bouton "Actualiser tout" dans l'onglet "Données" de la barre d'Outils Excel
</t>
    </r>
    <r>
      <rPr>
        <sz val="11"/>
        <color theme="1"/>
        <rFont val="Calibri"/>
        <family val="2"/>
        <scheme val="minor"/>
      </rPr>
      <t>Accès aux onglets des compteurs :</t>
    </r>
  </si>
  <si>
    <t>1.57</t>
  </si>
  <si>
    <t>Mise à jour avec le jeu de données de test "EHPAD IDEAL"</t>
  </si>
  <si>
    <t>Somme de Conso_kWh_PCI</t>
  </si>
  <si>
    <t>PCI_EP</t>
  </si>
  <si>
    <t>PCI/EP</t>
  </si>
  <si>
    <t>Annee</t>
  </si>
  <si>
    <t>Somme de Cout_jour</t>
  </si>
  <si>
    <t>Somme de Demande_jour</t>
  </si>
  <si>
    <t>Moyenne de Conso_kWh_PCI</t>
  </si>
  <si>
    <t>févr</t>
  </si>
  <si>
    <t>août</t>
  </si>
  <si>
    <t>déc</t>
  </si>
  <si>
    <t>Nombre de DJU(chauffagiste)</t>
  </si>
  <si>
    <t>Nombre de DJU(climaticien)</t>
  </si>
  <si>
    <t>Moyenne de DJU(chauffagiste)</t>
  </si>
  <si>
    <t xml:space="preserve">Nom: </t>
  </si>
  <si>
    <t>Type :</t>
  </si>
  <si>
    <t>Source :</t>
  </si>
  <si>
    <t>Detail usage :</t>
  </si>
  <si>
    <t>Combustible :</t>
  </si>
  <si>
    <t>All</t>
  </si>
  <si>
    <t>Talon :</t>
  </si>
  <si>
    <t>Indicateur elec</t>
  </si>
  <si>
    <t>Indicateur thermique</t>
  </si>
  <si>
    <t>Talon thermique</t>
  </si>
  <si>
    <t>Talon elec</t>
  </si>
  <si>
    <t>Talon Thermique</t>
  </si>
  <si>
    <t>Talon Elec</t>
  </si>
  <si>
    <t>Synthèse!C6</t>
  </si>
  <si>
    <t>Synthèse!C9:C10</t>
  </si>
  <si>
    <t>Conso_DJU</t>
  </si>
  <si>
    <t>Nom du site</t>
  </si>
  <si>
    <t>Conso [MWh]</t>
  </si>
  <si>
    <t>Conso Corrigée [MWh]</t>
  </si>
  <si>
    <t xml:space="preserve">Talon de consommation électrique </t>
  </si>
  <si>
    <t>Surface totale</t>
  </si>
  <si>
    <t>Valeur [kW] ou kVA</t>
  </si>
  <si>
    <t>Eau - General EF</t>
  </si>
  <si>
    <t>Conso annuelle</t>
  </si>
  <si>
    <t xml:space="preserve"> (ECS, Cuisson et Blanchisserie)</t>
  </si>
  <si>
    <t>Ou Forcer la part chauffage ?</t>
  </si>
  <si>
    <t>Complétez ici les talons de consommations issus d'Optiturpe :</t>
  </si>
  <si>
    <t>Conso_brut</t>
  </si>
  <si>
    <t>Dates (année)</t>
  </si>
  <si>
    <t>Colonne2</t>
  </si>
  <si>
    <t>nouveau compteur posé par Engie</t>
  </si>
  <si>
    <t>fev</t>
  </si>
  <si>
    <t>aout</t>
  </si>
  <si>
    <t>dec</t>
  </si>
  <si>
    <t>septembre</t>
  </si>
  <si>
    <t>octobre</t>
  </si>
  <si>
    <t>novembre</t>
  </si>
  <si>
    <t>décembre</t>
  </si>
  <si>
    <t>Evolution principale et majeure : 
Refonte de la métode d'aggregation des données en passant par Power Query et Power Pivot
Cette refonte vient corriger les erreurs de calcul lorsque des consommations ou factures étaient à cheval sur une période (anné ou mois...)
Correction Calcul Energie Primaire Thermique dans Calcul_Bilan_Energie
Ajout d'un segment dans l'onglet Site pour sélectionner les mois à considérer pour l'ECS
Amélioration de la gestion des cuves 
Intégration des talons de conso élec et chaleur
Mise en place d'une mise en forme conditionnelle pour que les dates qui ne respectent pas l'ordre chronologique apparaissent en rouge
Extension du fichier jusqu'en 2030
Actualisation des statistiques de consommations régionales
Suppression de l'onglet "Sous Compteurs" et regroupement des sous compteurs avec les compteurs
Ajout de messages d'alerte s'il manque des DJU
Correction des erreurs liées à l'addition de comptage + sous comptage dans certains onglets</t>
  </si>
  <si>
    <t>Conso jour période estivale</t>
  </si>
  <si>
    <t>Si la liste des compteurs n'est pas bonne
re-sélectionner les années sur la frise chronologique</t>
  </si>
  <si>
    <t>Les chiffres sont les données brutes issues de vos saisies, 
non corrigés de la rigueur climatique</t>
  </si>
  <si>
    <t>Pour bénéficier d'un objectif plus favorable, vous devez déclarer le détail de vos surfaces : "Zones de vie" + "Restauration Collective" + "Laverie"…</t>
  </si>
  <si>
    <t>Elec Générale (Factures)</t>
  </si>
  <si>
    <t>Chaleur Générale (factures)</t>
  </si>
  <si>
    <t>Eau Générale (factures)</t>
  </si>
  <si>
    <t>2012</t>
  </si>
  <si>
    <t>Total Moyenne de Conso_kWh_PCI</t>
  </si>
  <si>
    <t>Total Moyenne de Conso_kWh_DEET</t>
  </si>
  <si>
    <t>Moyenne de Conso_kWh_DEET</t>
  </si>
  <si>
    <t>Total Somme de Demande_jour</t>
  </si>
  <si>
    <t>Total Somme de Conso_kWh_PCI</t>
  </si>
  <si>
    <t>Total Somme de Conso_kWh_DEET</t>
  </si>
  <si>
    <t>Total Somme de Conso_kWhEP</t>
  </si>
  <si>
    <t>Somme de Conso_kWh_DEET</t>
  </si>
  <si>
    <t>Somme de Conso_kWhEP</t>
  </si>
  <si>
    <t>1.997</t>
  </si>
  <si>
    <t>Si les mois ne s'affichent pas, vous pourrez sélectionner les mois 
sans chauffage après avoir rempli un onglet compteur et actualisé les données :</t>
  </si>
  <si>
    <t xml:space="preserve">Année référence conseillée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</si>
</sst>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8" formatCode="#,##0.00\ &quot;€&quot;;[Red]\-#,##0.00\ &quot;€&quot;"/>
    <numFmt numFmtId="44" formatCode="_-* #,##0.00\ &quot;€&quot;_-;\-* #,##0.00\ &quot;€&quot;_-;_-* &quot;-&quot;??\ &quot;€&quot;_-;_-@_-"/>
    <numFmt numFmtId="43" formatCode="_-* #,##0.00_-;\-* #,##0.00_-;_-* &quot;-&quot;??_-;_-@_-"/>
    <numFmt numFmtId="164" formatCode="0.000"/>
    <numFmt numFmtId="165" formatCode="_-* #,##0.0\ _€_-;\-* #,##0.0\ _€_-;_-* \-?\ _€_-;_-@_-"/>
    <numFmt numFmtId="166" formatCode="_-* #,##0.00\ _€_-;\-* #,##0.00\ _€_-;_-* \-??\ _€_-;_-@_-"/>
    <numFmt numFmtId="167" formatCode="_-* #,##0.0\ _€_-;\-* #,##0.0\ _€_-;_-* \-??\ _€_-;_-@_-"/>
    <numFmt numFmtId="168" formatCode="0.0&quot; kWh/m².an&quot;"/>
    <numFmt numFmtId="169" formatCode="_-* #,##0\ &quot;€&quot;_-;\-* #,##0\ &quot;€&quot;_-;_-* &quot;-&quot;??\ &quot;€&quot;_-;_-@_-"/>
    <numFmt numFmtId="170" formatCode="0.0&quot; l/j.lit&quot;"/>
    <numFmt numFmtId="171" formatCode="_-* #,##0_-;\-* #,##0_-;_-* &quot;-&quot;??_-;_-@_-"/>
    <numFmt numFmtId="172" formatCode="0.0&quot; kWhEP/m².an&quot;"/>
    <numFmt numFmtId="173" formatCode="0.00&quot; MWh [EF PCI]&quot;"/>
    <numFmt numFmtId="174" formatCode="0.0&quot; kWh [EP PCI]/m².an&quot;"/>
    <numFmt numFmtId="175" formatCode="0.0&quot; kWh [EF PCI]/m².an&quot;"/>
    <numFmt numFmtId="176" formatCode="0.0"/>
    <numFmt numFmtId="177" formatCode="0&quot; m²/usager&quot;"/>
    <numFmt numFmtId="178" formatCode="0.0%"/>
    <numFmt numFmtId="179" formatCode="_-* #,##0.0_-;\-* #,##0.0_-;_-* &quot;-&quot;??_-;_-@_-"/>
    <numFmt numFmtId="180" formatCode="0.0&quot; l/j.Usager&quot;"/>
    <numFmt numFmtId="181" formatCode="0.0&quot; W/m²&quot;"/>
    <numFmt numFmtId="182" formatCode="0.0&quot; kWh/mois.m²&quot;"/>
    <numFmt numFmtId="183" formatCode="_-* #,##0.0\ _€_-;\-* #,##0.0\ _€_-;_-* &quot;-&quot;?\ _€_-;_-@_-"/>
    <numFmt numFmtId="184" formatCode="_-* #,##0.000000\ _€_-;\-* #,##0.000000\ _€_-;_-* &quot;-&quot;?\ _€_-;_-@_-"/>
  </numFmts>
  <fonts count="76">
    <font>
      <sz val="11"/>
      <color theme="1"/>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sz val="10"/>
      <color rgb="FF000000"/>
      <name val="Calibri"/>
      <family val="2"/>
    </font>
    <font>
      <b/>
      <sz val="10"/>
      <color theme="1"/>
      <name val="Arial"/>
      <family val="2"/>
    </font>
    <font>
      <sz val="10"/>
      <color theme="1"/>
      <name val="Calibri"/>
      <family val="2"/>
      <scheme val="minor"/>
    </font>
    <font>
      <sz val="10"/>
      <color rgb="FF000000"/>
      <name val="Calibri"/>
      <family val="2"/>
      <charset val="1"/>
    </font>
    <font>
      <b/>
      <sz val="11"/>
      <color theme="1"/>
      <name val="Calibri"/>
      <family val="2"/>
      <scheme val="minor"/>
    </font>
    <font>
      <sz val="11"/>
      <color rgb="FF000000"/>
      <name val="Calibri"/>
      <family val="2"/>
      <charset val="1"/>
    </font>
    <font>
      <b/>
      <sz val="11"/>
      <color rgb="FFFFFFFF"/>
      <name val="Calibri"/>
      <family val="2"/>
      <charset val="1"/>
    </font>
    <font>
      <b/>
      <sz val="14"/>
      <color theme="1"/>
      <name val="Calibri"/>
      <family val="2"/>
      <scheme val="minor"/>
    </font>
    <font>
      <b/>
      <sz val="10"/>
      <color rgb="FF000000"/>
      <name val="Calibri"/>
      <family val="2"/>
      <charset val="1"/>
    </font>
    <font>
      <sz val="11"/>
      <color rgb="FFFF0000"/>
      <name val="Calibri"/>
      <family val="2"/>
      <scheme val="minor"/>
    </font>
    <font>
      <b/>
      <sz val="10"/>
      <color theme="0"/>
      <name val="Calibri Light"/>
      <family val="2"/>
      <scheme val="major"/>
    </font>
    <font>
      <b/>
      <sz val="10"/>
      <color theme="1"/>
      <name val="Calibri Light"/>
      <family val="2"/>
      <scheme val="major"/>
    </font>
    <font>
      <sz val="11"/>
      <name val="Calibri"/>
      <family val="2"/>
      <scheme val="minor"/>
    </font>
    <font>
      <b/>
      <sz val="10"/>
      <color rgb="FF000000"/>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Calibri"/>
      <family val="2"/>
    </font>
    <font>
      <b/>
      <sz val="9"/>
      <color theme="1"/>
      <name val="Calibri"/>
      <family val="2"/>
    </font>
    <font>
      <sz val="10"/>
      <color rgb="FFFF0000"/>
      <name val="Calibri"/>
      <family val="2"/>
      <scheme val="minor"/>
    </font>
    <font>
      <sz val="8"/>
      <color rgb="FFFF0000"/>
      <name val="Calibri"/>
      <family val="2"/>
      <scheme val="minor"/>
    </font>
    <font>
      <b/>
      <sz val="9"/>
      <color theme="1"/>
      <name val="Calibri"/>
      <family val="2"/>
      <scheme val="minor"/>
    </font>
    <font>
      <sz val="9"/>
      <color theme="1"/>
      <name val="Calibri"/>
      <family val="2"/>
      <scheme val="minor"/>
    </font>
    <font>
      <b/>
      <sz val="9"/>
      <color indexed="81"/>
      <name val="Tahoma"/>
      <family val="2"/>
    </font>
    <font>
      <sz val="9"/>
      <color indexed="81"/>
      <name val="Tahoma"/>
      <family val="2"/>
    </font>
    <font>
      <sz val="11"/>
      <color indexed="81"/>
      <name val="Tahoma"/>
      <family val="2"/>
    </font>
    <font>
      <sz val="9"/>
      <color rgb="FFFF0000"/>
      <name val="Calibri"/>
      <family val="2"/>
      <scheme val="minor"/>
    </font>
    <font>
      <b/>
      <sz val="16"/>
      <color theme="1"/>
      <name val="Calibri"/>
      <family val="2"/>
      <scheme val="minor"/>
    </font>
    <font>
      <sz val="8"/>
      <name val="Calibri"/>
      <family val="2"/>
      <scheme val="minor"/>
    </font>
    <font>
      <u/>
      <sz val="11"/>
      <color theme="10"/>
      <name val="Calibri"/>
      <family val="2"/>
      <scheme val="minor"/>
    </font>
    <font>
      <sz val="11"/>
      <color rgb="FF0070C0"/>
      <name val="Calibri"/>
      <family val="2"/>
      <scheme val="minor"/>
    </font>
    <font>
      <sz val="8"/>
      <color theme="1"/>
      <name val="Calibri"/>
      <family val="2"/>
      <scheme val="minor"/>
    </font>
    <font>
      <sz val="11"/>
      <color rgb="FF9933FF"/>
      <name val="Calibri"/>
      <family val="2"/>
      <scheme val="minor"/>
    </font>
    <font>
      <sz val="11"/>
      <color rgb="FF1506DE"/>
      <name val="Calibri"/>
      <family val="2"/>
      <scheme val="minor"/>
    </font>
    <font>
      <sz val="12"/>
      <color theme="1"/>
      <name val="Calibri"/>
      <family val="2"/>
      <scheme val="minor"/>
    </font>
    <font>
      <sz val="10"/>
      <name val="Calibri"/>
      <family val="2"/>
      <scheme val="minor"/>
    </font>
    <font>
      <sz val="11"/>
      <color theme="1"/>
      <name val="Calibri"/>
      <family val="2"/>
    </font>
    <font>
      <b/>
      <sz val="10"/>
      <color theme="1"/>
      <name val="Calibri"/>
      <family val="2"/>
    </font>
    <font>
      <sz val="10"/>
      <color rgb="FF000000"/>
      <name val="Calibri"/>
      <family val="2"/>
      <scheme val="minor"/>
    </font>
    <font>
      <sz val="9"/>
      <color rgb="FF000000"/>
      <name val="Calibri"/>
      <family val="2"/>
      <scheme val="minor"/>
    </font>
    <font>
      <b/>
      <sz val="9"/>
      <color rgb="FF000000"/>
      <name val="Calibri"/>
      <family val="2"/>
      <scheme val="minor"/>
    </font>
    <font>
      <b/>
      <vertAlign val="subscript"/>
      <sz val="10"/>
      <color theme="1"/>
      <name val="Calibri"/>
      <family val="2"/>
      <scheme val="minor"/>
    </font>
    <font>
      <sz val="8"/>
      <color theme="1"/>
      <name val="Calibri"/>
      <family val="2"/>
    </font>
    <font>
      <sz val="10"/>
      <color rgb="FF00B050"/>
      <name val="Calibri"/>
      <family val="2"/>
    </font>
    <font>
      <b/>
      <sz val="10"/>
      <color rgb="FF00B050"/>
      <name val="Calibri"/>
      <family val="2"/>
    </font>
    <font>
      <sz val="8"/>
      <color rgb="FF00B050"/>
      <name val="Calibri"/>
      <family val="2"/>
    </font>
    <font>
      <sz val="11"/>
      <color rgb="FF000000"/>
      <name val="Calibri"/>
      <family val="2"/>
    </font>
    <font>
      <b/>
      <sz val="10"/>
      <color rgb="FF0000FF"/>
      <name val="Calibri"/>
      <family val="2"/>
    </font>
    <font>
      <sz val="8"/>
      <color rgb="FF0000FF"/>
      <name val="Calibri"/>
      <family val="2"/>
    </font>
    <font>
      <sz val="10"/>
      <color rgb="FFFF0000"/>
      <name val="Calibri"/>
      <family val="2"/>
    </font>
    <font>
      <b/>
      <sz val="10"/>
      <color rgb="FFFF0000"/>
      <name val="Calibri"/>
      <family val="2"/>
    </font>
    <font>
      <sz val="8"/>
      <color rgb="FFFF0000"/>
      <name val="Calibri"/>
      <family val="2"/>
    </font>
    <font>
      <sz val="10"/>
      <color rgb="FF0000FF"/>
      <name val="Calibri"/>
      <family val="2"/>
    </font>
    <font>
      <i/>
      <sz val="10"/>
      <color theme="1"/>
      <name val="Calibri"/>
      <family val="2"/>
    </font>
    <font>
      <i/>
      <sz val="10"/>
      <color rgb="FF0000FF"/>
      <name val="Calibri"/>
      <family val="2"/>
    </font>
    <font>
      <i/>
      <sz val="8"/>
      <color theme="1"/>
      <name val="Calibri"/>
      <family val="2"/>
    </font>
    <font>
      <b/>
      <sz val="11"/>
      <color rgb="FFFF0000"/>
      <name val="Calibri"/>
      <family val="2"/>
      <scheme val="minor"/>
    </font>
    <font>
      <b/>
      <u/>
      <sz val="11"/>
      <color theme="1"/>
      <name val="Calibri"/>
      <family val="2"/>
      <scheme val="minor"/>
    </font>
    <font>
      <sz val="11"/>
      <name val="Calibri"/>
      <family val="2"/>
    </font>
    <font>
      <sz val="11"/>
      <color rgb="FF000000"/>
      <name val="Calibri"/>
      <family val="2"/>
      <charset val="134"/>
      <scheme val="minor"/>
    </font>
    <font>
      <sz val="11"/>
      <color rgb="FF000000"/>
      <name val="Calibri"/>
      <family val="2"/>
      <scheme val="minor"/>
    </font>
    <font>
      <b/>
      <sz val="11"/>
      <color theme="0"/>
      <name val="Calibri"/>
      <family val="2"/>
      <scheme val="minor"/>
    </font>
  </fonts>
  <fills count="73">
    <fill>
      <patternFill patternType="none"/>
    </fill>
    <fill>
      <patternFill patternType="gray125"/>
    </fill>
    <fill>
      <patternFill patternType="solid">
        <fgColor theme="4"/>
        <bgColor theme="4"/>
      </patternFill>
    </fill>
    <fill>
      <patternFill patternType="solid">
        <fgColor theme="8" tint="0.39997558519241921"/>
        <bgColor indexed="64"/>
      </patternFill>
    </fill>
    <fill>
      <patternFill patternType="solid">
        <fgColor theme="4" tint="0.59999389629810485"/>
        <bgColor rgb="FFFFFFD7"/>
      </patternFill>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rgb="FF5B9BD5"/>
        <bgColor rgb="FF4F81BD"/>
      </patternFill>
    </fill>
    <fill>
      <patternFill patternType="solid">
        <fgColor theme="0"/>
        <bgColor rgb="FFFFFFD7"/>
      </patternFill>
    </fill>
    <fill>
      <patternFill patternType="solid">
        <fgColor theme="0"/>
        <bgColor rgb="FF4F81BD"/>
      </patternFill>
    </fill>
    <fill>
      <patternFill patternType="solid">
        <fgColor theme="0"/>
        <bgColor rgb="FFFF99CC"/>
      </patternFill>
    </fill>
    <fill>
      <patternFill patternType="solid">
        <fgColor rgb="FFFFFFFF"/>
        <bgColor rgb="FFF2F2F2"/>
      </patternFill>
    </fill>
    <fill>
      <patternFill patternType="solid">
        <fgColor theme="8" tint="-0.249977111117893"/>
        <bgColor rgb="FFFFE598"/>
      </patternFill>
    </fill>
    <fill>
      <patternFill patternType="solid">
        <fgColor theme="8" tint="0.39997558519241921"/>
        <bgColor rgb="FFFFE598"/>
      </patternFill>
    </fill>
    <fill>
      <patternFill patternType="solid">
        <fgColor theme="4" tint="0.39997558519241921"/>
        <bgColor rgb="FF4F81BD"/>
      </patternFill>
    </fill>
    <fill>
      <patternFill patternType="solid">
        <fgColor theme="4" tint="0.39997558519241921"/>
        <bgColor indexed="64"/>
      </patternFill>
    </fill>
    <fill>
      <patternFill patternType="solid">
        <fgColor theme="4" tint="0.79998168889431442"/>
        <bgColor rgb="FFFFFFD7"/>
      </patternFill>
    </fill>
    <fill>
      <patternFill patternType="solid">
        <fgColor theme="2"/>
        <bgColor rgb="FFFF99CC"/>
      </patternFill>
    </fill>
    <fill>
      <patternFill patternType="solid">
        <fgColor theme="2"/>
        <bgColor indexed="64"/>
      </patternFill>
    </fill>
    <fill>
      <patternFill patternType="solid">
        <fgColor theme="4" tint="0.39997558519241921"/>
        <bgColor rgb="FFFFFFD7"/>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5B8B7"/>
        <bgColor rgb="FFE5B8B7"/>
      </patternFill>
    </fill>
    <fill>
      <patternFill patternType="solid">
        <fgColor theme="0"/>
        <bgColor theme="0"/>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33CC33"/>
        <bgColor indexed="64"/>
      </patternFill>
    </fill>
    <fill>
      <patternFill patternType="solid">
        <fgColor rgb="FFFFFF00"/>
        <bgColor rgb="FFFF99CC"/>
      </patternFill>
    </fill>
    <fill>
      <patternFill patternType="solid">
        <fgColor rgb="FFFFFFFF"/>
        <bgColor indexed="64"/>
      </patternFill>
    </fill>
    <fill>
      <patternFill patternType="solid">
        <fgColor rgb="FF92D050"/>
        <bgColor rgb="FFFBD4B4"/>
      </patternFill>
    </fill>
    <fill>
      <patternFill patternType="solid">
        <fgColor rgb="FFFFC000"/>
        <bgColor rgb="FFFBD4B4"/>
      </patternFill>
    </fill>
    <fill>
      <patternFill patternType="solid">
        <fgColor theme="4" tint="0.39997558519241921"/>
        <bgColor rgb="FFFBD4B4"/>
      </patternFill>
    </fill>
    <fill>
      <patternFill patternType="solid">
        <fgColor theme="9" tint="0.59999389629810485"/>
        <bgColor rgb="FFFBD4B4"/>
      </patternFill>
    </fill>
  </fills>
  <borders count="102">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1"/>
      </left>
      <right/>
      <top style="medium">
        <color theme="1"/>
      </top>
      <bottom style="medium">
        <color theme="1"/>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right style="thin">
        <color auto="1"/>
      </right>
      <top style="medium">
        <color theme="1"/>
      </top>
      <bottom style="medium">
        <color theme="1"/>
      </bottom>
      <diagonal/>
    </border>
    <border>
      <left style="thin">
        <color auto="1"/>
      </left>
      <right style="medium">
        <color indexed="64"/>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indexed="64"/>
      </right>
      <top style="thin">
        <color indexed="6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tint="0.39997558519241921"/>
      </left>
      <right style="thin">
        <color theme="4" tint="0.3999755851924192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1"/>
      </left>
      <right/>
      <top style="medium">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style="thin">
        <color theme="4" tint="0.39997558519241921"/>
      </right>
      <top/>
      <bottom style="thin">
        <color theme="4" tint="0.39997558519241921"/>
      </bottom>
      <diagonal/>
    </border>
    <border>
      <left/>
      <right/>
      <top/>
      <bottom style="thin">
        <color rgb="FF9BC2E6"/>
      </bottom>
      <diagonal/>
    </border>
    <border>
      <left/>
      <right style="thin">
        <color theme="4" tint="0.39997558519241921"/>
      </right>
      <top/>
      <bottom style="thin">
        <color rgb="FF9BC2E6"/>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thin">
        <color theme="4"/>
      </left>
      <right/>
      <top style="thin">
        <color theme="4"/>
      </top>
      <bottom style="thin">
        <color theme="4" tint="0.39997558519241921"/>
      </bottom>
      <diagonal/>
    </border>
    <border>
      <left style="thin">
        <color theme="4"/>
      </left>
      <right/>
      <top style="thin">
        <color theme="4" tint="0.39997558519241921"/>
      </top>
      <bottom style="thin">
        <color theme="4" tint="0.3999755851924192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theme="4"/>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thin">
        <color theme="4"/>
      </left>
      <right/>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auto="1"/>
      </right>
      <top style="thin">
        <color indexed="64"/>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n">
        <color auto="1"/>
      </right>
      <top/>
      <bottom/>
      <diagonal/>
    </border>
    <border>
      <left style="medium">
        <color indexed="64"/>
      </left>
      <right/>
      <top style="medium">
        <color indexed="64"/>
      </top>
      <bottom/>
      <diagonal/>
    </border>
    <border>
      <left/>
      <right style="medium">
        <color indexed="64"/>
      </right>
      <top style="thin">
        <color auto="1"/>
      </top>
      <bottom style="thin">
        <color auto="1"/>
      </bottom>
      <diagonal/>
    </border>
  </borders>
  <cellStyleXfs count="7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4" fontId="1" fillId="0" borderId="0" applyFont="0" applyFill="0" applyBorder="0" applyAlignment="0" applyProtection="0"/>
    <xf numFmtId="44" fontId="1" fillId="0" borderId="0" applyFont="0" applyFill="0" applyBorder="0" applyAlignment="0" applyProtection="0"/>
    <xf numFmtId="166" fontId="9" fillId="0" borderId="0" applyBorder="0" applyProtection="0"/>
    <xf numFmtId="0" fontId="18" fillId="0" borderId="0" applyNumberFormat="0" applyFill="0" applyBorder="0" applyAlignment="0" applyProtection="0"/>
    <xf numFmtId="0" fontId="19" fillId="0" borderId="50" applyNumberFormat="0" applyFill="0" applyAlignment="0" applyProtection="0"/>
    <xf numFmtId="0" fontId="20" fillId="0" borderId="51" applyNumberFormat="0" applyFill="0" applyAlignment="0" applyProtection="0"/>
    <xf numFmtId="0" fontId="21" fillId="0" borderId="52" applyNumberFormat="0" applyFill="0" applyAlignment="0" applyProtection="0"/>
    <xf numFmtId="0" fontId="21" fillId="0" borderId="0" applyNumberFormat="0" applyFill="0" applyBorder="0" applyAlignment="0" applyProtection="0"/>
    <xf numFmtId="0" fontId="22" fillId="23" borderId="0" applyNumberFormat="0" applyBorder="0" applyAlignment="0" applyProtection="0"/>
    <xf numFmtId="0" fontId="23" fillId="24" borderId="0" applyNumberFormat="0" applyBorder="0" applyAlignment="0" applyProtection="0"/>
    <xf numFmtId="0" fontId="24" fillId="25" borderId="0" applyNumberFormat="0" applyBorder="0" applyAlignment="0" applyProtection="0"/>
    <xf numFmtId="0" fontId="25" fillId="26" borderId="53" applyNumberFormat="0" applyAlignment="0" applyProtection="0"/>
    <xf numFmtId="0" fontId="26" fillId="27" borderId="54" applyNumberFormat="0" applyAlignment="0" applyProtection="0"/>
    <xf numFmtId="0" fontId="27" fillId="27" borderId="53" applyNumberFormat="0" applyAlignment="0" applyProtection="0"/>
    <xf numFmtId="0" fontId="28" fillId="0" borderId="55" applyNumberFormat="0" applyFill="0" applyAlignment="0" applyProtection="0"/>
    <xf numFmtId="0" fontId="2" fillId="28" borderId="56" applyNumberFormat="0" applyAlignment="0" applyProtection="0"/>
    <xf numFmtId="0" fontId="13" fillId="0" borderId="0" applyNumberFormat="0" applyFill="0" applyBorder="0" applyAlignment="0" applyProtection="0"/>
    <xf numFmtId="0" fontId="1" fillId="29" borderId="57" applyNumberFormat="0" applyFont="0" applyAlignment="0" applyProtection="0"/>
    <xf numFmtId="0" fontId="29" fillId="0" borderId="0" applyNumberFormat="0" applyFill="0" applyBorder="0" applyAlignment="0" applyProtection="0"/>
    <xf numFmtId="0" fontId="8" fillId="0" borderId="58" applyNumberFormat="0" applyFill="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2" fillId="0" borderId="0"/>
  </cellStyleXfs>
  <cellXfs count="604">
    <xf numFmtId="0" fontId="0" fillId="0" borderId="0" xfId="0"/>
    <xf numFmtId="0" fontId="2" fillId="2" borderId="2" xfId="0" applyFont="1" applyFill="1" applyBorder="1"/>
    <xf numFmtId="0" fontId="2" fillId="2" borderId="3" xfId="0" applyFont="1" applyFill="1" applyBorder="1"/>
    <xf numFmtId="14" fontId="0" fillId="0" borderId="0" xfId="0" applyNumberFormat="1"/>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3" fontId="4" fillId="4" borderId="10" xfId="0" applyNumberFormat="1" applyFont="1" applyFill="1" applyBorder="1" applyAlignment="1">
      <alignment horizontal="center" vertical="center"/>
    </xf>
    <xf numFmtId="3" fontId="5" fillId="5" borderId="11" xfId="1" applyNumberFormat="1" applyFont="1" applyFill="1" applyBorder="1" applyAlignment="1" applyProtection="1">
      <alignment horizontal="center" vertical="center"/>
    </xf>
    <xf numFmtId="3" fontId="6" fillId="6" borderId="12" xfId="0" applyNumberFormat="1" applyFont="1" applyFill="1" applyBorder="1" applyAlignment="1">
      <alignment horizontal="center" vertical="center"/>
    </xf>
    <xf numFmtId="164" fontId="6" fillId="5" borderId="13" xfId="0" applyNumberFormat="1" applyFont="1" applyFill="1" applyBorder="1" applyAlignment="1">
      <alignment horizontal="center" vertical="center"/>
    </xf>
    <xf numFmtId="0" fontId="6" fillId="0" borderId="12" xfId="0" applyFont="1" applyBorder="1" applyAlignment="1">
      <alignment horizontal="center" vertical="center"/>
    </xf>
    <xf numFmtId="9" fontId="6" fillId="6" borderId="12" xfId="0" applyNumberFormat="1" applyFont="1" applyFill="1" applyBorder="1" applyAlignment="1">
      <alignment horizontal="center" vertical="center"/>
    </xf>
    <xf numFmtId="4" fontId="5" fillId="5" borderId="11" xfId="1" applyNumberFormat="1" applyFont="1" applyFill="1" applyBorder="1" applyAlignment="1" applyProtection="1">
      <alignment horizontal="center" vertical="center"/>
    </xf>
    <xf numFmtId="4" fontId="5" fillId="7" borderId="11" xfId="1" applyNumberFormat="1" applyFont="1" applyFill="1" applyBorder="1" applyAlignment="1" applyProtection="1">
      <alignment horizontal="center" vertical="center"/>
    </xf>
    <xf numFmtId="9" fontId="6" fillId="6" borderId="12" xfId="2" applyFont="1" applyFill="1" applyBorder="1" applyAlignment="1">
      <alignment horizontal="center" vertical="center"/>
    </xf>
    <xf numFmtId="0" fontId="6" fillId="8" borderId="10" xfId="0" applyFont="1" applyFill="1" applyBorder="1" applyAlignment="1">
      <alignment horizontal="center" vertical="center"/>
    </xf>
    <xf numFmtId="2" fontId="6" fillId="0" borderId="12" xfId="0" applyNumberFormat="1" applyFont="1" applyBorder="1" applyAlignment="1">
      <alignment horizontal="center" vertical="center"/>
    </xf>
    <xf numFmtId="0" fontId="6" fillId="8" borderId="14" xfId="0" applyFont="1" applyFill="1" applyBorder="1" applyAlignment="1">
      <alignment horizontal="center" vertical="center"/>
    </xf>
    <xf numFmtId="164" fontId="6" fillId="9" borderId="13" xfId="0" applyNumberFormat="1" applyFont="1" applyFill="1" applyBorder="1" applyAlignment="1">
      <alignment horizontal="center" vertical="center"/>
    </xf>
    <xf numFmtId="0" fontId="6" fillId="8" borderId="15" xfId="0" applyFont="1" applyFill="1" applyBorder="1" applyAlignment="1">
      <alignment horizontal="center" vertical="center"/>
    </xf>
    <xf numFmtId="3" fontId="5" fillId="5" borderId="16" xfId="1" applyNumberFormat="1" applyFont="1" applyFill="1" applyBorder="1" applyAlignment="1" applyProtection="1">
      <alignment horizontal="center" vertical="center"/>
    </xf>
    <xf numFmtId="3" fontId="6" fillId="6" borderId="17" xfId="0" applyNumberFormat="1" applyFont="1" applyFill="1" applyBorder="1" applyAlignment="1">
      <alignment horizontal="center" vertical="center"/>
    </xf>
    <xf numFmtId="164" fontId="6" fillId="5" borderId="18" xfId="0" applyNumberFormat="1" applyFont="1" applyFill="1" applyBorder="1" applyAlignment="1">
      <alignment horizontal="center" vertical="center"/>
    </xf>
    <xf numFmtId="2" fontId="6" fillId="0" borderId="17" xfId="0" applyNumberFormat="1" applyFont="1" applyBorder="1" applyAlignment="1">
      <alignment horizontal="center" vertical="center"/>
    </xf>
    <xf numFmtId="9" fontId="6" fillId="6" borderId="17" xfId="2" applyFont="1" applyFill="1" applyBorder="1" applyAlignment="1">
      <alignment horizontal="center" vertical="center"/>
    </xf>
    <xf numFmtId="0" fontId="0" fillId="0" borderId="21" xfId="0" applyBorder="1"/>
    <xf numFmtId="0" fontId="2" fillId="2" borderId="1" xfId="0" applyFont="1" applyFill="1" applyBorder="1"/>
    <xf numFmtId="0" fontId="2" fillId="2" borderId="0" xfId="0" applyFont="1" applyFill="1"/>
    <xf numFmtId="0" fontId="2" fillId="2" borderId="22" xfId="0" applyFont="1" applyFill="1" applyBorder="1"/>
    <xf numFmtId="0" fontId="10" fillId="10" borderId="23" xfId="3" applyFont="1" applyFill="1" applyBorder="1" applyAlignment="1">
      <alignment horizontal="center"/>
    </xf>
    <xf numFmtId="0" fontId="8" fillId="0" borderId="0" xfId="0" applyFont="1"/>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4" fillId="11" borderId="0" xfId="1" applyNumberFormat="1" applyFont="1" applyFill="1" applyBorder="1" applyAlignment="1" applyProtection="1">
      <alignment horizontal="center" vertical="center"/>
    </xf>
    <xf numFmtId="0" fontId="0" fillId="6" borderId="0" xfId="0" applyFill="1"/>
    <xf numFmtId="0" fontId="12" fillId="12" borderId="0" xfId="3" applyFont="1" applyFill="1" applyAlignment="1">
      <alignment vertical="center"/>
    </xf>
    <xf numFmtId="3" fontId="0" fillId="13" borderId="0" xfId="0" applyNumberFormat="1" applyFill="1" applyAlignment="1">
      <alignment horizontal="center" vertical="center" wrapText="1"/>
    </xf>
    <xf numFmtId="0" fontId="2" fillId="2" borderId="31" xfId="0" applyFont="1" applyFill="1" applyBorder="1"/>
    <xf numFmtId="0" fontId="2" fillId="2" borderId="33" xfId="0" applyFont="1" applyFill="1" applyBorder="1"/>
    <xf numFmtId="0" fontId="2" fillId="2" borderId="34" xfId="0" applyFont="1" applyFill="1" applyBorder="1"/>
    <xf numFmtId="0" fontId="2" fillId="2" borderId="35" xfId="0" applyFont="1" applyFill="1" applyBorder="1"/>
    <xf numFmtId="3" fontId="0" fillId="0" borderId="0" xfId="0" applyNumberFormat="1"/>
    <xf numFmtId="0" fontId="3" fillId="3" borderId="0" xfId="0" applyFont="1" applyFill="1" applyAlignment="1">
      <alignment horizontal="center" vertical="center"/>
    </xf>
    <xf numFmtId="0" fontId="8" fillId="0" borderId="0" xfId="0" applyFont="1" applyAlignment="1">
      <alignment horizontal="center" wrapText="1"/>
    </xf>
    <xf numFmtId="0" fontId="2" fillId="0" borderId="0" xfId="0" applyFont="1"/>
    <xf numFmtId="165" fontId="9" fillId="14" borderId="0" xfId="3" applyNumberFormat="1" applyFill="1"/>
    <xf numFmtId="167" fontId="0" fillId="14" borderId="23" xfId="6" applyNumberFormat="1" applyFont="1" applyFill="1" applyBorder="1" applyProtection="1"/>
    <xf numFmtId="165" fontId="0" fillId="0" borderId="0" xfId="0" applyNumberFormat="1"/>
    <xf numFmtId="168" fontId="0" fillId="0" borderId="0" xfId="0" applyNumberFormat="1"/>
    <xf numFmtId="9" fontId="0" fillId="0" borderId="0" xfId="2" applyFont="1"/>
    <xf numFmtId="0" fontId="0" fillId="6" borderId="0" xfId="0" applyFill="1" applyAlignment="1">
      <alignment horizontal="right"/>
    </xf>
    <xf numFmtId="14" fontId="7" fillId="0" borderId="0" xfId="0" applyNumberFormat="1" applyFont="1"/>
    <xf numFmtId="0" fontId="7" fillId="0" borderId="0" xfId="0" applyFont="1"/>
    <xf numFmtId="0" fontId="2" fillId="2" borderId="36" xfId="0" applyFont="1" applyFill="1" applyBorder="1"/>
    <xf numFmtId="0" fontId="2" fillId="2" borderId="37" xfId="0" applyFont="1" applyFill="1" applyBorder="1"/>
    <xf numFmtId="0" fontId="2" fillId="2" borderId="38" xfId="0" applyFont="1" applyFill="1" applyBorder="1"/>
    <xf numFmtId="0" fontId="14" fillId="15" borderId="23" xfId="0" applyFont="1" applyFill="1" applyBorder="1" applyAlignment="1">
      <alignment horizontal="center" vertical="center" wrapText="1"/>
    </xf>
    <xf numFmtId="0" fontId="0" fillId="0" borderId="23" xfId="0" quotePrefix="1" applyBorder="1" applyAlignment="1">
      <alignment horizontal="center" vertical="center"/>
    </xf>
    <xf numFmtId="164" fontId="0" fillId="0" borderId="23" xfId="0" quotePrefix="1" applyNumberFormat="1" applyBorder="1" applyAlignment="1">
      <alignment horizontal="center" vertical="center"/>
    </xf>
    <xf numFmtId="0" fontId="0" fillId="5" borderId="13" xfId="0" applyFill="1" applyBorder="1" applyAlignment="1">
      <alignment horizontal="center" vertical="center"/>
    </xf>
    <xf numFmtId="1" fontId="0" fillId="0" borderId="23" xfId="0" applyNumberFormat="1" applyBorder="1" applyAlignment="1">
      <alignment horizontal="center" vertical="center"/>
    </xf>
    <xf numFmtId="0" fontId="14" fillId="15" borderId="23" xfId="0" applyFont="1" applyFill="1" applyBorder="1" applyAlignment="1">
      <alignment vertical="center" wrapText="1"/>
    </xf>
    <xf numFmtId="0" fontId="0" fillId="5" borderId="43" xfId="0" applyFill="1" applyBorder="1" applyAlignment="1">
      <alignment horizontal="center" vertical="center"/>
    </xf>
    <xf numFmtId="0" fontId="0" fillId="0" borderId="40" xfId="0" quotePrefix="1" applyBorder="1" applyAlignment="1">
      <alignment horizontal="center" vertical="center"/>
    </xf>
    <xf numFmtId="1" fontId="0" fillId="0" borderId="40" xfId="0" applyNumberFormat="1" applyBorder="1" applyAlignment="1">
      <alignment horizontal="center" vertical="center"/>
    </xf>
    <xf numFmtId="164" fontId="0" fillId="0" borderId="40" xfId="0" quotePrefix="1" applyNumberFormat="1" applyBorder="1" applyAlignment="1">
      <alignment horizontal="center" vertical="center"/>
    </xf>
    <xf numFmtId="0" fontId="0" fillId="6" borderId="0" xfId="0" applyFill="1" applyAlignment="1">
      <alignment vertical="top" wrapText="1"/>
    </xf>
    <xf numFmtId="0" fontId="12" fillId="17" borderId="16" xfId="3" applyFont="1" applyFill="1" applyBorder="1" applyAlignment="1">
      <alignment horizontal="center" vertical="center"/>
    </xf>
    <xf numFmtId="0" fontId="12" fillId="17" borderId="44" xfId="3" applyFont="1" applyFill="1" applyBorder="1" applyAlignment="1">
      <alignment horizontal="center" vertical="center"/>
    </xf>
    <xf numFmtId="0" fontId="16" fillId="6" borderId="0" xfId="0" applyFont="1" applyFill="1"/>
    <xf numFmtId="0" fontId="8" fillId="6" borderId="0" xfId="0" applyFont="1" applyFill="1"/>
    <xf numFmtId="0" fontId="11" fillId="6" borderId="0" xfId="0" applyFont="1" applyFill="1"/>
    <xf numFmtId="0" fontId="3" fillId="18" borderId="45" xfId="0" applyFont="1" applyFill="1" applyBorder="1" applyAlignment="1">
      <alignment horizontal="center" vertical="center"/>
    </xf>
    <xf numFmtId="0" fontId="8" fillId="0" borderId="0" xfId="0" applyFont="1" applyAlignment="1">
      <alignment horizontal="right"/>
    </xf>
    <xf numFmtId="169" fontId="0" fillId="0" borderId="0" xfId="4" applyNumberFormat="1" applyFont="1"/>
    <xf numFmtId="0" fontId="6" fillId="6" borderId="0" xfId="0" applyFont="1" applyFill="1"/>
    <xf numFmtId="170" fontId="0" fillId="0" borderId="0" xfId="0" applyNumberFormat="1"/>
    <xf numFmtId="0" fontId="0" fillId="0" borderId="0" xfId="0" quotePrefix="1" applyAlignment="1">
      <alignment wrapText="1"/>
    </xf>
    <xf numFmtId="164" fontId="6" fillId="9" borderId="18" xfId="0" applyNumberFormat="1" applyFont="1" applyFill="1" applyBorder="1" applyAlignment="1">
      <alignment horizontal="center" vertical="center"/>
    </xf>
    <xf numFmtId="0" fontId="0" fillId="0" borderId="0" xfId="0" applyAlignment="1">
      <alignment wrapText="1"/>
    </xf>
    <xf numFmtId="0" fontId="2" fillId="2" borderId="1" xfId="0" applyFont="1" applyFill="1" applyBorder="1" applyProtection="1">
      <protection locked="0"/>
    </xf>
    <xf numFmtId="0" fontId="2" fillId="2" borderId="2" xfId="0" applyFont="1" applyFill="1" applyBorder="1" applyProtection="1">
      <protection locked="0"/>
    </xf>
    <xf numFmtId="14" fontId="2" fillId="0" borderId="0" xfId="0" applyNumberFormat="1" applyFont="1" applyProtection="1">
      <protection locked="0"/>
    </xf>
    <xf numFmtId="14" fontId="0" fillId="0" borderId="0" xfId="0" applyNumberFormat="1" applyProtection="1">
      <protection locked="0"/>
    </xf>
    <xf numFmtId="0" fontId="0" fillId="0" borderId="0" xfId="0" applyAlignment="1">
      <alignment horizontal="left"/>
    </xf>
    <xf numFmtId="171" fontId="0" fillId="0" borderId="0" xfId="1" quotePrefix="1" applyNumberFormat="1" applyFont="1" applyAlignment="1">
      <alignment horizontal="center"/>
    </xf>
    <xf numFmtId="0" fontId="32" fillId="54" borderId="0" xfId="0" applyFont="1" applyFill="1" applyAlignment="1">
      <alignment horizontal="center" vertical="center" wrapText="1"/>
    </xf>
    <xf numFmtId="0" fontId="31" fillId="0" borderId="59" xfId="0" applyFont="1" applyBorder="1" applyAlignment="1">
      <alignment horizontal="center" vertical="center" wrapText="1"/>
    </xf>
    <xf numFmtId="0" fontId="0" fillId="0" borderId="0" xfId="0" applyAlignment="1">
      <alignment horizontal="center"/>
    </xf>
    <xf numFmtId="0" fontId="0" fillId="55" borderId="61" xfId="0" applyFill="1" applyBorder="1"/>
    <xf numFmtId="0" fontId="0" fillId="0" borderId="61" xfId="0" applyBorder="1"/>
    <xf numFmtId="0" fontId="0" fillId="55" borderId="62" xfId="0" applyFill="1" applyBorder="1"/>
    <xf numFmtId="0" fontId="0" fillId="0" borderId="62" xfId="0" applyBorder="1"/>
    <xf numFmtId="0" fontId="3" fillId="18" borderId="63" xfId="0" applyFont="1" applyFill="1" applyBorder="1" applyAlignment="1">
      <alignment horizontal="center" vertical="center"/>
    </xf>
    <xf numFmtId="0" fontId="3" fillId="18" borderId="64" xfId="0" applyFont="1" applyFill="1" applyBorder="1" applyAlignment="1">
      <alignment horizontal="center" vertical="center"/>
    </xf>
    <xf numFmtId="3" fontId="17" fillId="22" borderId="65" xfId="0" applyNumberFormat="1" applyFont="1" applyFill="1" applyBorder="1" applyAlignment="1">
      <alignment horizontal="center" vertical="center" wrapText="1"/>
    </xf>
    <xf numFmtId="172" fontId="0" fillId="0" borderId="0" xfId="0" applyNumberFormat="1"/>
    <xf numFmtId="2" fontId="0" fillId="6" borderId="0" xfId="0" applyNumberFormat="1" applyFill="1"/>
    <xf numFmtId="0" fontId="3" fillId="3" borderId="5" xfId="0" applyFont="1" applyFill="1" applyBorder="1" applyAlignment="1">
      <alignment vertical="center" wrapText="1"/>
    </xf>
    <xf numFmtId="0" fontId="3" fillId="3" borderId="6" xfId="0" applyFont="1" applyFill="1" applyBorder="1" applyAlignment="1">
      <alignment vertical="center" wrapText="1"/>
    </xf>
    <xf numFmtId="0" fontId="3" fillId="6" borderId="0" xfId="0" applyFont="1" applyFill="1"/>
    <xf numFmtId="0" fontId="3" fillId="6" borderId="0" xfId="0" applyFont="1" applyFill="1" applyAlignment="1">
      <alignment horizontal="right"/>
    </xf>
    <xf numFmtId="0" fontId="35" fillId="6" borderId="0" xfId="0" applyFont="1" applyFill="1"/>
    <xf numFmtId="0" fontId="13" fillId="6" borderId="0" xfId="0" applyFont="1" applyFill="1" applyAlignment="1">
      <alignment vertical="top" wrapText="1"/>
    </xf>
    <xf numFmtId="0" fontId="8" fillId="6" borderId="0" xfId="0" applyFont="1" applyFill="1" applyAlignment="1">
      <alignment horizontal="right"/>
    </xf>
    <xf numFmtId="0" fontId="0" fillId="6" borderId="0" xfId="0" applyFill="1" applyAlignment="1">
      <alignment horizontal="left"/>
    </xf>
    <xf numFmtId="3" fontId="0" fillId="5" borderId="26" xfId="0" applyNumberFormat="1" applyFill="1" applyBorder="1" applyAlignment="1">
      <alignment horizontal="center"/>
    </xf>
    <xf numFmtId="3" fontId="0" fillId="5" borderId="27" xfId="0" applyNumberFormat="1" applyFill="1" applyBorder="1" applyAlignment="1">
      <alignment horizontal="center"/>
    </xf>
    <xf numFmtId="3" fontId="0" fillId="5" borderId="11" xfId="0" applyNumberFormat="1" applyFill="1" applyBorder="1" applyAlignment="1">
      <alignment horizontal="center"/>
    </xf>
    <xf numFmtId="3" fontId="0" fillId="5" borderId="23" xfId="0" applyNumberFormat="1" applyFill="1" applyBorder="1" applyAlignment="1">
      <alignment horizontal="center"/>
    </xf>
    <xf numFmtId="3" fontId="0" fillId="5" borderId="29" xfId="0" applyNumberFormat="1" applyFill="1" applyBorder="1" applyAlignment="1">
      <alignment horizontal="center"/>
    </xf>
    <xf numFmtId="3" fontId="0" fillId="5" borderId="0" xfId="0" applyNumberFormat="1" applyFill="1" applyAlignment="1">
      <alignment horizontal="center"/>
    </xf>
    <xf numFmtId="9" fontId="0" fillId="0" borderId="0" xfId="0" applyNumberFormat="1"/>
    <xf numFmtId="0" fontId="34" fillId="6" borderId="0" xfId="0" applyFont="1" applyFill="1" applyAlignment="1">
      <alignment vertical="center" wrapText="1"/>
    </xf>
    <xf numFmtId="0" fontId="8" fillId="6" borderId="0" xfId="0" applyFont="1" applyFill="1" applyAlignment="1">
      <alignment horizontal="left"/>
    </xf>
    <xf numFmtId="0" fontId="0" fillId="0" borderId="0" xfId="0" applyAlignment="1">
      <alignment horizontal="right"/>
    </xf>
    <xf numFmtId="1" fontId="0" fillId="0" borderId="0" xfId="0" applyNumberFormat="1"/>
    <xf numFmtId="0" fontId="13" fillId="6" borderId="0" xfId="0" applyFont="1" applyFill="1" applyAlignment="1">
      <alignment wrapText="1"/>
    </xf>
    <xf numFmtId="0" fontId="13" fillId="0" borderId="0" xfId="0" applyFont="1" applyAlignment="1">
      <alignment wrapText="1"/>
    </xf>
    <xf numFmtId="0" fontId="0" fillId="0" borderId="68" xfId="0" applyBorder="1"/>
    <xf numFmtId="44" fontId="0" fillId="0" borderId="0" xfId="4" applyFont="1"/>
    <xf numFmtId="44" fontId="2" fillId="2" borderId="3" xfId="4" applyFont="1" applyFill="1" applyBorder="1" applyProtection="1">
      <protection locked="0"/>
    </xf>
    <xf numFmtId="44" fontId="2" fillId="0" borderId="0" xfId="4" applyFont="1" applyProtection="1">
      <protection locked="0"/>
    </xf>
    <xf numFmtId="171" fontId="2" fillId="0" borderId="0" xfId="1" applyNumberFormat="1" applyFont="1" applyProtection="1">
      <protection locked="0"/>
    </xf>
    <xf numFmtId="171" fontId="0" fillId="0" borderId="0" xfId="1" applyNumberFormat="1" applyFont="1"/>
    <xf numFmtId="171" fontId="2" fillId="2" borderId="37" xfId="1" applyNumberFormat="1" applyFont="1" applyFill="1" applyBorder="1"/>
    <xf numFmtId="0" fontId="0" fillId="56" borderId="69" xfId="0" applyFill="1" applyBorder="1" applyAlignment="1">
      <alignment horizontal="center" vertical="center" wrapText="1"/>
    </xf>
    <xf numFmtId="0" fontId="0" fillId="56" borderId="32" xfId="0" applyFill="1" applyBorder="1" applyAlignment="1">
      <alignment horizontal="center" vertical="center" wrapText="1"/>
    </xf>
    <xf numFmtId="0" fontId="0" fillId="57" borderId="65" xfId="0" applyFill="1" applyBorder="1" applyAlignment="1">
      <alignment horizontal="center" vertical="center" wrapText="1"/>
    </xf>
    <xf numFmtId="0" fontId="0" fillId="57" borderId="70" xfId="0" applyFill="1" applyBorder="1" applyAlignment="1">
      <alignment horizontal="center" vertical="center" wrapText="1"/>
    </xf>
    <xf numFmtId="0" fontId="0" fillId="57" borderId="71" xfId="0" applyFill="1" applyBorder="1" applyAlignment="1">
      <alignment horizontal="center" vertical="center" wrapText="1"/>
    </xf>
    <xf numFmtId="0" fontId="0" fillId="58" borderId="70" xfId="0" applyFill="1" applyBorder="1" applyAlignment="1">
      <alignment horizontal="center" vertical="center" wrapText="1"/>
    </xf>
    <xf numFmtId="0" fontId="0" fillId="58" borderId="71" xfId="0" applyFill="1" applyBorder="1" applyAlignment="1">
      <alignment horizontal="center" vertical="center" wrapText="1"/>
    </xf>
    <xf numFmtId="0" fontId="0" fillId="6" borderId="0" xfId="0" applyFill="1" applyAlignment="1">
      <alignment horizontal="center" vertical="center" wrapText="1"/>
    </xf>
    <xf numFmtId="0" fontId="0" fillId="57" borderId="72" xfId="0" applyFill="1" applyBorder="1" applyAlignment="1">
      <alignment horizontal="center" vertical="center" wrapText="1"/>
    </xf>
    <xf numFmtId="0" fontId="0" fillId="57" borderId="73" xfId="0" applyFill="1" applyBorder="1" applyAlignment="1">
      <alignment horizontal="center" vertical="center" wrapText="1"/>
    </xf>
    <xf numFmtId="44" fontId="2" fillId="2" borderId="38" xfId="4" applyFont="1" applyFill="1" applyBorder="1"/>
    <xf numFmtId="173" fontId="0" fillId="0" borderId="0" xfId="0" applyNumberFormat="1"/>
    <xf numFmtId="174" fontId="0" fillId="0" borderId="0" xfId="0" applyNumberFormat="1"/>
    <xf numFmtId="175" fontId="0" fillId="0" borderId="0" xfId="0" applyNumberFormat="1"/>
    <xf numFmtId="0" fontId="0" fillId="6" borderId="23" xfId="0" applyFill="1" applyBorder="1" applyAlignment="1">
      <alignment horizontal="center"/>
    </xf>
    <xf numFmtId="16" fontId="0" fillId="0" borderId="0" xfId="0" applyNumberFormat="1"/>
    <xf numFmtId="0" fontId="11" fillId="0" borderId="0" xfId="0" applyFont="1"/>
    <xf numFmtId="0" fontId="8" fillId="0" borderId="0" xfId="0" applyFont="1" applyAlignment="1">
      <alignment horizontal="left"/>
    </xf>
    <xf numFmtId="0" fontId="0" fillId="0" borderId="0" xfId="0" applyAlignment="1">
      <alignment vertical="center"/>
    </xf>
    <xf numFmtId="0" fontId="13" fillId="6" borderId="0" xfId="0" applyFont="1" applyFill="1" applyAlignment="1">
      <alignment vertical="top"/>
    </xf>
    <xf numFmtId="0" fontId="0" fillId="6" borderId="0" xfId="0" applyFill="1" applyAlignment="1">
      <alignment vertical="top"/>
    </xf>
    <xf numFmtId="0" fontId="41" fillId="0" borderId="0" xfId="0" applyFont="1"/>
    <xf numFmtId="0" fontId="16" fillId="6" borderId="23" xfId="0" applyFont="1" applyFill="1" applyBorder="1" applyAlignment="1">
      <alignment vertical="top" wrapText="1"/>
    </xf>
    <xf numFmtId="0" fontId="16" fillId="6" borderId="0" xfId="0" applyFont="1" applyFill="1" applyAlignment="1">
      <alignment vertical="top" wrapText="1"/>
    </xf>
    <xf numFmtId="0" fontId="42" fillId="6" borderId="0" xfId="0" applyFont="1" applyFill="1" applyAlignment="1">
      <alignment horizontal="left" vertical="top"/>
    </xf>
    <xf numFmtId="0" fontId="12" fillId="17" borderId="41" xfId="3" applyFont="1" applyFill="1" applyBorder="1" applyAlignment="1">
      <alignment horizontal="center" vertical="center"/>
    </xf>
    <xf numFmtId="0" fontId="12" fillId="17" borderId="17" xfId="3" applyFont="1" applyFill="1" applyBorder="1" applyAlignment="1">
      <alignment horizontal="center" vertical="center"/>
    </xf>
    <xf numFmtId="0" fontId="0" fillId="0" borderId="75" xfId="0" applyBorder="1"/>
    <xf numFmtId="0" fontId="3" fillId="18" borderId="76" xfId="0" applyFont="1" applyFill="1" applyBorder="1" applyAlignment="1">
      <alignment horizontal="center" vertical="center" wrapText="1"/>
    </xf>
    <xf numFmtId="0" fontId="3" fillId="18" borderId="71" xfId="0" applyFont="1" applyFill="1" applyBorder="1" applyAlignment="1">
      <alignment horizontal="center" vertical="center" wrapText="1"/>
    </xf>
    <xf numFmtId="0" fontId="43" fillId="0" borderId="0" xfId="57"/>
    <xf numFmtId="0" fontId="44" fillId="0" borderId="0" xfId="0" applyFont="1"/>
    <xf numFmtId="0" fontId="13" fillId="0" borderId="0" xfId="0" applyFont="1"/>
    <xf numFmtId="0" fontId="36" fillId="0" borderId="0" xfId="0" applyFont="1" applyAlignment="1">
      <alignment wrapText="1"/>
    </xf>
    <xf numFmtId="3" fontId="0" fillId="58" borderId="0" xfId="0" applyNumberFormat="1" applyFill="1" applyAlignment="1">
      <alignment horizontal="center"/>
    </xf>
    <xf numFmtId="0" fontId="45" fillId="6" borderId="0" xfId="0" applyFont="1" applyFill="1"/>
    <xf numFmtId="0" fontId="46" fillId="0" borderId="0" xfId="0" applyFont="1" applyAlignment="1">
      <alignment horizontal="center"/>
    </xf>
    <xf numFmtId="0" fontId="46" fillId="58" borderId="65" xfId="0" applyFont="1" applyFill="1" applyBorder="1" applyAlignment="1">
      <alignment horizontal="center" vertical="center" wrapText="1"/>
    </xf>
    <xf numFmtId="0" fontId="47" fillId="58" borderId="70" xfId="0" applyFont="1" applyFill="1" applyBorder="1" applyAlignment="1">
      <alignment horizontal="center" vertical="center" wrapText="1"/>
    </xf>
    <xf numFmtId="176" fontId="0" fillId="0" borderId="0" xfId="0" applyNumberFormat="1"/>
    <xf numFmtId="0" fontId="47" fillId="0" borderId="0" xfId="0" applyFont="1"/>
    <xf numFmtId="177" fontId="0" fillId="0" borderId="0" xfId="0" applyNumberFormat="1"/>
    <xf numFmtId="0" fontId="3" fillId="18" borderId="23" xfId="0" applyFont="1" applyFill="1" applyBorder="1" applyAlignment="1">
      <alignment horizontal="center" vertical="center"/>
    </xf>
    <xf numFmtId="0" fontId="33" fillId="6" borderId="0" xfId="0" applyFont="1" applyFill="1"/>
    <xf numFmtId="0" fontId="0" fillId="0" borderId="0" xfId="0" pivotButton="1"/>
    <xf numFmtId="0" fontId="0" fillId="0" borderId="0" xfId="0" applyAlignment="1">
      <alignment horizontal="left" indent="1"/>
    </xf>
    <xf numFmtId="3" fontId="0" fillId="20" borderId="26" xfId="0" applyNumberFormat="1" applyFill="1" applyBorder="1" applyAlignment="1">
      <alignment horizontal="center" vertical="center" wrapText="1"/>
    </xf>
    <xf numFmtId="178" fontId="0" fillId="0" borderId="0" xfId="2" applyNumberFormat="1" applyFont="1"/>
    <xf numFmtId="43" fontId="0" fillId="0" borderId="0" xfId="1" applyFont="1"/>
    <xf numFmtId="3" fontId="0" fillId="6" borderId="79" xfId="0" applyNumberFormat="1" applyFill="1" applyBorder="1" applyAlignment="1">
      <alignment horizontal="left"/>
    </xf>
    <xf numFmtId="3" fontId="0" fillId="6" borderId="0" xfId="0" applyNumberFormat="1" applyFill="1" applyAlignment="1">
      <alignment horizontal="left"/>
    </xf>
    <xf numFmtId="0" fontId="2" fillId="2" borderId="80" xfId="0" applyFont="1" applyFill="1" applyBorder="1"/>
    <xf numFmtId="171" fontId="7" fillId="0" borderId="20" xfId="0" applyNumberFormat="1" applyFont="1" applyBorder="1"/>
    <xf numFmtId="0" fontId="33" fillId="6" borderId="0" xfId="0" applyFont="1" applyFill="1" applyAlignment="1">
      <alignment vertical="center" wrapText="1"/>
    </xf>
    <xf numFmtId="0" fontId="2" fillId="2" borderId="34" xfId="0" applyFont="1" applyFill="1" applyBorder="1" applyProtection="1">
      <protection locked="0"/>
    </xf>
    <xf numFmtId="0" fontId="0" fillId="6" borderId="0" xfId="0" applyFill="1" applyProtection="1">
      <protection locked="0"/>
    </xf>
    <xf numFmtId="0" fontId="0" fillId="0" borderId="0" xfId="0" applyProtection="1">
      <protection locked="0"/>
    </xf>
    <xf numFmtId="171" fontId="7" fillId="0" borderId="0" xfId="1" applyNumberFormat="1" applyFont="1" applyProtection="1">
      <protection locked="0"/>
    </xf>
    <xf numFmtId="44" fontId="0" fillId="0" borderId="0" xfId="4" applyFont="1" applyProtection="1">
      <protection locked="0"/>
    </xf>
    <xf numFmtId="171" fontId="0" fillId="0" borderId="0" xfId="1" applyNumberFormat="1" applyFont="1" applyProtection="1">
      <protection locked="0"/>
    </xf>
    <xf numFmtId="171" fontId="0" fillId="0" borderId="0" xfId="1" applyNumberFormat="1" applyFont="1" applyAlignment="1" applyProtection="1">
      <alignment horizontal="right" vertical="center"/>
      <protection locked="0"/>
    </xf>
    <xf numFmtId="44" fontId="0" fillId="0" borderId="0" xfId="4" applyFont="1" applyBorder="1" applyAlignment="1" applyProtection="1">
      <alignment horizontal="center"/>
      <protection locked="0"/>
    </xf>
    <xf numFmtId="171" fontId="0" fillId="0" borderId="0" xfId="1" applyNumberFormat="1" applyFont="1" applyAlignment="1" applyProtection="1">
      <alignment horizontal="right"/>
      <protection locked="0"/>
    </xf>
    <xf numFmtId="44" fontId="0" fillId="0" borderId="0" xfId="4" applyFont="1" applyFill="1" applyBorder="1" applyAlignment="1" applyProtection="1">
      <alignment horizontal="center"/>
      <protection locked="0"/>
    </xf>
    <xf numFmtId="0" fontId="13" fillId="0" borderId="0" xfId="0" applyFont="1" applyAlignment="1" applyProtection="1">
      <alignment wrapText="1"/>
      <protection locked="0"/>
    </xf>
    <xf numFmtId="8" fontId="0" fillId="0" borderId="0" xfId="4" applyNumberFormat="1" applyFont="1" applyBorder="1" applyAlignment="1" applyProtection="1">
      <alignment horizontal="center"/>
      <protection locked="0"/>
    </xf>
    <xf numFmtId="0" fontId="16" fillId="0" borderId="0" xfId="0" applyFont="1" applyProtection="1">
      <protection locked="0"/>
    </xf>
    <xf numFmtId="0" fontId="33" fillId="0" borderId="0" xfId="0" applyFont="1" applyAlignment="1" applyProtection="1">
      <alignment wrapText="1"/>
      <protection locked="0"/>
    </xf>
    <xf numFmtId="0" fontId="33" fillId="0" borderId="0" xfId="0" applyFont="1" applyProtection="1">
      <protection locked="0"/>
    </xf>
    <xf numFmtId="44" fontId="7" fillId="0" borderId="0" xfId="4" applyFont="1" applyProtection="1">
      <protection locked="0"/>
    </xf>
    <xf numFmtId="1" fontId="0" fillId="0" borderId="0" xfId="0" applyNumberFormat="1" applyProtection="1">
      <protection locked="0"/>
    </xf>
    <xf numFmtId="169" fontId="7" fillId="0" borderId="0" xfId="4" applyNumberFormat="1" applyFont="1" applyProtection="1">
      <protection locked="0"/>
    </xf>
    <xf numFmtId="1" fontId="7" fillId="0" borderId="0" xfId="0" applyNumberFormat="1" applyFont="1" applyProtection="1">
      <protection locked="0"/>
    </xf>
    <xf numFmtId="171" fontId="7" fillId="0" borderId="0" xfId="0" applyNumberFormat="1" applyFont="1"/>
    <xf numFmtId="0" fontId="0" fillId="5" borderId="0" xfId="0" applyFill="1" applyAlignment="1">
      <alignment horizontal="left" vertical="center"/>
    </xf>
    <xf numFmtId="1" fontId="0" fillId="0" borderId="0" xfId="0" applyNumberFormat="1" applyAlignment="1">
      <alignment horizontal="center" vertical="center"/>
    </xf>
    <xf numFmtId="3" fontId="0" fillId="6" borderId="0" xfId="0" applyNumberFormat="1" applyFill="1" applyProtection="1">
      <protection locked="0"/>
    </xf>
    <xf numFmtId="0" fontId="6" fillId="6" borderId="0" xfId="0" applyFont="1" applyFill="1" applyAlignment="1" applyProtection="1">
      <alignment wrapText="1"/>
      <protection locked="0"/>
    </xf>
    <xf numFmtId="179" fontId="0" fillId="0" borderId="0" xfId="1" applyNumberFormat="1" applyFont="1" applyFill="1" applyProtection="1"/>
    <xf numFmtId="0" fontId="16" fillId="6" borderId="0" xfId="0" applyFont="1" applyFill="1" applyProtection="1">
      <protection locked="0"/>
    </xf>
    <xf numFmtId="0" fontId="49" fillId="6" borderId="0" xfId="0" applyFont="1" applyFill="1" applyProtection="1">
      <protection locked="0"/>
    </xf>
    <xf numFmtId="0" fontId="49" fillId="6" borderId="0" xfId="0" applyFont="1" applyFill="1" applyAlignment="1" applyProtection="1">
      <alignment wrapText="1"/>
      <protection locked="0"/>
    </xf>
    <xf numFmtId="179" fontId="16" fillId="0" borderId="0" xfId="1" applyNumberFormat="1" applyFont="1" applyFill="1" applyProtection="1"/>
    <xf numFmtId="179" fontId="49" fillId="0" borderId="0" xfId="1" applyNumberFormat="1" applyFont="1" applyFill="1" applyAlignment="1" applyProtection="1">
      <alignment wrapText="1"/>
    </xf>
    <xf numFmtId="179" fontId="49" fillId="0" borderId="0" xfId="1" applyNumberFormat="1" applyFont="1" applyFill="1" applyAlignment="1" applyProtection="1"/>
    <xf numFmtId="179" fontId="0" fillId="0" borderId="0" xfId="0" applyNumberFormat="1"/>
    <xf numFmtId="0" fontId="3" fillId="18" borderId="23" xfId="0" applyFont="1" applyFill="1" applyBorder="1" applyAlignment="1">
      <alignment vertical="center"/>
    </xf>
    <xf numFmtId="0" fontId="16" fillId="0" borderId="0" xfId="0" applyFont="1"/>
    <xf numFmtId="179" fontId="0" fillId="0" borderId="0" xfId="1" applyNumberFormat="1" applyFont="1" applyFill="1" applyAlignment="1" applyProtection="1"/>
    <xf numFmtId="171" fontId="0" fillId="0" borderId="0" xfId="1" applyNumberFormat="1" applyFont="1" applyAlignment="1" applyProtection="1">
      <protection locked="0"/>
    </xf>
    <xf numFmtId="44" fontId="0" fillId="0" borderId="0" xfId="4" applyFont="1" applyAlignment="1" applyProtection="1">
      <protection locked="0"/>
    </xf>
    <xf numFmtId="171" fontId="0" fillId="0" borderId="0" xfId="1" applyNumberFormat="1" applyFont="1" applyAlignment="1"/>
    <xf numFmtId="3" fontId="0" fillId="20" borderId="40" xfId="0" applyNumberFormat="1" applyFill="1" applyBorder="1" applyAlignment="1" applyProtection="1">
      <alignment horizontal="center" vertical="center" wrapText="1"/>
      <protection locked="0"/>
    </xf>
    <xf numFmtId="0" fontId="0" fillId="5" borderId="0" xfId="0" applyFill="1" applyAlignment="1">
      <alignment horizontal="center" vertical="center"/>
    </xf>
    <xf numFmtId="171" fontId="0" fillId="0" borderId="0" xfId="1" quotePrefix="1" applyNumberFormat="1" applyFont="1" applyFill="1" applyAlignment="1">
      <alignment horizontal="center"/>
    </xf>
    <xf numFmtId="171" fontId="0" fillId="59" borderId="0" xfId="1" quotePrefix="1" applyNumberFormat="1" applyFont="1" applyFill="1" applyAlignment="1">
      <alignment horizontal="left"/>
    </xf>
    <xf numFmtId="180" fontId="0" fillId="0" borderId="0" xfId="0" applyNumberFormat="1"/>
    <xf numFmtId="0" fontId="2" fillId="2" borderId="37" xfId="0" applyFont="1" applyFill="1" applyBorder="1" applyAlignment="1" applyProtection="1">
      <alignment horizontal="center"/>
      <protection locked="0"/>
    </xf>
    <xf numFmtId="14" fontId="0" fillId="0" borderId="0" xfId="0" applyNumberFormat="1" applyAlignment="1" applyProtection="1">
      <alignment horizontal="right"/>
      <protection locked="0"/>
    </xf>
    <xf numFmtId="0" fontId="0" fillId="0" borderId="0" xfId="0" applyAlignment="1" applyProtection="1">
      <alignment horizontal="center"/>
      <protection locked="0"/>
    </xf>
    <xf numFmtId="14" fontId="7" fillId="0" borderId="19" xfId="0" applyNumberFormat="1" applyFont="1" applyBorder="1" applyProtection="1">
      <protection locked="0"/>
    </xf>
    <xf numFmtId="14" fontId="7" fillId="0" borderId="0" xfId="0" applyNumberFormat="1" applyFont="1" applyProtection="1">
      <protection locked="0"/>
    </xf>
    <xf numFmtId="0" fontId="2" fillId="2" borderId="37" xfId="0" applyFont="1" applyFill="1" applyBorder="1" applyProtection="1">
      <protection locked="0"/>
    </xf>
    <xf numFmtId="0" fontId="0" fillId="0" borderId="0" xfId="0" applyNumberFormat="1"/>
    <xf numFmtId="0" fontId="0" fillId="0" borderId="0" xfId="0"/>
    <xf numFmtId="0" fontId="0" fillId="0" borderId="0" xfId="0"/>
    <xf numFmtId="3" fontId="0" fillId="0" borderId="23" xfId="0" applyNumberFormat="1" applyBorder="1" applyAlignment="1">
      <alignment horizontal="center" vertical="center"/>
    </xf>
    <xf numFmtId="0" fontId="0" fillId="0" borderId="84" xfId="0" applyBorder="1" applyAlignment="1">
      <alignment horizontal="center" vertical="center"/>
    </xf>
    <xf numFmtId="0" fontId="0" fillId="0" borderId="40" xfId="0" applyBorder="1" applyAlignment="1">
      <alignment horizontal="center" vertical="center"/>
    </xf>
    <xf numFmtId="14" fontId="0" fillId="0" borderId="0" xfId="0" applyNumberFormat="1" applyAlignment="1">
      <alignment horizontal="left"/>
    </xf>
    <xf numFmtId="3" fontId="0" fillId="0" borderId="84" xfId="0" applyNumberFormat="1" applyBorder="1" applyAlignment="1">
      <alignment horizontal="center" vertical="center"/>
    </xf>
    <xf numFmtId="0" fontId="8" fillId="0" borderId="23" xfId="0" applyFont="1" applyBorder="1" applyAlignment="1">
      <alignment horizontal="center" vertical="center" wrapText="1"/>
    </xf>
    <xf numFmtId="0" fontId="0" fillId="0" borderId="84"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3" fontId="0" fillId="0" borderId="49" xfId="0" applyNumberFormat="1" applyBorder="1" applyAlignment="1">
      <alignment horizontal="center" vertical="center"/>
    </xf>
    <xf numFmtId="0" fontId="2" fillId="2" borderId="23" xfId="0" applyFont="1" applyFill="1" applyBorder="1" applyAlignment="1" applyProtection="1">
      <alignment horizontal="center"/>
      <protection locked="0"/>
    </xf>
    <xf numFmtId="0" fontId="0" fillId="0" borderId="0" xfId="0" applyProtection="1"/>
    <xf numFmtId="0" fontId="2" fillId="2" borderId="23" xfId="0" applyFont="1" applyFill="1" applyBorder="1" applyAlignment="1" applyProtection="1">
      <alignment horizontal="center" wrapText="1"/>
      <protection locked="0"/>
    </xf>
    <xf numFmtId="3" fontId="0" fillId="0" borderId="42" xfId="0" applyNumberFormat="1" applyBorder="1" applyAlignment="1">
      <alignment horizontal="center" vertical="center"/>
    </xf>
    <xf numFmtId="0" fontId="8" fillId="0" borderId="23" xfId="0" applyFont="1" applyBorder="1" applyAlignment="1" applyProtection="1">
      <alignment horizontal="center" vertical="center" wrapText="1"/>
      <protection locked="0"/>
    </xf>
    <xf numFmtId="0" fontId="8" fillId="0" borderId="23" xfId="0" applyFont="1" applyBorder="1" applyAlignment="1">
      <alignment horizontal="center" wrapText="1"/>
    </xf>
    <xf numFmtId="0" fontId="8" fillId="0" borderId="23" xfId="0" applyFont="1" applyBorder="1" applyAlignment="1" applyProtection="1">
      <alignment horizontal="center"/>
      <protection locked="0"/>
    </xf>
    <xf numFmtId="0" fontId="2" fillId="2" borderId="22" xfId="0" applyFont="1" applyFill="1" applyBorder="1" applyProtection="1">
      <protection locked="0"/>
    </xf>
    <xf numFmtId="0" fontId="16" fillId="6" borderId="0" xfId="0" quotePrefix="1" applyFont="1" applyFill="1" applyProtection="1">
      <protection locked="0"/>
    </xf>
    <xf numFmtId="0" fontId="0" fillId="0" borderId="0" xfId="0"/>
    <xf numFmtId="0" fontId="0" fillId="0" borderId="0" xfId="0" applyBorder="1"/>
    <xf numFmtId="171" fontId="2" fillId="2" borderId="37" xfId="1" applyNumberFormat="1" applyFont="1" applyFill="1" applyBorder="1" applyProtection="1"/>
    <xf numFmtId="0" fontId="2" fillId="2" borderId="38" xfId="0" applyFont="1" applyFill="1" applyBorder="1" applyProtection="1"/>
    <xf numFmtId="0" fontId="2" fillId="2" borderId="0" xfId="0" applyFont="1" applyFill="1" applyProtection="1"/>
    <xf numFmtId="0" fontId="2" fillId="2" borderId="22" xfId="0" applyFont="1" applyFill="1" applyBorder="1" applyProtection="1"/>
    <xf numFmtId="0" fontId="2" fillId="2" borderId="37" xfId="0" applyFont="1" applyFill="1" applyBorder="1" applyProtection="1"/>
    <xf numFmtId="44" fontId="2" fillId="2" borderId="38" xfId="4" applyFont="1" applyFill="1" applyBorder="1" applyProtection="1"/>
    <xf numFmtId="0" fontId="2" fillId="2" borderId="34" xfId="0" applyFont="1" applyFill="1" applyBorder="1" applyProtection="1"/>
    <xf numFmtId="0" fontId="2" fillId="2" borderId="35" xfId="0" applyFont="1" applyFill="1" applyBorder="1" applyProtection="1"/>
    <xf numFmtId="0" fontId="7" fillId="0" borderId="0" xfId="0" applyFont="1" applyProtection="1"/>
    <xf numFmtId="44" fontId="0" fillId="0" borderId="0" xfId="4" applyFont="1" applyProtection="1"/>
    <xf numFmtId="0" fontId="0" fillId="0" borderId="0" xfId="0"/>
    <xf numFmtId="0" fontId="50" fillId="63" borderId="0" xfId="0" applyFont="1" applyFill="1" applyAlignment="1">
      <alignment horizontal="center" vertical="center" wrapText="1"/>
    </xf>
    <xf numFmtId="0" fontId="50" fillId="62" borderId="23" xfId="0" applyFont="1" applyFill="1" applyBorder="1" applyAlignment="1">
      <alignment horizontal="center" vertical="center" wrapText="1"/>
    </xf>
    <xf numFmtId="0" fontId="0" fillId="0" borderId="0" xfId="0" applyAlignment="1">
      <alignment horizontal="center" vertical="center"/>
    </xf>
    <xf numFmtId="0" fontId="0" fillId="64" borderId="0" xfId="0" applyFill="1"/>
    <xf numFmtId="0" fontId="0" fillId="64" borderId="0" xfId="0" applyFill="1" applyAlignment="1">
      <alignment wrapText="1"/>
    </xf>
    <xf numFmtId="0" fontId="0" fillId="0" borderId="0" xfId="0"/>
    <xf numFmtId="0" fontId="11" fillId="0" borderId="0" xfId="0" applyFont="1" applyBorder="1" applyAlignment="1">
      <alignment horizontal="center"/>
    </xf>
    <xf numFmtId="0" fontId="0" fillId="0" borderId="0" xfId="0" applyFill="1"/>
    <xf numFmtId="0" fontId="0" fillId="66" borderId="0" xfId="0" applyFill="1"/>
    <xf numFmtId="0" fontId="13" fillId="6" borderId="3" xfId="0" applyFont="1" applyFill="1" applyBorder="1"/>
    <xf numFmtId="0" fontId="13" fillId="6" borderId="0" xfId="0" applyFont="1" applyFill="1"/>
    <xf numFmtId="0" fontId="0" fillId="0" borderId="0" xfId="0"/>
    <xf numFmtId="0" fontId="0" fillId="0" borderId="0" xfId="0" applyAlignment="1"/>
    <xf numFmtId="0" fontId="0" fillId="0" borderId="0" xfId="0"/>
    <xf numFmtId="14" fontId="0" fillId="61" borderId="83" xfId="0" applyNumberFormat="1" applyFill="1" applyBorder="1" applyAlignment="1" applyProtection="1">
      <alignment horizontal="center" vertical="center"/>
      <protection locked="0"/>
    </xf>
    <xf numFmtId="3" fontId="0" fillId="61" borderId="42" xfId="0" applyNumberFormat="1" applyFill="1" applyBorder="1" applyAlignment="1" applyProtection="1">
      <alignment horizontal="center" vertical="center"/>
      <protection locked="0"/>
    </xf>
    <xf numFmtId="14" fontId="0" fillId="61" borderId="13" xfId="0" applyNumberFormat="1" applyFill="1" applyBorder="1" applyAlignment="1" applyProtection="1">
      <alignment horizontal="center" vertical="center"/>
      <protection locked="0"/>
    </xf>
    <xf numFmtId="3" fontId="0" fillId="61" borderId="23" xfId="0" applyNumberFormat="1" applyFill="1" applyBorder="1" applyAlignment="1" applyProtection="1">
      <alignment horizontal="center" vertical="center"/>
      <protection locked="0"/>
    </xf>
    <xf numFmtId="14" fontId="0" fillId="61" borderId="18" xfId="0" applyNumberFormat="1" applyFill="1" applyBorder="1" applyAlignment="1" applyProtection="1">
      <alignment horizontal="center" vertical="center"/>
      <protection locked="0"/>
    </xf>
    <xf numFmtId="3" fontId="0" fillId="61" borderId="41" xfId="0" applyNumberFormat="1" applyFill="1" applyBorder="1" applyAlignment="1" applyProtection="1">
      <alignment horizontal="center" vertical="center"/>
      <protection locked="0"/>
    </xf>
    <xf numFmtId="0" fontId="13" fillId="0" borderId="0" xfId="0" applyFont="1" applyProtection="1">
      <protection locked="0"/>
    </xf>
    <xf numFmtId="14" fontId="0" fillId="6" borderId="13" xfId="0" applyNumberFormat="1" applyFill="1" applyBorder="1" applyAlignment="1">
      <alignment horizontal="center" vertical="center"/>
    </xf>
    <xf numFmtId="3" fontId="0" fillId="6" borderId="40" xfId="0" applyNumberFormat="1" applyFill="1" applyBorder="1" applyAlignment="1">
      <alignment horizontal="center" vertical="center"/>
    </xf>
    <xf numFmtId="0" fontId="13" fillId="61" borderId="0" xfId="0" applyFont="1" applyFill="1" applyProtection="1">
      <protection locked="0"/>
    </xf>
    <xf numFmtId="3" fontId="0" fillId="6" borderId="44" xfId="0" applyNumberFormat="1" applyFill="1" applyBorder="1" applyAlignment="1">
      <alignment horizontal="center" vertical="center"/>
    </xf>
    <xf numFmtId="0" fontId="8" fillId="61" borderId="39" xfId="0" applyFont="1" applyFill="1" applyBorder="1" applyProtection="1">
      <protection locked="0"/>
    </xf>
    <xf numFmtId="0" fontId="0" fillId="61" borderId="39" xfId="0" applyFill="1" applyBorder="1" applyProtection="1">
      <protection locked="0"/>
    </xf>
    <xf numFmtId="3" fontId="0" fillId="61" borderId="39" xfId="0" applyNumberFormat="1" applyFill="1" applyBorder="1" applyProtection="1">
      <protection locked="0"/>
    </xf>
    <xf numFmtId="9" fontId="0" fillId="61" borderId="39" xfId="2" applyFont="1" applyFill="1" applyBorder="1" applyProtection="1">
      <protection locked="0"/>
    </xf>
    <xf numFmtId="3" fontId="0" fillId="20" borderId="85" xfId="0" applyNumberFormat="1" applyFill="1" applyBorder="1" applyAlignment="1" applyProtection="1">
      <alignment horizontal="center" vertical="center" wrapText="1"/>
      <protection locked="0"/>
    </xf>
    <xf numFmtId="0" fontId="3" fillId="18" borderId="69" xfId="0" applyFont="1" applyFill="1" applyBorder="1" applyAlignment="1">
      <alignment horizontal="center" vertical="center" wrapText="1"/>
    </xf>
    <xf numFmtId="3" fontId="0" fillId="20" borderId="87" xfId="0" applyNumberFormat="1" applyFill="1" applyBorder="1" applyAlignment="1" applyProtection="1">
      <alignment horizontal="center" vertical="center" wrapText="1"/>
      <protection locked="0"/>
    </xf>
    <xf numFmtId="0" fontId="0" fillId="21" borderId="0" xfId="0" applyFill="1"/>
    <xf numFmtId="0" fontId="8" fillId="0" borderId="88" xfId="0" applyFont="1" applyBorder="1" applyAlignment="1">
      <alignment horizontal="right"/>
    </xf>
    <xf numFmtId="0" fontId="0" fillId="0" borderId="69" xfId="0" applyBorder="1"/>
    <xf numFmtId="0" fontId="8" fillId="0" borderId="90" xfId="0" applyFont="1" applyBorder="1" applyAlignment="1">
      <alignment horizontal="right"/>
    </xf>
    <xf numFmtId="0" fontId="11" fillId="58" borderId="65" xfId="0" applyFont="1" applyFill="1" applyBorder="1" applyAlignment="1">
      <alignment horizontal="center" vertical="center" wrapText="1"/>
    </xf>
    <xf numFmtId="0" fontId="11" fillId="58" borderId="91" xfId="0" applyFont="1" applyFill="1" applyBorder="1" applyAlignment="1">
      <alignment horizontal="center" vertical="center" wrapText="1"/>
    </xf>
    <xf numFmtId="0" fontId="11" fillId="58" borderId="70" xfId="0" applyFont="1" applyFill="1" applyBorder="1" applyAlignment="1">
      <alignment horizontal="center" vertical="center" wrapText="1"/>
    </xf>
    <xf numFmtId="0" fontId="11" fillId="58" borderId="71" xfId="0" applyFont="1" applyFill="1" applyBorder="1" applyAlignment="1">
      <alignment horizontal="center" vertical="center" wrapText="1"/>
    </xf>
    <xf numFmtId="0" fontId="11" fillId="58" borderId="45" xfId="0" applyFont="1" applyFill="1" applyBorder="1" applyAlignment="1">
      <alignment horizontal="center" vertical="center" wrapText="1"/>
    </xf>
    <xf numFmtId="0" fontId="11" fillId="58" borderId="78" xfId="0" applyFont="1" applyFill="1" applyBorder="1" applyAlignment="1">
      <alignment horizontal="center" vertical="center" wrapText="1"/>
    </xf>
    <xf numFmtId="0" fontId="11" fillId="58" borderId="78" xfId="0" applyFont="1" applyFill="1" applyBorder="1" applyAlignment="1">
      <alignment vertical="center" wrapText="1"/>
    </xf>
    <xf numFmtId="0" fontId="11" fillId="58" borderId="92" xfId="0" applyFont="1" applyFill="1" applyBorder="1" applyAlignment="1">
      <alignment vertical="center" wrapText="1"/>
    </xf>
    <xf numFmtId="0" fontId="0" fillId="0" borderId="42" xfId="0" applyBorder="1"/>
    <xf numFmtId="176" fontId="0" fillId="5" borderId="77" xfId="0" applyNumberFormat="1" applyFill="1" applyBorder="1" applyAlignment="1">
      <alignment horizontal="center"/>
    </xf>
    <xf numFmtId="176" fontId="0" fillId="5" borderId="27" xfId="0" applyNumberFormat="1" applyFill="1" applyBorder="1" applyAlignment="1">
      <alignment horizontal="center"/>
    </xf>
    <xf numFmtId="0" fontId="0" fillId="5" borderId="27" xfId="0" applyFill="1" applyBorder="1" applyAlignment="1">
      <alignment horizontal="center"/>
    </xf>
    <xf numFmtId="9" fontId="0" fillId="5" borderId="27" xfId="0" applyNumberFormat="1" applyFill="1" applyBorder="1" applyAlignment="1">
      <alignment horizontal="center"/>
    </xf>
    <xf numFmtId="0" fontId="0" fillId="5" borderId="28" xfId="0" applyFill="1" applyBorder="1" applyAlignment="1">
      <alignment horizontal="center"/>
    </xf>
    <xf numFmtId="0" fontId="0" fillId="0" borderId="23" xfId="0" applyBorder="1"/>
    <xf numFmtId="176" fontId="0" fillId="5" borderId="13" xfId="0" applyNumberFormat="1" applyFill="1" applyBorder="1" applyAlignment="1">
      <alignment horizontal="center"/>
    </xf>
    <xf numFmtId="176" fontId="0" fillId="5" borderId="23" xfId="0" applyNumberFormat="1" applyFill="1" applyBorder="1" applyAlignment="1">
      <alignment horizontal="center"/>
    </xf>
    <xf numFmtId="0" fontId="0" fillId="5" borderId="23" xfId="0" applyFill="1" applyBorder="1" applyAlignment="1">
      <alignment horizontal="center"/>
    </xf>
    <xf numFmtId="9" fontId="0" fillId="5" borderId="23" xfId="0" applyNumberFormat="1" applyFill="1" applyBorder="1" applyAlignment="1">
      <alignment horizontal="center"/>
    </xf>
    <xf numFmtId="0" fontId="0" fillId="5" borderId="12" xfId="0" applyFill="1" applyBorder="1" applyAlignment="1">
      <alignment horizontal="center"/>
    </xf>
    <xf numFmtId="176" fontId="0" fillId="5" borderId="94" xfId="0" applyNumberFormat="1" applyFill="1" applyBorder="1" applyAlignment="1">
      <alignment horizontal="center"/>
    </xf>
    <xf numFmtId="176" fontId="0" fillId="5" borderId="29" xfId="0" applyNumberFormat="1" applyFill="1" applyBorder="1" applyAlignment="1">
      <alignment horizontal="center"/>
    </xf>
    <xf numFmtId="0" fontId="0" fillId="5" borderId="29" xfId="0" applyFill="1" applyBorder="1" applyAlignment="1">
      <alignment horizontal="center"/>
    </xf>
    <xf numFmtId="9" fontId="0" fillId="5" borderId="29" xfId="0" applyNumberFormat="1" applyFill="1" applyBorder="1" applyAlignment="1">
      <alignment horizontal="center"/>
    </xf>
    <xf numFmtId="0" fontId="0" fillId="5" borderId="82" xfId="0" applyFill="1" applyBorder="1" applyAlignment="1">
      <alignment horizontal="center"/>
    </xf>
    <xf numFmtId="0" fontId="6" fillId="0" borderId="0" xfId="0" applyFont="1"/>
    <xf numFmtId="0" fontId="31" fillId="0" borderId="0" xfId="0" applyFont="1" applyAlignment="1">
      <alignment horizontal="center" vertical="center" wrapText="1"/>
    </xf>
    <xf numFmtId="0" fontId="52" fillId="0" borderId="0" xfId="0" applyFont="1"/>
    <xf numFmtId="0" fontId="3" fillId="0" borderId="0" xfId="0" applyFont="1"/>
    <xf numFmtId="3" fontId="6" fillId="0" borderId="0" xfId="0" applyNumberFormat="1" applyFont="1"/>
    <xf numFmtId="0" fontId="51" fillId="54" borderId="95" xfId="0" applyFont="1" applyFill="1" applyBorder="1" applyAlignment="1">
      <alignment horizontal="center" vertical="center" wrapText="1"/>
    </xf>
    <xf numFmtId="0" fontId="31" fillId="54" borderId="59" xfId="0" applyFont="1" applyFill="1" applyBorder="1" applyAlignment="1">
      <alignment horizontal="center" vertical="center" wrapText="1"/>
    </xf>
    <xf numFmtId="0" fontId="31" fillId="0" borderId="26" xfId="0" applyFont="1" applyBorder="1" applyAlignment="1">
      <alignment horizontal="center" vertical="center" wrapText="1"/>
    </xf>
    <xf numFmtId="0" fontId="31" fillId="0" borderId="27" xfId="0" applyFont="1" applyBorder="1" applyAlignment="1">
      <alignment vertical="center" wrapText="1"/>
    </xf>
    <xf numFmtId="0" fontId="56" fillId="0" borderId="27" xfId="0" applyFont="1" applyBorder="1" applyAlignment="1">
      <alignment vertical="center" wrapText="1"/>
    </xf>
    <xf numFmtId="0" fontId="56" fillId="0" borderId="28" xfId="0" applyFont="1" applyBorder="1" applyAlignment="1">
      <alignment vertical="center" wrapText="1"/>
    </xf>
    <xf numFmtId="0" fontId="31" fillId="0" borderId="11" xfId="0" applyFont="1" applyBorder="1" applyAlignment="1">
      <alignment horizontal="center" vertical="center" wrapText="1"/>
    </xf>
    <xf numFmtId="0" fontId="31" fillId="0" borderId="23" xfId="0" applyFont="1" applyBorder="1" applyAlignment="1">
      <alignment vertical="center" wrapText="1"/>
    </xf>
    <xf numFmtId="0" fontId="57" fillId="0" borderId="23" xfId="0" applyFont="1" applyBorder="1" applyAlignment="1">
      <alignment vertical="center" wrapText="1"/>
    </xf>
    <xf numFmtId="0" fontId="56" fillId="0" borderId="23" xfId="0" applyFont="1" applyBorder="1" applyAlignment="1">
      <alignment vertical="center" wrapText="1"/>
    </xf>
    <xf numFmtId="0" fontId="58" fillId="0" borderId="23" xfId="0" applyFont="1" applyBorder="1" applyAlignment="1">
      <alignment vertical="center" wrapText="1"/>
    </xf>
    <xf numFmtId="0" fontId="56" fillId="0" borderId="12" xfId="0" applyFont="1" applyBorder="1" applyAlignment="1">
      <alignment vertical="center" wrapText="1"/>
    </xf>
    <xf numFmtId="0" fontId="59" fillId="0" borderId="12" xfId="0" applyFont="1" applyBorder="1" applyAlignment="1">
      <alignment vertical="center" wrapText="1"/>
    </xf>
    <xf numFmtId="0" fontId="60" fillId="0" borderId="23"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12" xfId="0" applyFont="1" applyBorder="1" applyAlignment="1">
      <alignment horizontal="center" vertical="center" wrapText="1"/>
    </xf>
    <xf numFmtId="0" fontId="31" fillId="0" borderId="23" xfId="0" applyFont="1" applyBorder="1" applyAlignment="1">
      <alignment horizontal="center" vertical="center" wrapText="1"/>
    </xf>
    <xf numFmtId="0" fontId="51" fillId="0" borderId="23" xfId="0" applyFont="1" applyBorder="1" applyAlignment="1">
      <alignment horizontal="center" vertical="center" wrapText="1"/>
    </xf>
    <xf numFmtId="0" fontId="60" fillId="0" borderId="23" xfId="0" applyFont="1" applyBorder="1" applyAlignment="1">
      <alignment vertical="center" wrapText="1"/>
    </xf>
    <xf numFmtId="0" fontId="51" fillId="0" borderId="23" xfId="0" applyFont="1" applyBorder="1" applyAlignment="1">
      <alignment vertical="center" wrapText="1"/>
    </xf>
    <xf numFmtId="0" fontId="61" fillId="0" borderId="23" xfId="0" applyFont="1" applyBorder="1" applyAlignment="1">
      <alignment vertical="center" wrapText="1"/>
    </xf>
    <xf numFmtId="0" fontId="62" fillId="0" borderId="12" xfId="0" applyFont="1" applyBorder="1" applyAlignment="1">
      <alignment vertical="center" wrapText="1"/>
    </xf>
    <xf numFmtId="0" fontId="63" fillId="0" borderId="23" xfId="0" applyFont="1" applyBorder="1" applyAlignment="1">
      <alignment vertical="center" wrapText="1"/>
    </xf>
    <xf numFmtId="0" fontId="64" fillId="0" borderId="23" xfId="0" applyFont="1" applyBorder="1" applyAlignment="1">
      <alignment vertical="center" wrapText="1"/>
    </xf>
    <xf numFmtId="0" fontId="65" fillId="0" borderId="12" xfId="0" applyFont="1" applyBorder="1" applyAlignment="1">
      <alignment vertical="center" wrapText="1"/>
    </xf>
    <xf numFmtId="0" fontId="66" fillId="0" borderId="23" xfId="0" applyFont="1" applyBorder="1" applyAlignment="1">
      <alignment vertical="center" wrapText="1"/>
    </xf>
    <xf numFmtId="0" fontId="66" fillId="0" borderId="23" xfId="0" applyFont="1" applyBorder="1" applyAlignment="1">
      <alignment horizontal="center" vertical="center" wrapText="1"/>
    </xf>
    <xf numFmtId="0" fontId="61" fillId="0" borderId="23" xfId="0" applyFont="1" applyBorder="1" applyAlignment="1">
      <alignment horizontal="center" vertical="center" wrapText="1"/>
    </xf>
    <xf numFmtId="0" fontId="62" fillId="0" borderId="12" xfId="0" applyFont="1" applyBorder="1" applyAlignment="1">
      <alignment horizontal="center" vertical="center" wrapText="1"/>
    </xf>
    <xf numFmtId="0" fontId="67" fillId="0" borderId="11" xfId="0" applyFont="1" applyBorder="1" applyAlignment="1">
      <alignment horizontal="center" vertical="center" wrapText="1"/>
    </xf>
    <xf numFmtId="0" fontId="68" fillId="0" borderId="23" xfId="0" applyFont="1" applyBorder="1" applyAlignment="1">
      <alignment horizontal="center" vertical="center" wrapText="1"/>
    </xf>
    <xf numFmtId="0" fontId="69" fillId="0" borderId="23" xfId="0" applyFont="1" applyBorder="1" applyAlignment="1">
      <alignment horizontal="center" vertical="center" wrapText="1"/>
    </xf>
    <xf numFmtId="0" fontId="69" fillId="0" borderId="12" xfId="0" applyFont="1" applyBorder="1" applyAlignment="1">
      <alignment horizontal="center" vertical="center" wrapText="1"/>
    </xf>
    <xf numFmtId="0" fontId="65" fillId="0" borderId="23" xfId="0" applyFont="1" applyBorder="1" applyAlignment="1">
      <alignment horizontal="center" vertical="center" wrapText="1"/>
    </xf>
    <xf numFmtId="0" fontId="60" fillId="0" borderId="0" xfId="0" applyFont="1" applyAlignment="1">
      <alignment horizontal="center" vertical="center" wrapText="1"/>
    </xf>
    <xf numFmtId="0" fontId="31" fillId="0" borderId="81" xfId="0" applyFont="1" applyBorder="1" applyAlignment="1">
      <alignment horizontal="center" vertical="center" wrapText="1"/>
    </xf>
    <xf numFmtId="0" fontId="51"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60" fillId="0" borderId="29" xfId="0" applyFont="1" applyBorder="1" applyAlignment="1">
      <alignment horizontal="center" vertical="center" wrapText="1"/>
    </xf>
    <xf numFmtId="0" fontId="56" fillId="0" borderId="82" xfId="0" applyFont="1" applyBorder="1" applyAlignment="1">
      <alignment horizontal="center" vertical="center" wrapText="1"/>
    </xf>
    <xf numFmtId="0" fontId="60" fillId="0" borderId="39" xfId="0" applyFont="1" applyBorder="1" applyAlignment="1">
      <alignment horizontal="center" vertical="center" wrapText="1"/>
    </xf>
    <xf numFmtId="0" fontId="60" fillId="0" borderId="99" xfId="0" applyFont="1" applyBorder="1" applyAlignment="1">
      <alignment horizontal="center" vertical="center" wrapText="1"/>
    </xf>
    <xf numFmtId="0" fontId="0" fillId="59" borderId="0" xfId="0" applyFill="1"/>
    <xf numFmtId="0" fontId="12" fillId="17" borderId="100" xfId="3" applyFont="1" applyFill="1" applyBorder="1" applyAlignment="1">
      <alignment vertical="center"/>
    </xf>
    <xf numFmtId="0" fontId="0" fillId="6" borderId="0" xfId="0" applyFill="1" applyBorder="1"/>
    <xf numFmtId="0" fontId="4" fillId="19" borderId="60" xfId="1" applyNumberFormat="1" applyFont="1" applyFill="1" applyBorder="1" applyAlignment="1" applyProtection="1">
      <alignment horizontal="center" vertical="center"/>
    </xf>
    <xf numFmtId="0" fontId="4" fillId="19" borderId="74" xfId="1" applyNumberFormat="1" applyFont="1" applyFill="1" applyBorder="1" applyAlignment="1" applyProtection="1">
      <alignment horizontal="center" vertical="center"/>
    </xf>
    <xf numFmtId="0" fontId="4" fillId="19" borderId="86" xfId="1" applyNumberFormat="1" applyFont="1" applyFill="1" applyBorder="1" applyAlignment="1" applyProtection="1">
      <alignment horizontal="center" vertical="center"/>
    </xf>
    <xf numFmtId="3" fontId="0" fillId="13" borderId="27" xfId="0" applyNumberFormat="1" applyFill="1" applyBorder="1" applyAlignment="1">
      <alignment horizontal="center" vertical="center" wrapText="1"/>
    </xf>
    <xf numFmtId="0" fontId="0" fillId="0" borderId="0" xfId="0"/>
    <xf numFmtId="0" fontId="0" fillId="0" borderId="0" xfId="0"/>
    <xf numFmtId="0" fontId="71" fillId="0" borderId="0" xfId="0" applyFont="1"/>
    <xf numFmtId="0" fontId="8" fillId="0" borderId="0" xfId="0" applyFont="1" applyAlignment="1">
      <alignment horizontal="center" vertical="center" wrapText="1"/>
    </xf>
    <xf numFmtId="0" fontId="0" fillId="0" borderId="0" xfId="0" applyAlignment="1">
      <alignment vertical="center" wrapText="1"/>
    </xf>
    <xf numFmtId="0" fontId="0" fillId="5" borderId="0" xfId="0" applyFill="1"/>
    <xf numFmtId="0" fontId="0" fillId="0" borderId="0" xfId="0" applyAlignment="1">
      <alignment horizontal="left" indent="2"/>
    </xf>
    <xf numFmtId="0" fontId="0" fillId="0" borderId="0" xfId="0"/>
    <xf numFmtId="0" fontId="0" fillId="0" borderId="41" xfId="0" applyBorder="1"/>
    <xf numFmtId="0" fontId="0" fillId="0" borderId="39" xfId="0" applyBorder="1"/>
    <xf numFmtId="0" fontId="13" fillId="0" borderId="40" xfId="0" applyFont="1" applyBorder="1" applyAlignment="1" applyProtection="1">
      <alignment horizontal="left"/>
      <protection locked="0"/>
    </xf>
    <xf numFmtId="0" fontId="0" fillId="0" borderId="43" xfId="0" applyBorder="1" applyAlignment="1">
      <alignment horizontal="left"/>
    </xf>
    <xf numFmtId="0" fontId="0" fillId="0" borderId="13" xfId="0" applyBorder="1" applyAlignment="1">
      <alignment horizontal="left"/>
    </xf>
    <xf numFmtId="0" fontId="0" fillId="0" borderId="0" xfId="0" applyAlignment="1">
      <alignment horizontal="center"/>
    </xf>
    <xf numFmtId="3" fontId="0" fillId="20" borderId="11" xfId="0" applyNumberFormat="1" applyFill="1" applyBorder="1" applyAlignment="1" applyProtection="1">
      <alignment horizontal="center" vertical="center" wrapText="1"/>
      <protection locked="0"/>
    </xf>
    <xf numFmtId="3" fontId="0" fillId="20" borderId="23" xfId="0" applyNumberFormat="1" applyFill="1" applyBorder="1" applyAlignment="1" applyProtection="1">
      <alignment horizontal="center" vertical="center" wrapText="1"/>
      <protection locked="0"/>
    </xf>
    <xf numFmtId="3" fontId="0" fillId="20" borderId="81" xfId="0" applyNumberFormat="1" applyFill="1" applyBorder="1" applyAlignment="1" applyProtection="1">
      <alignment horizontal="center" vertical="center" wrapText="1"/>
      <protection locked="0"/>
    </xf>
    <xf numFmtId="3" fontId="0" fillId="20" borderId="29" xfId="0" applyNumberFormat="1" applyFill="1" applyBorder="1" applyAlignment="1" applyProtection="1">
      <alignment horizontal="center" vertical="center" wrapText="1"/>
      <protection locked="0"/>
    </xf>
    <xf numFmtId="0" fontId="0" fillId="0" borderId="0" xfId="0"/>
    <xf numFmtId="0" fontId="0" fillId="0" borderId="93" xfId="0" applyBorder="1" applyProtection="1">
      <protection locked="0"/>
    </xf>
    <xf numFmtId="1" fontId="0" fillId="0" borderId="83" xfId="0" applyNumberFormat="1" applyBorder="1" applyProtection="1">
      <protection locked="0"/>
    </xf>
    <xf numFmtId="0" fontId="48" fillId="0" borderId="23" xfId="0" applyFont="1" applyBorder="1" applyProtection="1">
      <protection locked="0"/>
    </xf>
    <xf numFmtId="0" fontId="0" fillId="0" borderId="42" xfId="0" applyBorder="1" applyProtection="1">
      <protection locked="0"/>
    </xf>
    <xf numFmtId="0" fontId="0" fillId="0" borderId="11" xfId="0" applyBorder="1" applyAlignment="1" applyProtection="1">
      <alignment horizontal="center"/>
      <protection locked="0"/>
    </xf>
    <xf numFmtId="0" fontId="0" fillId="0" borderId="85" xfId="0" applyBorder="1" applyAlignment="1" applyProtection="1">
      <alignment horizontal="center"/>
      <protection locked="0"/>
    </xf>
    <xf numFmtId="0" fontId="0" fillId="0" borderId="11" xfId="0" applyBorder="1" applyProtection="1">
      <protection locked="0"/>
    </xf>
    <xf numFmtId="0" fontId="0" fillId="0" borderId="23" xfId="0" applyBorder="1" applyProtection="1">
      <protection locked="0"/>
    </xf>
    <xf numFmtId="0" fontId="0" fillId="0" borderId="40" xfId="0" applyBorder="1" applyAlignment="1" applyProtection="1">
      <alignment horizontal="center"/>
      <protection locked="0"/>
    </xf>
    <xf numFmtId="0" fontId="0" fillId="0" borderId="13" xfId="0" applyBorder="1" applyProtection="1">
      <protection locked="0"/>
    </xf>
    <xf numFmtId="0" fontId="0" fillId="0" borderId="12" xfId="0" applyBorder="1" applyAlignment="1" applyProtection="1">
      <alignment horizontal="center"/>
      <protection locked="0"/>
    </xf>
    <xf numFmtId="0" fontId="0" fillId="0" borderId="81" xfId="0" applyBorder="1" applyProtection="1">
      <protection locked="0"/>
    </xf>
    <xf numFmtId="0" fontId="0" fillId="0" borderId="94" xfId="0" applyBorder="1" applyProtection="1">
      <protection locked="0"/>
    </xf>
    <xf numFmtId="0" fontId="48" fillId="0" borderId="29" xfId="0" applyFont="1" applyBorder="1" applyProtection="1">
      <protection locked="0"/>
    </xf>
    <xf numFmtId="0" fontId="0" fillId="0" borderId="29" xfId="0" applyBorder="1" applyProtection="1">
      <protection locked="0"/>
    </xf>
    <xf numFmtId="0" fontId="0" fillId="0" borderId="87" xfId="0" applyBorder="1" applyAlignment="1" applyProtection="1">
      <alignment horizontal="center"/>
      <protection locked="0"/>
    </xf>
    <xf numFmtId="0" fontId="0" fillId="0" borderId="81" xfId="0" applyBorder="1" applyAlignment="1" applyProtection="1">
      <alignment horizontal="center"/>
      <protection locked="0"/>
    </xf>
    <xf numFmtId="0" fontId="0" fillId="0" borderId="82"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3" xfId="0" applyBorder="1" applyAlignment="1" applyProtection="1">
      <alignment horizontal="center"/>
      <protection locked="0"/>
    </xf>
    <xf numFmtId="0" fontId="16" fillId="0" borderId="23" xfId="0" applyFont="1" applyBorder="1" applyAlignment="1" applyProtection="1">
      <alignment horizontal="center"/>
      <protection locked="0"/>
    </xf>
    <xf numFmtId="0" fontId="0" fillId="0" borderId="29" xfId="0" applyBorder="1" applyAlignment="1" applyProtection="1">
      <alignment horizontal="center"/>
      <protection locked="0"/>
    </xf>
    <xf numFmtId="3" fontId="0" fillId="0" borderId="23" xfId="0" applyNumberFormat="1" applyBorder="1" applyAlignment="1" applyProtection="1">
      <alignment horizontal="center"/>
      <protection locked="0"/>
    </xf>
    <xf numFmtId="3" fontId="0" fillId="20" borderId="26" xfId="0" applyNumberFormat="1" applyFill="1" applyBorder="1" applyAlignment="1" applyProtection="1">
      <alignment horizontal="center" vertical="center" wrapText="1"/>
      <protection locked="0"/>
    </xf>
    <xf numFmtId="3" fontId="0" fillId="20" borderId="27" xfId="0" applyNumberFormat="1" applyFill="1" applyBorder="1" applyAlignment="1" applyProtection="1">
      <alignment horizontal="center" vertical="center" wrapText="1"/>
      <protection locked="0"/>
    </xf>
    <xf numFmtId="3" fontId="0" fillId="20" borderId="67" xfId="0" applyNumberFormat="1" applyFill="1" applyBorder="1" applyAlignment="1" applyProtection="1">
      <alignment horizontal="center" vertical="center" wrapText="1"/>
      <protection locked="0"/>
    </xf>
    <xf numFmtId="14" fontId="0" fillId="20" borderId="60" xfId="0" applyNumberFormat="1" applyFill="1" applyBorder="1" applyAlignment="1" applyProtection="1">
      <alignment horizontal="center" vertical="center" wrapText="1"/>
      <protection locked="0"/>
    </xf>
    <xf numFmtId="0" fontId="0" fillId="21" borderId="74" xfId="0" applyFill="1" applyBorder="1" applyAlignment="1" applyProtection="1">
      <alignment horizontal="left" vertical="center"/>
      <protection locked="0"/>
    </xf>
    <xf numFmtId="14" fontId="0" fillId="20" borderId="74" xfId="0" applyNumberFormat="1" applyFill="1" applyBorder="1" applyAlignment="1" applyProtection="1">
      <alignment horizontal="center" vertical="center" wrapText="1"/>
      <protection locked="0"/>
    </xf>
    <xf numFmtId="0" fontId="0" fillId="21" borderId="86" xfId="0" applyFill="1" applyBorder="1" applyAlignment="1" applyProtection="1">
      <alignment horizontal="left" vertical="center"/>
      <protection locked="0"/>
    </xf>
    <xf numFmtId="3" fontId="0" fillId="67" borderId="60" xfId="0" applyNumberFormat="1" applyFill="1" applyBorder="1" applyAlignment="1" applyProtection="1">
      <alignment horizontal="left" vertical="center" wrapText="1"/>
      <protection locked="0"/>
    </xf>
    <xf numFmtId="0" fontId="0" fillId="59" borderId="74" xfId="0" applyFill="1" applyBorder="1" applyAlignment="1" applyProtection="1">
      <alignment horizontal="left" vertical="center"/>
      <protection locked="0"/>
    </xf>
    <xf numFmtId="3" fontId="0" fillId="0" borderId="0" xfId="0" applyNumberFormat="1" applyProtection="1">
      <protection locked="0"/>
    </xf>
    <xf numFmtId="0" fontId="0" fillId="0" borderId="40" xfId="0" applyBorder="1" applyAlignment="1" applyProtection="1">
      <alignment horizontal="center" vertical="center" wrapText="1"/>
      <protection locked="0"/>
    </xf>
    <xf numFmtId="0" fontId="0" fillId="0" borderId="0" xfId="0"/>
    <xf numFmtId="0" fontId="0" fillId="0" borderId="0" xfId="0"/>
    <xf numFmtId="14" fontId="0" fillId="0" borderId="0" xfId="0" applyNumberFormat="1" applyAlignment="1">
      <alignment horizontal="right"/>
    </xf>
    <xf numFmtId="171" fontId="0" fillId="0" borderId="0" xfId="1" applyNumberFormat="1" applyFont="1" applyProtection="1"/>
    <xf numFmtId="0" fontId="0" fillId="0" borderId="0" xfId="0"/>
    <xf numFmtId="14" fontId="0" fillId="0" borderId="0" xfId="0" applyNumberFormat="1" applyAlignment="1" applyProtection="1">
      <alignment horizontal="right"/>
    </xf>
    <xf numFmtId="0" fontId="73" fillId="0" borderId="0" xfId="0" applyFont="1" applyProtection="1">
      <protection locked="0"/>
    </xf>
    <xf numFmtId="14" fontId="74" fillId="0" borderId="0" xfId="0" applyNumberFormat="1" applyFont="1" applyProtection="1">
      <protection locked="0"/>
    </xf>
    <xf numFmtId="0" fontId="0" fillId="0" borderId="0" xfId="0"/>
    <xf numFmtId="0" fontId="12" fillId="6" borderId="0" xfId="3" applyFont="1" applyFill="1" applyAlignment="1">
      <alignment vertical="center"/>
    </xf>
    <xf numFmtId="3" fontId="0" fillId="6" borderId="0" xfId="0" applyNumberFormat="1" applyFill="1" applyBorder="1" applyAlignment="1">
      <alignment wrapText="1"/>
    </xf>
    <xf numFmtId="3" fontId="0" fillId="6" borderId="0" xfId="0" applyNumberFormat="1" applyFill="1" applyAlignment="1">
      <alignment horizontal="center" vertical="center" wrapText="1"/>
    </xf>
    <xf numFmtId="3" fontId="0" fillId="6" borderId="0" xfId="0" applyNumberFormat="1" applyFill="1" applyAlignment="1">
      <alignment vertical="center" wrapText="1"/>
    </xf>
    <xf numFmtId="3" fontId="0" fillId="6" borderId="0" xfId="0" applyNumberFormat="1" applyFill="1" applyAlignment="1">
      <alignment wrapText="1"/>
    </xf>
    <xf numFmtId="0" fontId="0" fillId="0" borderId="0" xfId="0"/>
    <xf numFmtId="181" fontId="0" fillId="0" borderId="0" xfId="0" applyNumberFormat="1"/>
    <xf numFmtId="0" fontId="0" fillId="5" borderId="0" xfId="0" applyFill="1" applyBorder="1" applyAlignment="1">
      <alignment horizontal="center" vertical="center"/>
    </xf>
    <xf numFmtId="0" fontId="43" fillId="6" borderId="0" xfId="57" applyFill="1"/>
    <xf numFmtId="0" fontId="0" fillId="0" borderId="0" xfId="0"/>
    <xf numFmtId="0" fontId="0" fillId="0" borderId="0" xfId="0"/>
    <xf numFmtId="0" fontId="72" fillId="0" borderId="0" xfId="70" applyFont="1" applyFill="1" applyBorder="1" applyProtection="1">
      <protection locked="0"/>
    </xf>
    <xf numFmtId="0" fontId="0" fillId="0" borderId="0" xfId="0" applyFont="1" applyBorder="1" applyProtection="1">
      <protection locked="0"/>
    </xf>
    <xf numFmtId="0" fontId="0" fillId="0" borderId="20" xfId="0" applyBorder="1" applyProtection="1">
      <protection locked="0"/>
    </xf>
    <xf numFmtId="0" fontId="0" fillId="0" borderId="0" xfId="0"/>
    <xf numFmtId="14" fontId="60" fillId="0" borderId="0" xfId="0" applyNumberFormat="1" applyFont="1" applyProtection="1">
      <protection locked="0"/>
    </xf>
    <xf numFmtId="0" fontId="0" fillId="0" borderId="0" xfId="0" applyAlignment="1">
      <alignment horizontal="center"/>
    </xf>
    <xf numFmtId="0" fontId="0" fillId="0" borderId="23" xfId="0" applyBorder="1" applyAlignment="1">
      <alignment horizontal="center"/>
    </xf>
    <xf numFmtId="176" fontId="0" fillId="0" borderId="23" xfId="0" applyNumberFormat="1" applyBorder="1" applyAlignment="1" applyProtection="1">
      <alignment horizontal="center"/>
      <protection locked="0"/>
    </xf>
    <xf numFmtId="14" fontId="0" fillId="0" borderId="0" xfId="0" applyNumberFormat="1" applyProtection="1"/>
    <xf numFmtId="0" fontId="60" fillId="0" borderId="0" xfId="0" applyFont="1" applyProtection="1">
      <protection locked="0"/>
    </xf>
    <xf numFmtId="0" fontId="0" fillId="0" borderId="0" xfId="0"/>
    <xf numFmtId="3" fontId="0" fillId="0" borderId="84" xfId="0" applyNumberFormat="1" applyBorder="1" applyAlignment="1" applyProtection="1">
      <alignment horizontal="center"/>
      <protection locked="0"/>
    </xf>
    <xf numFmtId="3" fontId="0" fillId="0" borderId="40" xfId="0" applyNumberFormat="1" applyBorder="1" applyAlignment="1" applyProtection="1">
      <alignment horizontal="center"/>
      <protection locked="0"/>
    </xf>
    <xf numFmtId="171" fontId="0" fillId="6" borderId="0" xfId="0" applyNumberFormat="1" applyFill="1" applyProtection="1">
      <protection locked="0"/>
    </xf>
    <xf numFmtId="14" fontId="0" fillId="6" borderId="0" xfId="0" applyNumberFormat="1" applyFill="1" applyProtection="1">
      <protection locked="0"/>
    </xf>
    <xf numFmtId="176" fontId="0" fillId="0" borderId="0" xfId="0" applyNumberFormat="1" applyFill="1"/>
    <xf numFmtId="179" fontId="0" fillId="0" borderId="0" xfId="1" applyNumberFormat="1" applyFont="1"/>
    <xf numFmtId="182" fontId="0" fillId="0" borderId="0" xfId="0" applyNumberFormat="1"/>
    <xf numFmtId="171" fontId="0" fillId="0" borderId="0" xfId="0" applyNumberFormat="1" applyProtection="1">
      <protection locked="0"/>
    </xf>
    <xf numFmtId="183" fontId="0" fillId="0" borderId="0" xfId="0" applyNumberFormat="1"/>
    <xf numFmtId="0" fontId="0" fillId="0" borderId="0" xfId="0"/>
    <xf numFmtId="0" fontId="0" fillId="6" borderId="0" xfId="0" applyFill="1" applyAlignment="1"/>
    <xf numFmtId="0" fontId="13" fillId="6" borderId="0" xfId="0" applyFont="1" applyFill="1" applyBorder="1" applyAlignment="1">
      <alignment vertical="top" wrapText="1"/>
    </xf>
    <xf numFmtId="0" fontId="0" fillId="6" borderId="0" xfId="0" applyFill="1" applyBorder="1" applyAlignment="1"/>
    <xf numFmtId="0" fontId="0" fillId="68" borderId="0" xfId="0" applyFill="1"/>
    <xf numFmtId="0" fontId="50" fillId="0" borderId="23" xfId="0" applyFont="1" applyFill="1" applyBorder="1" applyAlignment="1">
      <alignment horizontal="center" vertical="center" wrapText="1"/>
    </xf>
    <xf numFmtId="171" fontId="50" fillId="0" borderId="23" xfId="1" applyNumberFormat="1" applyFont="1" applyFill="1" applyBorder="1" applyAlignment="1">
      <alignment horizontal="center" vertical="center" wrapText="1"/>
    </xf>
    <xf numFmtId="14" fontId="0" fillId="66" borderId="0" xfId="0" applyNumberFormat="1" applyFill="1"/>
    <xf numFmtId="0" fontId="0" fillId="0" borderId="0" xfId="0"/>
    <xf numFmtId="0" fontId="42" fillId="6" borderId="0" xfId="0" applyFont="1" applyFill="1"/>
    <xf numFmtId="0" fontId="0" fillId="0" borderId="0" xfId="0"/>
    <xf numFmtId="0" fontId="0" fillId="0" borderId="0" xfId="0"/>
    <xf numFmtId="0" fontId="16" fillId="6" borderId="0" xfId="0" applyNumberFormat="1" applyFont="1" applyFill="1"/>
    <xf numFmtId="0" fontId="75" fillId="2" borderId="0" xfId="0" applyFont="1" applyFill="1"/>
    <xf numFmtId="0" fontId="6" fillId="18" borderId="23" xfId="0" applyFont="1" applyFill="1" applyBorder="1" applyAlignment="1">
      <alignment horizontal="center" vertical="center"/>
    </xf>
    <xf numFmtId="0" fontId="0" fillId="18" borderId="23" xfId="0" applyFill="1" applyBorder="1" applyAlignment="1" applyProtection="1">
      <alignment horizontal="center"/>
      <protection locked="0"/>
    </xf>
    <xf numFmtId="184" fontId="0" fillId="0" borderId="0" xfId="0" applyNumberFormat="1"/>
    <xf numFmtId="0" fontId="0" fillId="0" borderId="0" xfId="0"/>
    <xf numFmtId="179" fontId="0" fillId="0" borderId="0" xfId="0" applyNumberFormat="1" applyFill="1"/>
    <xf numFmtId="179" fontId="0" fillId="0" borderId="0" xfId="1" applyNumberFormat="1" applyFont="1" applyFill="1"/>
    <xf numFmtId="0" fontId="2" fillId="2" borderId="1" xfId="0" applyFont="1" applyFill="1" applyBorder="1" applyProtection="1"/>
    <xf numFmtId="3" fontId="4" fillId="0" borderId="14"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30" xfId="0" applyNumberFormat="1" applyFont="1" applyFill="1" applyBorder="1" applyAlignment="1">
      <alignment horizontal="center" vertical="center"/>
    </xf>
    <xf numFmtId="0" fontId="13" fillId="68" borderId="0" xfId="0" applyFont="1" applyFill="1" applyAlignment="1">
      <alignment vertical="top" wrapText="1"/>
    </xf>
    <xf numFmtId="0" fontId="16" fillId="68" borderId="0" xfId="0" applyNumberFormat="1" applyFont="1" applyFill="1" applyProtection="1">
      <protection locked="0"/>
    </xf>
    <xf numFmtId="0" fontId="33" fillId="68" borderId="0" xfId="0" applyNumberFormat="1" applyFont="1" applyFill="1" applyAlignment="1" applyProtection="1">
      <alignment wrapText="1"/>
      <protection locked="0"/>
    </xf>
    <xf numFmtId="0" fontId="33" fillId="68" borderId="0" xfId="0" applyNumberFormat="1" applyFont="1" applyFill="1" applyProtection="1">
      <protection locked="0"/>
    </xf>
    <xf numFmtId="0" fontId="49" fillId="68" borderId="0" xfId="0" applyNumberFormat="1" applyFont="1" applyFill="1" applyAlignment="1" applyProtection="1">
      <alignment wrapText="1"/>
      <protection locked="0"/>
    </xf>
    <xf numFmtId="0" fontId="33" fillId="68" borderId="0" xfId="0" applyFont="1" applyFill="1" applyAlignment="1" applyProtection="1">
      <alignment horizontal="center" wrapText="1"/>
      <protection locked="0"/>
    </xf>
    <xf numFmtId="3" fontId="0" fillId="65" borderId="84" xfId="0" applyNumberFormat="1" applyFill="1" applyBorder="1" applyAlignment="1" applyProtection="1">
      <alignment horizontal="center" vertical="center"/>
      <protection locked="0"/>
    </xf>
    <xf numFmtId="0" fontId="2" fillId="2" borderId="36" xfId="0" applyFont="1" applyFill="1" applyBorder="1" applyProtection="1"/>
    <xf numFmtId="0" fontId="0" fillId="0" borderId="0" xfId="0"/>
    <xf numFmtId="0" fontId="45" fillId="6" borderId="0" xfId="0" applyFont="1" applyFill="1" applyAlignment="1">
      <alignment horizontal="center"/>
    </xf>
    <xf numFmtId="0" fontId="0" fillId="0" borderId="0" xfId="0" pivotButton="1" applyProtection="1">
      <protection locked="0"/>
    </xf>
    <xf numFmtId="0" fontId="0" fillId="0" borderId="0" xfId="0" applyAlignment="1" applyProtection="1">
      <alignment horizontal="left"/>
      <protection locked="0"/>
    </xf>
    <xf numFmtId="0" fontId="0" fillId="0" borderId="0" xfId="0" applyNumberFormat="1" applyProtection="1">
      <protection locked="0"/>
    </xf>
    <xf numFmtId="0" fontId="0" fillId="0" borderId="0" xfId="0" applyAlignment="1" applyProtection="1">
      <alignment horizontal="left" indent="1"/>
      <protection locked="0"/>
    </xf>
    <xf numFmtId="0" fontId="0" fillId="0" borderId="0" xfId="0" applyAlignment="1" applyProtection="1">
      <alignment horizontal="left" indent="2"/>
      <protection locked="0"/>
    </xf>
    <xf numFmtId="0" fontId="2" fillId="2" borderId="0" xfId="0" applyFont="1" applyFill="1" applyProtection="1">
      <protection locked="0"/>
    </xf>
    <xf numFmtId="0" fontId="12" fillId="68" borderId="66" xfId="3" applyFont="1" applyFill="1" applyBorder="1" applyAlignment="1">
      <alignment vertical="center"/>
    </xf>
    <xf numFmtId="3" fontId="0" fillId="68" borderId="0" xfId="0" applyNumberFormat="1" applyFill="1" applyBorder="1" applyAlignment="1">
      <alignment wrapText="1"/>
    </xf>
    <xf numFmtId="3" fontId="0" fillId="68" borderId="0" xfId="0" applyNumberFormat="1" applyFill="1" applyAlignment="1">
      <alignment wrapText="1"/>
    </xf>
    <xf numFmtId="0" fontId="0" fillId="0" borderId="0" xfId="0" applyAlignment="1"/>
    <xf numFmtId="0" fontId="36" fillId="6" borderId="49" xfId="0" applyFont="1" applyFill="1" applyBorder="1" applyAlignment="1">
      <alignment horizontal="left"/>
    </xf>
    <xf numFmtId="0" fontId="0" fillId="0" borderId="0" xfId="0"/>
    <xf numFmtId="0" fontId="0" fillId="0" borderId="0" xfId="0"/>
    <xf numFmtId="0" fontId="36" fillId="6" borderId="0" xfId="0" applyFont="1" applyFill="1" applyBorder="1" applyAlignment="1">
      <alignment horizontal="left"/>
    </xf>
    <xf numFmtId="3" fontId="0" fillId="13" borderId="27" xfId="0" applyNumberFormat="1" applyFill="1" applyBorder="1" applyAlignment="1" applyProtection="1">
      <alignment horizontal="center" vertical="center" wrapText="1"/>
    </xf>
    <xf numFmtId="0" fontId="50" fillId="69" borderId="23" xfId="0" applyFont="1" applyFill="1" applyBorder="1" applyAlignment="1">
      <alignment horizontal="center" vertical="center" wrapText="1"/>
    </xf>
    <xf numFmtId="171" fontId="50" fillId="69" borderId="23" xfId="1" applyNumberFormat="1" applyFont="1" applyFill="1" applyBorder="1" applyAlignment="1">
      <alignment horizontal="center" vertical="center" wrapText="1"/>
    </xf>
    <xf numFmtId="0" fontId="50" fillId="70" borderId="23" xfId="0" applyFont="1" applyFill="1" applyBorder="1" applyAlignment="1">
      <alignment horizontal="center" vertical="center" wrapText="1"/>
    </xf>
    <xf numFmtId="171" fontId="50" fillId="70" borderId="23" xfId="1" applyNumberFormat="1" applyFont="1" applyFill="1" applyBorder="1" applyAlignment="1">
      <alignment horizontal="center" vertical="center" wrapText="1"/>
    </xf>
    <xf numFmtId="0" fontId="50" fillId="71" borderId="23" xfId="0" applyFont="1" applyFill="1" applyBorder="1" applyAlignment="1">
      <alignment horizontal="center" vertical="center" wrapText="1"/>
    </xf>
    <xf numFmtId="0" fontId="50" fillId="72" borderId="23" xfId="0" applyFont="1" applyFill="1" applyBorder="1" applyAlignment="1">
      <alignment horizontal="center" vertical="center" wrapText="1"/>
    </xf>
    <xf numFmtId="3" fontId="0" fillId="13" borderId="26" xfId="0" applyNumberFormat="1" applyFill="1" applyBorder="1" applyAlignment="1">
      <alignment horizontal="center" vertical="center" wrapText="1"/>
    </xf>
    <xf numFmtId="3" fontId="0" fillId="13" borderId="85" xfId="0" applyNumberFormat="1" applyFill="1" applyBorder="1" applyAlignment="1" applyProtection="1">
      <alignment horizontal="center" vertical="center" wrapText="1"/>
    </xf>
    <xf numFmtId="0" fontId="12" fillId="17" borderId="90" xfId="3" applyFont="1" applyFill="1" applyBorder="1" applyAlignment="1">
      <alignment horizontal="center" vertical="center"/>
    </xf>
    <xf numFmtId="0" fontId="12" fillId="17" borderId="60" xfId="3" applyFont="1" applyFill="1" applyBorder="1" applyAlignment="1">
      <alignment horizontal="center" vertical="center" wrapText="1"/>
    </xf>
    <xf numFmtId="3" fontId="0" fillId="13" borderId="10" xfId="0" applyNumberFormat="1" applyFill="1" applyBorder="1" applyAlignment="1" applyProtection="1">
      <alignment horizontal="center" vertical="center" wrapText="1"/>
    </xf>
    <xf numFmtId="3" fontId="0" fillId="13" borderId="101" xfId="0" applyNumberFormat="1" applyFill="1" applyBorder="1" applyAlignment="1" applyProtection="1">
      <alignment horizontal="center" vertical="center" wrapText="1"/>
    </xf>
    <xf numFmtId="3" fontId="0" fillId="13" borderId="23" xfId="0" applyNumberFormat="1" applyFill="1" applyBorder="1" applyAlignment="1" applyProtection="1">
      <alignment horizontal="center" vertical="center" wrapText="1"/>
    </xf>
    <xf numFmtId="3" fontId="0" fillId="20" borderId="77" xfId="0" applyNumberFormat="1" applyFill="1" applyBorder="1" applyAlignment="1">
      <alignment horizontal="center" vertical="center" wrapText="1"/>
    </xf>
    <xf numFmtId="0" fontId="0" fillId="0" borderId="0" xfId="0"/>
    <xf numFmtId="0" fontId="0" fillId="0" borderId="0" xfId="0" applyAlignment="1">
      <alignment horizontal="center"/>
    </xf>
    <xf numFmtId="0" fontId="0" fillId="0" borderId="0" xfId="0" applyAlignment="1">
      <alignment horizontal="center" wrapText="1"/>
    </xf>
    <xf numFmtId="0" fontId="8" fillId="0" borderId="0" xfId="0" applyFont="1" applyAlignment="1">
      <alignment horizontal="center"/>
    </xf>
    <xf numFmtId="0" fontId="51" fillId="54" borderId="96" xfId="0" applyFont="1" applyFill="1" applyBorder="1" applyAlignment="1">
      <alignment horizontal="center" vertical="center" wrapText="1"/>
    </xf>
    <xf numFmtId="0" fontId="51" fillId="54" borderId="97" xfId="0" applyFont="1" applyFill="1" applyBorder="1" applyAlignment="1">
      <alignment horizontal="center" vertical="center" wrapText="1"/>
    </xf>
    <xf numFmtId="0" fontId="51" fillId="54" borderId="98" xfId="0" applyFont="1" applyFill="1" applyBorder="1" applyAlignment="1">
      <alignment horizontal="center" vertical="center" wrapText="1"/>
    </xf>
    <xf numFmtId="0" fontId="70" fillId="0" borderId="0" xfId="0" applyFont="1" applyAlignment="1">
      <alignment horizontal="center" vertical="center" wrapText="1"/>
    </xf>
    <xf numFmtId="0" fontId="0" fillId="0" borderId="89" xfId="0" applyBorder="1" applyAlignment="1">
      <alignment horizontal="center" wrapText="1"/>
    </xf>
    <xf numFmtId="0" fontId="13" fillId="0" borderId="0" xfId="0" applyFont="1" applyAlignment="1">
      <alignment horizontal="left"/>
    </xf>
    <xf numFmtId="3" fontId="0" fillId="20" borderId="13" xfId="0" applyNumberFormat="1" applyFill="1" applyBorder="1" applyAlignment="1" applyProtection="1">
      <alignment horizontal="center" vertical="center" wrapText="1"/>
      <protection locked="0"/>
    </xf>
    <xf numFmtId="3" fontId="0" fillId="20" borderId="23" xfId="0" applyNumberFormat="1" applyFill="1"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0" fontId="0" fillId="0" borderId="12" xfId="0" applyBorder="1" applyAlignment="1" applyProtection="1">
      <alignment vertical="center" wrapText="1"/>
      <protection locked="0"/>
    </xf>
    <xf numFmtId="0" fontId="16" fillId="68" borderId="0" xfId="0" applyFont="1" applyFill="1" applyAlignment="1">
      <alignment horizontal="center" vertical="top" wrapText="1"/>
    </xf>
    <xf numFmtId="0" fontId="40" fillId="6" borderId="0" xfId="0" applyFont="1" applyFill="1" applyAlignment="1">
      <alignment horizontal="left" vertical="top" wrapText="1"/>
    </xf>
    <xf numFmtId="0" fontId="0" fillId="6" borderId="0" xfId="0" applyFill="1" applyAlignment="1">
      <alignment horizontal="left" vertical="top" wrapText="1"/>
    </xf>
    <xf numFmtId="0" fontId="13" fillId="6" borderId="0" xfId="0" applyFont="1" applyFill="1" applyAlignment="1">
      <alignment horizontal="left" vertical="top" wrapText="1"/>
    </xf>
    <xf numFmtId="0" fontId="13" fillId="6" borderId="0" xfId="0" applyFont="1" applyFill="1" applyAlignment="1">
      <alignment horizontal="left" vertical="center" wrapText="1"/>
    </xf>
    <xf numFmtId="168" fontId="0" fillId="6" borderId="0" xfId="0" applyNumberFormat="1" applyFill="1" applyAlignment="1">
      <alignment horizontal="center"/>
    </xf>
    <xf numFmtId="0" fontId="48" fillId="6" borderId="49" xfId="0" applyFont="1" applyFill="1" applyBorder="1" applyAlignment="1">
      <alignment horizontal="left"/>
    </xf>
    <xf numFmtId="0" fontId="12" fillId="17" borderId="46" xfId="3" applyFont="1" applyFill="1" applyBorder="1" applyAlignment="1">
      <alignment horizontal="center" vertical="center"/>
    </xf>
    <xf numFmtId="0" fontId="12" fillId="17" borderId="47" xfId="3" applyFont="1" applyFill="1" applyBorder="1" applyAlignment="1">
      <alignment horizontal="center" vertical="center"/>
    </xf>
    <xf numFmtId="0" fontId="12" fillId="17" borderId="48" xfId="3" applyFont="1" applyFill="1" applyBorder="1" applyAlignment="1">
      <alignment horizontal="center" vertical="center"/>
    </xf>
    <xf numFmtId="0" fontId="12" fillId="17" borderId="26" xfId="3" applyFont="1" applyFill="1" applyBorder="1" applyAlignment="1">
      <alignment horizontal="center" vertical="center"/>
    </xf>
    <xf numFmtId="0" fontId="12" fillId="17" borderId="27" xfId="3" applyFont="1" applyFill="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0" fontId="12" fillId="17" borderId="16" xfId="3" applyFont="1" applyFill="1" applyBorder="1" applyAlignment="1">
      <alignment horizontal="center" vertical="center"/>
    </xf>
    <xf numFmtId="0" fontId="12" fillId="17" borderId="41" xfId="3" applyFont="1" applyFill="1" applyBorder="1" applyAlignment="1">
      <alignment horizontal="center" vertical="center"/>
    </xf>
    <xf numFmtId="0" fontId="0" fillId="0" borderId="41" xfId="0" applyBorder="1" applyAlignment="1">
      <alignment vertical="center"/>
    </xf>
    <xf numFmtId="0" fontId="0" fillId="0" borderId="17" xfId="0" applyBorder="1" applyAlignment="1">
      <alignment vertical="center"/>
    </xf>
    <xf numFmtId="3" fontId="0" fillId="20" borderId="11" xfId="0" applyNumberFormat="1" applyFill="1" applyBorder="1" applyAlignment="1" applyProtection="1">
      <alignment horizontal="center" vertical="center"/>
      <protection locked="0"/>
    </xf>
    <xf numFmtId="3" fontId="0" fillId="20" borderId="23" xfId="0" applyNumberFormat="1" applyFill="1" applyBorder="1" applyAlignment="1" applyProtection="1">
      <alignment horizontal="center" vertical="center"/>
      <protection locked="0"/>
    </xf>
    <xf numFmtId="3" fontId="0" fillId="20" borderId="12" xfId="0" applyNumberFormat="1" applyFill="1" applyBorder="1" applyAlignment="1" applyProtection="1">
      <alignment horizontal="center" vertical="center"/>
      <protection locked="0"/>
    </xf>
    <xf numFmtId="3" fontId="0" fillId="20" borderId="13" xfId="0" applyNumberFormat="1" applyFill="1" applyBorder="1" applyAlignment="1" applyProtection="1">
      <alignment horizontal="center" vertical="center"/>
      <protection locked="0"/>
    </xf>
    <xf numFmtId="0" fontId="6" fillId="6" borderId="49" xfId="0" applyFont="1" applyFill="1" applyBorder="1" applyAlignment="1">
      <alignment horizontal="left"/>
    </xf>
    <xf numFmtId="0" fontId="36" fillId="6" borderId="49" xfId="0" applyFont="1" applyFill="1" applyBorder="1" applyAlignment="1">
      <alignment horizontal="left"/>
    </xf>
    <xf numFmtId="0" fontId="8" fillId="0" borderId="24"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wrapText="1"/>
    </xf>
    <xf numFmtId="0" fontId="13" fillId="0" borderId="0" xfId="0" applyFont="1" applyAlignment="1">
      <alignment wrapText="1"/>
    </xf>
    <xf numFmtId="0" fontId="0" fillId="0" borderId="0" xfId="0"/>
    <xf numFmtId="0" fontId="0" fillId="0" borderId="0" xfId="0" applyFont="1" applyAlignment="1">
      <alignment horizontal="left" wrapText="1"/>
    </xf>
    <xf numFmtId="0" fontId="0" fillId="0" borderId="0" xfId="0" applyFont="1" applyAlignment="1">
      <alignment horizontal="left"/>
    </xf>
    <xf numFmtId="0" fontId="34" fillId="6" borderId="0" xfId="0" applyFont="1" applyFill="1" applyAlignment="1">
      <alignment horizontal="center" vertical="center" wrapText="1"/>
    </xf>
    <xf numFmtId="0" fontId="0" fillId="8" borderId="0" xfId="0" applyFill="1" applyAlignment="1">
      <alignment horizontal="center"/>
    </xf>
    <xf numFmtId="0" fontId="0" fillId="59" borderId="0" xfId="0" applyFill="1" applyAlignment="1">
      <alignment horizontal="center"/>
    </xf>
    <xf numFmtId="0" fontId="0" fillId="60" borderId="0" xfId="0" applyFill="1" applyAlignment="1">
      <alignment horizontal="center"/>
    </xf>
    <xf numFmtId="0" fontId="36" fillId="6" borderId="49" xfId="0" applyFont="1" applyFill="1" applyBorder="1" applyAlignment="1">
      <alignment horizontal="center"/>
    </xf>
    <xf numFmtId="0" fontId="45" fillId="6" borderId="0" xfId="0" applyFont="1" applyFill="1" applyAlignment="1">
      <alignment horizontal="center" wrapText="1"/>
    </xf>
    <xf numFmtId="0" fontId="45" fillId="6" borderId="0" xfId="0" applyFont="1" applyFill="1" applyAlignment="1">
      <alignment horizontal="center"/>
    </xf>
    <xf numFmtId="0" fontId="11" fillId="6" borderId="0" xfId="0" applyFont="1" applyFill="1" applyAlignment="1">
      <alignment horizontal="center" vertical="center"/>
    </xf>
    <xf numFmtId="0" fontId="15" fillId="16" borderId="41" xfId="0" applyFont="1" applyFill="1" applyBorder="1" applyAlignment="1">
      <alignment horizontal="center" vertical="center" wrapText="1"/>
    </xf>
    <xf numFmtId="0" fontId="15" fillId="16" borderId="39" xfId="0" applyFont="1" applyFill="1" applyBorder="1" applyAlignment="1">
      <alignment horizontal="center" vertical="center" wrapText="1"/>
    </xf>
    <xf numFmtId="0" fontId="15" fillId="16" borderId="42" xfId="0" applyFont="1" applyFill="1" applyBorder="1" applyAlignment="1">
      <alignment horizontal="center" vertical="center" wrapText="1"/>
    </xf>
    <xf numFmtId="0" fontId="0" fillId="0" borderId="23" xfId="0" applyBorder="1" applyAlignment="1">
      <alignment horizontal="center" vertical="center"/>
    </xf>
    <xf numFmtId="0" fontId="11" fillId="0" borderId="40" xfId="0" applyFont="1" applyBorder="1" applyAlignment="1">
      <alignment horizontal="center"/>
    </xf>
    <xf numFmtId="0" fontId="11" fillId="0" borderId="43" xfId="0" applyFont="1" applyBorder="1" applyAlignment="1">
      <alignment horizontal="center"/>
    </xf>
    <xf numFmtId="0" fontId="11" fillId="0" borderId="13" xfId="0" applyFont="1" applyBorder="1" applyAlignment="1">
      <alignment horizontal="center"/>
    </xf>
    <xf numFmtId="0" fontId="33" fillId="6" borderId="0" xfId="0" applyFont="1" applyFill="1" applyAlignment="1">
      <alignment horizontal="center" vertical="top" wrapText="1"/>
    </xf>
    <xf numFmtId="3" fontId="0" fillId="6" borderId="79" xfId="0" applyNumberFormat="1" applyFill="1" applyBorder="1" applyAlignment="1">
      <alignment horizontal="left"/>
    </xf>
    <xf numFmtId="3" fontId="0" fillId="6" borderId="0" xfId="0" applyNumberFormat="1" applyFill="1" applyAlignment="1">
      <alignment horizontal="left"/>
    </xf>
    <xf numFmtId="0" fontId="16" fillId="6" borderId="0" xfId="0" applyFont="1" applyFill="1" applyAlignment="1">
      <alignment horizontal="left" vertical="top" wrapText="1"/>
    </xf>
    <xf numFmtId="0" fontId="0" fillId="0" borderId="0" xfId="0" applyFont="1" applyAlignment="1"/>
  </cellXfs>
  <cellStyles count="71">
    <cellStyle name="20 % - Accent1" xfId="25" builtinId="30" customBuiltin="1"/>
    <cellStyle name="20 % - Accent2" xfId="29" builtinId="34" customBuiltin="1"/>
    <cellStyle name="20 % - Accent3" xfId="33" builtinId="38" customBuiltin="1"/>
    <cellStyle name="20 % - Accent4" xfId="37" builtinId="42" customBuiltin="1"/>
    <cellStyle name="20 % - Accent5" xfId="41" builtinId="46" customBuiltin="1"/>
    <cellStyle name="20 % - Accent6" xfId="45" builtinId="50" customBuiltin="1"/>
    <cellStyle name="40 % - Accent1" xfId="26" builtinId="31" customBuiltin="1"/>
    <cellStyle name="40 % - Accent2" xfId="30" builtinId="35" customBuiltin="1"/>
    <cellStyle name="40 % - Accent3" xfId="34" builtinId="39" customBuiltin="1"/>
    <cellStyle name="40 % - Accent4" xfId="38" builtinId="43" customBuiltin="1"/>
    <cellStyle name="40 % - Accent5" xfId="42" builtinId="47" customBuiltin="1"/>
    <cellStyle name="40 % - Accent6" xfId="46" builtinId="51" customBuiltin="1"/>
    <cellStyle name="60 % - Accent1" xfId="27" builtinId="32" customBuiltin="1"/>
    <cellStyle name="60 % - Accent2" xfId="31" builtinId="36" customBuiltin="1"/>
    <cellStyle name="60 % - Accent3" xfId="35" builtinId="40" customBuiltin="1"/>
    <cellStyle name="60 % - Accent4" xfId="39" builtinId="44" customBuiltin="1"/>
    <cellStyle name="60 % - Accent5" xfId="43" builtinId="48" customBuiltin="1"/>
    <cellStyle name="60 %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Avertissement" xfId="20" builtinId="11" customBuiltin="1"/>
    <cellStyle name="Calcul" xfId="17" builtinId="22" customBuiltin="1"/>
    <cellStyle name="Cellule liée" xfId="18" builtinId="24" customBuiltin="1"/>
    <cellStyle name="Entrée" xfId="15" builtinId="20" customBuiltin="1"/>
    <cellStyle name="Insatisfaisant" xfId="13" builtinId="27" customBuiltin="1"/>
    <cellStyle name="Lien hypertexte" xfId="57" builtinId="8"/>
    <cellStyle name="Milliers" xfId="1" builtinId="3"/>
    <cellStyle name="Milliers 2" xfId="6" xr:uid="{00000000-0005-0000-0000-00001F000000}"/>
    <cellStyle name="Milliers 3" xfId="48" xr:uid="{00000000-0005-0000-0000-000020000000}"/>
    <cellStyle name="Milliers 3 2" xfId="54" xr:uid="{00000000-0005-0000-0000-000021000000}"/>
    <cellStyle name="Milliers 3 2 2" xfId="67" xr:uid="{00000000-0005-0000-0000-000022000000}"/>
    <cellStyle name="Milliers 3 3" xfId="61" xr:uid="{00000000-0005-0000-0000-000023000000}"/>
    <cellStyle name="Milliers 4" xfId="51" xr:uid="{00000000-0005-0000-0000-000024000000}"/>
    <cellStyle name="Milliers 4 2" xfId="64" xr:uid="{00000000-0005-0000-0000-000025000000}"/>
    <cellStyle name="Milliers 5" xfId="58" xr:uid="{00000000-0005-0000-0000-000026000000}"/>
    <cellStyle name="Monétaire" xfId="4" builtinId="4"/>
    <cellStyle name="Monétaire 2" xfId="5" xr:uid="{00000000-0005-0000-0000-000028000000}"/>
    <cellStyle name="Monétaire 2 2" xfId="50" xr:uid="{00000000-0005-0000-0000-000029000000}"/>
    <cellStyle name="Monétaire 2 2 2" xfId="56" xr:uid="{00000000-0005-0000-0000-00002A000000}"/>
    <cellStyle name="Monétaire 2 2 2 2" xfId="69" xr:uid="{00000000-0005-0000-0000-00002B000000}"/>
    <cellStyle name="Monétaire 2 2 3" xfId="63" xr:uid="{00000000-0005-0000-0000-00002C000000}"/>
    <cellStyle name="Monétaire 2 3" xfId="53" xr:uid="{00000000-0005-0000-0000-00002D000000}"/>
    <cellStyle name="Monétaire 2 3 2" xfId="66" xr:uid="{00000000-0005-0000-0000-00002E000000}"/>
    <cellStyle name="Monétaire 2 4" xfId="60" xr:uid="{00000000-0005-0000-0000-00002F000000}"/>
    <cellStyle name="Monétaire 3" xfId="49" xr:uid="{00000000-0005-0000-0000-000030000000}"/>
    <cellStyle name="Monétaire 3 2" xfId="55" xr:uid="{00000000-0005-0000-0000-000031000000}"/>
    <cellStyle name="Monétaire 3 2 2" xfId="68" xr:uid="{00000000-0005-0000-0000-000032000000}"/>
    <cellStyle name="Monétaire 3 3" xfId="62" xr:uid="{00000000-0005-0000-0000-000033000000}"/>
    <cellStyle name="Monétaire 4" xfId="52" xr:uid="{00000000-0005-0000-0000-000034000000}"/>
    <cellStyle name="Monétaire 4 2" xfId="65" xr:uid="{00000000-0005-0000-0000-000035000000}"/>
    <cellStyle name="Monétaire 5" xfId="59" xr:uid="{00000000-0005-0000-0000-000036000000}"/>
    <cellStyle name="Neutre" xfId="14" builtinId="28" customBuiltin="1"/>
    <cellStyle name="Normal" xfId="0" builtinId="0"/>
    <cellStyle name="Normal 2" xfId="3" xr:uid="{00000000-0005-0000-0000-000039000000}"/>
    <cellStyle name="Normal 3" xfId="70" xr:uid="{00000000-0005-0000-0000-00003A000000}"/>
    <cellStyle name="Note" xfId="21" builtinId="10" customBuiltin="1"/>
    <cellStyle name="Pourcentage" xfId="2" builtinId="5"/>
    <cellStyle name="Satisfaisant" xfId="12" builtinId="26" customBuiltin="1"/>
    <cellStyle name="Sortie" xfId="16" builtinId="21" customBuiltin="1"/>
    <cellStyle name="Texte explicatif" xfId="22" builtinId="53" customBuiltin="1"/>
    <cellStyle name="Titre" xfId="7" builtinId="15" customBuiltin="1"/>
    <cellStyle name="Titre 1" xfId="8" builtinId="16" customBuiltin="1"/>
    <cellStyle name="Titre 2" xfId="9" builtinId="17" customBuiltin="1"/>
    <cellStyle name="Titre 3" xfId="10" builtinId="18" customBuiltin="1"/>
    <cellStyle name="Titre 4" xfId="11" builtinId="19" customBuiltin="1"/>
    <cellStyle name="Total" xfId="23" builtinId="25" customBuiltin="1"/>
    <cellStyle name="Vérification" xfId="19" builtinId="23" customBuiltin="1"/>
  </cellStyles>
  <dxfs count="215">
    <dxf>
      <fill>
        <patternFill>
          <bgColor rgb="FFFF9999"/>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u/>
        <color rgb="FFFF0000"/>
      </font>
      <fill>
        <patternFill>
          <bgColor rgb="FFFFFF00"/>
        </patternFill>
      </fill>
    </dxf>
    <dxf>
      <font>
        <color theme="0"/>
      </font>
      <fill>
        <patternFill>
          <fgColor theme="0"/>
          <bgColor theme="0"/>
        </patternFill>
      </fill>
    </dxf>
    <dxf>
      <font>
        <u/>
        <color rgb="FFFF0000"/>
      </font>
      <fill>
        <patternFill>
          <bgColor rgb="FFFFFF00"/>
        </patternFill>
      </fill>
    </dxf>
    <dxf>
      <font>
        <color theme="0"/>
      </font>
      <fill>
        <patternFill>
          <fgColor theme="0"/>
          <bgColor theme="0"/>
        </patternFill>
      </fill>
    </dxf>
    <dxf>
      <font>
        <u/>
        <color rgb="FFFF0000"/>
      </font>
      <fill>
        <patternFill>
          <bgColor rgb="FFFFFF00"/>
        </patternFill>
      </fill>
    </dxf>
    <dxf>
      <font>
        <color theme="0"/>
      </font>
      <fill>
        <patternFill>
          <fgColor theme="0"/>
          <bgColor theme="0"/>
        </patternFill>
      </fill>
    </dxf>
    <dxf>
      <font>
        <u/>
        <color rgb="FFFF0000"/>
      </font>
      <fill>
        <patternFill>
          <bgColor rgb="FFFFFF00"/>
        </patternFill>
      </fill>
    </dxf>
    <dxf>
      <font>
        <color theme="0"/>
      </font>
      <fill>
        <patternFill>
          <fgColor theme="0"/>
          <bgColor theme="0"/>
        </patternFill>
      </fill>
    </dxf>
    <dxf>
      <fill>
        <patternFill>
          <bgColor theme="0"/>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numFmt numFmtId="19" formatCode="dd/mm/yyyy"/>
      <fill>
        <patternFill patternType="solid">
          <fgColor indexed="64"/>
          <bgColor theme="0"/>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3" formatCode="#,##0"/>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top/>
        <bottom style="thin">
          <color indexed="64"/>
        </bottom>
        <vertical/>
        <horizontal/>
      </border>
      <protection locked="0" hidden="0"/>
    </dxf>
    <dxf>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dd/mm/yyyy"/>
      <fill>
        <patternFill patternType="solid">
          <fgColor indexed="64"/>
          <bgColor theme="0" tint="-4.9989318521683403E-2"/>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border outline="0">
        <left style="thin">
          <color indexed="64"/>
        </left>
        <right style="thin">
          <color indexed="64"/>
        </right>
        <bottom style="thin">
          <color auto="1"/>
        </bottom>
      </border>
    </dxf>
    <dxf>
      <numFmt numFmtId="0" formatCode="General"/>
      <protection locked="0" hidden="0"/>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protection locked="0" hidden="0"/>
    </dxf>
    <dxf>
      <numFmt numFmtId="0" formatCode="General"/>
    </dxf>
    <dxf>
      <numFmt numFmtId="171" formatCode="_-* #,##0_-;\-* #,##0_-;_-* &quot;-&quot;??_-;_-@_-"/>
    </dxf>
    <dxf>
      <protection locked="0" hidden="0"/>
    </dxf>
    <dxf>
      <numFmt numFmtId="19" formatCode="dd/mm/yyyy"/>
      <protection locked="1" hidden="0"/>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79" formatCode="_-* #,##0.0_-;\-* #,##0.0_-;_-* &quot;-&quot;??_-;_-@_-"/>
      <fill>
        <patternFill patternType="none">
          <fgColor indexed="64"/>
          <bgColor indexed="65"/>
        </patternFill>
      </fil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0" hidden="0"/>
    </dxf>
    <dxf>
      <numFmt numFmtId="0" formatCode="General"/>
      <protection locked="1" hidden="0"/>
    </dxf>
    <dxf>
      <protection locked="1" hidden="0"/>
    </dxf>
    <dxf>
      <protection locked="0" hidden="0"/>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79" formatCode="_-* #,##0.0_-;\-* #,##0.0_-;_-* &quot;-&quot;??_-;_-@_-"/>
      <protection locked="1" hidden="0"/>
    </dxf>
    <dxf>
      <numFmt numFmtId="0" formatCode="General"/>
    </dxf>
    <dxf>
      <numFmt numFmtId="0" formatCode="General"/>
    </dxf>
    <dxf>
      <numFmt numFmtId="0" formatCode="General"/>
    </dxf>
    <dxf>
      <numFmt numFmtId="0" formatCode="General"/>
      <protection locked="0" hidden="0"/>
    </dxf>
    <dxf>
      <numFmt numFmtId="0" formatCode="General"/>
    </dxf>
    <dxf>
      <numFmt numFmtId="19" formatCode="dd/mm/yyyy"/>
      <protection locked="0" hidden="0"/>
    </dxf>
    <dxf>
      <numFmt numFmtId="19" formatCode="dd/mm/yyyy"/>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protection locked="0" hidden="0"/>
    </dxf>
    <dxf>
      <numFmt numFmtId="35" formatCode="_-* #,##0.00_-;\-* #,##0.00_-;_-* &quot;-&quot;??_-;_-@_-"/>
    </dxf>
    <dxf>
      <numFmt numFmtId="35" formatCode="_-* #,##0.00_-;\-* #,##0.00_-;_-* &quot;-&quot;??_-;_-@_-"/>
    </dxf>
    <dxf>
      <numFmt numFmtId="19" formatCode="dd/mm/yyyy"/>
      <protection locked="0" hidden="0"/>
    </dxf>
    <dxf>
      <numFmt numFmtId="19" formatCode="dd/mm/yyyy"/>
    </dxf>
    <dxf>
      <numFmt numFmtId="0" formatCode="General"/>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protection locked="0" hidden="0"/>
    </dxf>
    <dxf>
      <numFmt numFmtId="35" formatCode="_-* #,##0.00_-;\-* #,##0.00_-;_-* &quot;-&quot;??_-;_-@_-"/>
    </dxf>
    <dxf>
      <numFmt numFmtId="19" formatCode="dd/mm/yyyy"/>
      <protection locked="0" hidden="0"/>
    </dxf>
    <dxf>
      <numFmt numFmtId="19" formatCode="dd/mm/yyyy"/>
    </dxf>
    <dxf>
      <numFmt numFmtId="0" formatCode="General"/>
    </dxf>
    <dxf>
      <numFmt numFmtId="0" formatCode="General"/>
      <fill>
        <patternFill patternType="none">
          <fgColor indexed="64"/>
          <bgColor indexed="65"/>
        </patternFill>
      </fill>
      <protection locked="1" hidden="0"/>
    </dxf>
    <dxf>
      <numFmt numFmtId="0" formatCode="General"/>
    </dxf>
    <dxf>
      <numFmt numFmtId="0" formatCode="General"/>
    </dxf>
    <dxf>
      <numFmt numFmtId="0" formatCode="General"/>
    </dxf>
    <dxf>
      <font>
        <sz val="10"/>
        <color rgb="FF000000"/>
        <charset val="1"/>
      </font>
      <numFmt numFmtId="169" formatCode="_-* #,##0\ &quot;€&quot;_-;\-* #,##0\ &quot;€&quot;_-;_-* &quot;-&quot;??\ &quot;€&quot;_-;_-@_-"/>
      <fill>
        <patternFill patternType="none">
          <fgColor indexed="64"/>
          <bgColor auto="1"/>
        </patternFill>
      </fill>
      <protection locked="0" hidden="0"/>
    </dxf>
    <dxf>
      <numFmt numFmtId="169" formatCode="_-* #,##0\ &quot;€&quot;_-;\-* #,##0\ &quot;€&quot;_-;_-* &quot;-&quot;??\ &quot;€&quot;_-;_-@_-"/>
    </dxf>
    <dxf>
      <numFmt numFmtId="171" formatCode="_-* #,##0_-;\-* #,##0_-;_-* &quot;-&quot;??_-;_-@_-"/>
    </dxf>
    <dxf>
      <numFmt numFmtId="19" formatCode="dd/mm/yyyy"/>
      <protection locked="0" hidden="0"/>
    </dxf>
    <dxf>
      <numFmt numFmtId="19" formatCode="dd/mm/yyyy"/>
    </dxf>
    <dxf>
      <numFmt numFmtId="0" formatCode="General"/>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font>
        <color auto="1"/>
      </font>
      <numFmt numFmtId="12" formatCode="#,##0.00\ &quot;€&quot;;[Red]\-#,##0.00\ &quot;€&quot;"/>
      <alignment horizontal="center" vertical="bottom" textRotation="0" wrapText="0" indent="0" justifyLastLine="0" shrinkToFit="0" readingOrder="0"/>
      <protection locked="0" hidden="0"/>
    </dxf>
    <dxf>
      <protection locked="0" hidden="0"/>
    </dxf>
    <dxf>
      <numFmt numFmtId="171" formatCode="_-* #,##0_-;\-* #,##0_-;_-* &quot;-&quot;??_-;_-@_-"/>
      <protection locked="0" hidden="0"/>
    </dxf>
    <dxf>
      <numFmt numFmtId="19" formatCode="dd/mm/yyyy"/>
      <protection locked="0" hidden="0"/>
    </dxf>
    <dxf>
      <numFmt numFmtId="19" formatCode="dd/mm/yyyy"/>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9" formatCode="dd/mm/yyyy"/>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protection locked="1" hidden="0"/>
    </dxf>
    <dxf>
      <font>
        <strike val="0"/>
        <outline val="0"/>
        <shadow val="0"/>
        <u val="none"/>
        <vertAlign val="baseline"/>
        <sz val="11"/>
        <color theme="1"/>
        <name val="Calibri"/>
        <scheme val="minor"/>
      </font>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fill>
        <patternFill patternType="solid">
          <fgColor indexed="64"/>
          <bgColor theme="0"/>
        </patternFill>
      </fill>
    </dxf>
    <dxf>
      <fill>
        <patternFill patternType="solid">
          <fgColor indexed="64"/>
          <bgColor theme="0"/>
        </patternFill>
      </fill>
      <protection locked="0" hidden="0"/>
    </dxf>
    <dxf>
      <numFmt numFmtId="0" formatCode="General"/>
    </dxf>
    <dxf>
      <numFmt numFmtId="0" formatCode="General"/>
      <alignment horizontal="right" vertical="bottom" textRotation="0" wrapText="0" indent="0" justifyLastLine="0" shrinkToFit="0" readingOrder="0"/>
    </dxf>
    <dxf>
      <numFmt numFmtId="171" formatCode="_-* #,##0_-;\-* #,##0_-;_-* &quot;-&quot;??_-;_-@_-"/>
      <alignment horizontal="right" textRotation="0" wrapText="0" indent="0" justifyLastLine="0" shrinkToFit="0" readingOrder="0"/>
    </dxf>
    <dxf>
      <alignment horizontal="right" vertical="bottom" textRotation="0" wrapText="0" indent="0" justifyLastLine="0" shrinkToFit="0" readingOrder="0"/>
    </dxf>
    <dxf>
      <numFmt numFmtId="19" formatCode="dd/mm/yyyy"/>
      <alignment horizontal="right" vertical="bottom" textRotation="0" wrapText="0" indent="0" justifyLastLine="0" shrinkToFit="0" readingOrder="0"/>
      <protection locked="0" hidden="0"/>
    </dxf>
    <dxf>
      <numFmt numFmtId="19" formatCode="dd/mm/yyyy"/>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4" tint="0.39997558519241921"/>
        </left>
        <right style="thin">
          <color theme="4" tint="0.39997558519241921"/>
        </right>
        <top/>
        <bottom/>
      </border>
    </dxf>
    <dxf>
      <numFmt numFmtId="0" formatCode="General"/>
    </dxf>
    <dxf>
      <numFmt numFmtId="3" formatCode="#,##0"/>
    </dxf>
    <dxf>
      <numFmt numFmtId="3" formatCode="#,##0"/>
    </dxf>
    <dxf>
      <font>
        <b/>
        <i val="0"/>
        <strike val="0"/>
        <condense val="0"/>
        <extend val="0"/>
        <outline val="0"/>
        <shadow val="0"/>
        <u val="none"/>
        <vertAlign val="baseline"/>
        <sz val="10"/>
        <color theme="1"/>
        <name val="Calibri"/>
        <family val="2"/>
        <scheme val="minor"/>
      </font>
      <fill>
        <patternFill patternType="solid">
          <fgColor indexed="64"/>
          <bgColor theme="8" tint="0.39997558519241921"/>
        </patternFill>
      </fill>
      <alignment horizontal="center" vertical="center" textRotation="0" wrapText="0" indent="0" justifyLastLine="0" shrinkToFit="0" readingOrder="0"/>
    </dxf>
    <dxf>
      <protection locked="0"/>
    </dxf>
    <dxf>
      <protection locked="0"/>
    </dxf>
    <dxf>
      <protection locked="0"/>
    </dxf>
    <dxf>
      <protection locked="0"/>
    </dxf>
    <dxf>
      <protection locked="0"/>
    </dxf>
    <dxf>
      <protection locked="0"/>
    </dxf>
    <dxf>
      <numFmt numFmtId="3" formatCode="#,##0"/>
    </dxf>
    <dxf>
      <numFmt numFmtId="3" formatCode="#,##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border outline="0">
        <left style="thin">
          <color theme="4"/>
        </left>
        <right style="thin">
          <color theme="4"/>
        </right>
        <top style="thin">
          <color theme="4"/>
        </top>
      </border>
    </dxf>
    <dxf>
      <font>
        <b val="0"/>
        <i val="0"/>
        <strike val="0"/>
        <condense val="0"/>
        <extend val="0"/>
        <outline val="0"/>
        <shadow val="0"/>
        <u val="none"/>
        <vertAlign val="baseline"/>
        <sz val="11"/>
        <color theme="1"/>
        <name val="Calibri"/>
        <scheme val="minor"/>
      </font>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s>
  <tableStyles count="1" defaultTableStyle="TableStyleMedium2" defaultPivotStyle="PivotStyleLight16">
    <tableStyle name="Invisible" pivot="0" table="0" count="0" xr9:uid="{00000000-0011-0000-FFFF-FFFF00000000}"/>
  </tableStyles>
  <colors>
    <mruColors>
      <color rgb="FFED7D31"/>
      <color rgb="FFFF9933"/>
      <color rgb="FFFFFFFF"/>
      <color rgb="FFFFDE75"/>
      <color rgb="FFFF9999"/>
      <color rgb="FFFF7C80"/>
      <color rgb="FFEB701D"/>
      <color rgb="FFFFC7CE"/>
      <color rgb="FFD60093"/>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J23" s="39"/>
        <tr r="J23" s="39"/>
      </tp>
    </main>
  </volType>
</volTypes>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pivotCacheDefinition" Target="pivotCache/pivotCacheDefinition7.xml"/><Relationship Id="rId47" Type="http://schemas.openxmlformats.org/officeDocument/2006/relationships/pivotCacheDefinition" Target="pivotCache/pivotCacheDefinition12.xml"/><Relationship Id="rId63" Type="http://schemas.microsoft.com/office/2007/relationships/slicerCache" Target="slicerCaches/slicerCache7.xml"/><Relationship Id="rId68" Type="http://schemas.openxmlformats.org/officeDocument/2006/relationships/pivotCacheDefinition" Target="pivotCache/pivotCacheDefinition24.xml"/><Relationship Id="rId84" Type="http://schemas.openxmlformats.org/officeDocument/2006/relationships/customXml" Target="../customXml/item2.xml"/><Relationship Id="rId89" Type="http://schemas.openxmlformats.org/officeDocument/2006/relationships/customXml" Target="../customXml/item7.xml"/><Relationship Id="rId112" Type="http://schemas.openxmlformats.org/officeDocument/2006/relationships/customXml" Target="../customXml/item30.xml"/><Relationship Id="rId16" Type="http://schemas.openxmlformats.org/officeDocument/2006/relationships/worksheet" Target="worksheets/sheet16.xml"/><Relationship Id="rId107" Type="http://schemas.openxmlformats.org/officeDocument/2006/relationships/customXml" Target="../customXml/item2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53" Type="http://schemas.openxmlformats.org/officeDocument/2006/relationships/pivotCacheDefinition" Target="pivotCache/pivotCacheDefinition18.xml"/><Relationship Id="rId58" Type="http://schemas.microsoft.com/office/2007/relationships/slicerCache" Target="slicerCaches/slicerCache2.xml"/><Relationship Id="rId74" Type="http://schemas.microsoft.com/office/2011/relationships/timelineCache" Target="timelineCaches/timelineCache1.xml"/><Relationship Id="rId79" Type="http://schemas.openxmlformats.org/officeDocument/2006/relationships/sharedStrings" Target="sharedStrings.xml"/><Relationship Id="rId102" Type="http://schemas.openxmlformats.org/officeDocument/2006/relationships/customXml" Target="../customXml/item20.xml"/><Relationship Id="rId5" Type="http://schemas.openxmlformats.org/officeDocument/2006/relationships/worksheet" Target="worksheets/sheet5.xml"/><Relationship Id="rId90" Type="http://schemas.openxmlformats.org/officeDocument/2006/relationships/customXml" Target="../customXml/item8.xml"/><Relationship Id="rId95" Type="http://schemas.openxmlformats.org/officeDocument/2006/relationships/customXml" Target="../customXml/item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pivotCacheDefinition" Target="pivotCache/pivotCacheDefinition8.xml"/><Relationship Id="rId48" Type="http://schemas.openxmlformats.org/officeDocument/2006/relationships/pivotCacheDefinition" Target="pivotCache/pivotCacheDefinition13.xml"/><Relationship Id="rId64" Type="http://schemas.microsoft.com/office/2007/relationships/slicerCache" Target="slicerCaches/slicerCache8.xml"/><Relationship Id="rId69" Type="http://schemas.openxmlformats.org/officeDocument/2006/relationships/pivotTable" Target="pivotTables/pivotTable1.xml"/><Relationship Id="rId113" Type="http://schemas.openxmlformats.org/officeDocument/2006/relationships/customXml" Target="../customXml/item31.xml"/><Relationship Id="rId80" Type="http://schemas.openxmlformats.org/officeDocument/2006/relationships/sheetMetadata" Target="metadata.xml"/><Relationship Id="rId85"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 Id="rId59" Type="http://schemas.microsoft.com/office/2007/relationships/slicerCache" Target="slicerCaches/slicerCache3.xml"/><Relationship Id="rId103" Type="http://schemas.openxmlformats.org/officeDocument/2006/relationships/customXml" Target="../customXml/item21.xml"/><Relationship Id="rId108" Type="http://schemas.openxmlformats.org/officeDocument/2006/relationships/customXml" Target="../customXml/item26.xml"/><Relationship Id="rId54" Type="http://schemas.openxmlformats.org/officeDocument/2006/relationships/pivotCacheDefinition" Target="pivotCache/pivotCacheDefinition19.xml"/><Relationship Id="rId70" Type="http://schemas.openxmlformats.org/officeDocument/2006/relationships/pivotTable" Target="pivotTables/pivotTable2.xml"/><Relationship Id="rId75" Type="http://schemas.microsoft.com/office/2011/relationships/timelineCache" Target="timelineCaches/timelineCache2.xml"/><Relationship Id="rId91" Type="http://schemas.openxmlformats.org/officeDocument/2006/relationships/customXml" Target="../customXml/item9.xml"/><Relationship Id="rId96"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49" Type="http://schemas.openxmlformats.org/officeDocument/2006/relationships/pivotCacheDefinition" Target="pivotCache/pivotCacheDefinition14.xml"/><Relationship Id="rId57" Type="http://schemas.microsoft.com/office/2007/relationships/slicerCache" Target="slicerCaches/slicerCache1.xml"/><Relationship Id="rId106" Type="http://schemas.openxmlformats.org/officeDocument/2006/relationships/customXml" Target="../customXml/item24.xml"/><Relationship Id="rId114" Type="http://schemas.openxmlformats.org/officeDocument/2006/relationships/customXml" Target="../customXml/item3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9.xml"/><Relationship Id="rId52" Type="http://schemas.openxmlformats.org/officeDocument/2006/relationships/pivotCacheDefinition" Target="pivotCache/pivotCacheDefinition17.xml"/><Relationship Id="rId60" Type="http://schemas.microsoft.com/office/2007/relationships/slicerCache" Target="slicerCaches/slicerCache4.xml"/><Relationship Id="rId65" Type="http://schemas.microsoft.com/office/2007/relationships/slicerCache" Target="slicerCaches/slicerCache9.xml"/><Relationship Id="rId73" Type="http://schemas.openxmlformats.org/officeDocument/2006/relationships/pivotCacheDefinition" Target="pivotCache/pivotCacheDefinition26.xml"/><Relationship Id="rId78" Type="http://schemas.openxmlformats.org/officeDocument/2006/relationships/styles" Target="styles.xml"/><Relationship Id="rId81" Type="http://schemas.openxmlformats.org/officeDocument/2006/relationships/powerPivotData" Target="model/item.data"/><Relationship Id="rId86" Type="http://schemas.openxmlformats.org/officeDocument/2006/relationships/customXml" Target="../customXml/item4.xml"/><Relationship Id="rId94" Type="http://schemas.openxmlformats.org/officeDocument/2006/relationships/customXml" Target="../customXml/item12.xml"/><Relationship Id="rId99" Type="http://schemas.openxmlformats.org/officeDocument/2006/relationships/customXml" Target="../customXml/item17.xml"/><Relationship Id="rId101"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4.xml"/><Relationship Id="rId109" Type="http://schemas.openxmlformats.org/officeDocument/2006/relationships/customXml" Target="../customXml/item27.xml"/><Relationship Id="rId34" Type="http://schemas.openxmlformats.org/officeDocument/2006/relationships/worksheet" Target="worksheets/sheet34.xml"/><Relationship Id="rId50" Type="http://schemas.openxmlformats.org/officeDocument/2006/relationships/pivotCacheDefinition" Target="pivotCache/pivotCacheDefinition15.xml"/><Relationship Id="rId55" Type="http://schemas.openxmlformats.org/officeDocument/2006/relationships/pivotCacheDefinition" Target="pivotCache/pivotCacheDefinition20.xml"/><Relationship Id="rId76" Type="http://schemas.openxmlformats.org/officeDocument/2006/relationships/theme" Target="theme/theme1.xml"/><Relationship Id="rId97" Type="http://schemas.openxmlformats.org/officeDocument/2006/relationships/customXml" Target="../customXml/item15.xml"/><Relationship Id="rId104" Type="http://schemas.openxmlformats.org/officeDocument/2006/relationships/customXml" Target="../customXml/item22.xml"/><Relationship Id="rId7" Type="http://schemas.openxmlformats.org/officeDocument/2006/relationships/worksheet" Target="worksheets/sheet7.xml"/><Relationship Id="rId71" Type="http://schemas.openxmlformats.org/officeDocument/2006/relationships/pivotTable" Target="pivotTables/pivotTable3.xml"/><Relationship Id="rId92" Type="http://schemas.openxmlformats.org/officeDocument/2006/relationships/customXml" Target="../customXml/item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pivotCacheDefinition" Target="pivotCache/pivotCacheDefinition5.xml"/><Relationship Id="rId45" Type="http://schemas.openxmlformats.org/officeDocument/2006/relationships/pivotCacheDefinition" Target="pivotCache/pivotCacheDefinition10.xml"/><Relationship Id="rId66" Type="http://schemas.openxmlformats.org/officeDocument/2006/relationships/pivotCacheDefinition" Target="pivotCache/pivotCacheDefinition22.xml"/><Relationship Id="rId87" Type="http://schemas.openxmlformats.org/officeDocument/2006/relationships/customXml" Target="../customXml/item5.xml"/><Relationship Id="rId110" Type="http://schemas.openxmlformats.org/officeDocument/2006/relationships/customXml" Target="../customXml/item28.xml"/><Relationship Id="rId115" Type="http://schemas.openxmlformats.org/officeDocument/2006/relationships/volatileDependencies" Target="volatileDependencies.xml"/><Relationship Id="rId61" Type="http://schemas.microsoft.com/office/2007/relationships/slicerCache" Target="slicerCaches/slicerCache5.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pivotCacheDefinition" Target="pivotCache/pivotCacheDefinition21.xml"/><Relationship Id="rId77" Type="http://schemas.openxmlformats.org/officeDocument/2006/relationships/connections" Target="connections.xml"/><Relationship Id="rId100" Type="http://schemas.openxmlformats.org/officeDocument/2006/relationships/customXml" Target="../customXml/item18.xml"/><Relationship Id="rId105" Type="http://schemas.openxmlformats.org/officeDocument/2006/relationships/customXml" Target="../customXml/item23.xml"/><Relationship Id="rId8" Type="http://schemas.openxmlformats.org/officeDocument/2006/relationships/worksheet" Target="worksheets/sheet8.xml"/><Relationship Id="rId51" Type="http://schemas.openxmlformats.org/officeDocument/2006/relationships/pivotCacheDefinition" Target="pivotCache/pivotCacheDefinition16.xml"/><Relationship Id="rId72" Type="http://schemas.openxmlformats.org/officeDocument/2006/relationships/pivotCacheDefinition" Target="pivotCache/pivotCacheDefinition25.xml"/><Relationship Id="rId93" Type="http://schemas.openxmlformats.org/officeDocument/2006/relationships/customXml" Target="../customXml/item11.xml"/><Relationship Id="rId98"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11.xml"/><Relationship Id="rId67" Type="http://schemas.openxmlformats.org/officeDocument/2006/relationships/pivotCacheDefinition" Target="pivotCache/pivotCacheDefinition23.xml"/><Relationship Id="rId11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pivotCacheDefinition" Target="pivotCache/pivotCacheDefinition6.xml"/><Relationship Id="rId62" Type="http://schemas.microsoft.com/office/2007/relationships/slicerCache" Target="slicerCaches/slicerCache6.xml"/><Relationship Id="rId83" Type="http://schemas.openxmlformats.org/officeDocument/2006/relationships/customXml" Target="../customXml/item1.xml"/><Relationship Id="rId88" Type="http://schemas.openxmlformats.org/officeDocument/2006/relationships/customXml" Target="../customXml/item6.xml"/><Relationship Id="rId111" Type="http://schemas.openxmlformats.org/officeDocument/2006/relationships/customXml" Target="../customXml/item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380169171393"/>
          <c:y val="6.033172936716244E-2"/>
          <c:w val="0.79016883415058137"/>
          <c:h val="1"/>
        </c:manualLayout>
      </c:layout>
      <c:doughnutChart>
        <c:varyColors val="1"/>
        <c:ser>
          <c:idx val="0"/>
          <c:order val="0"/>
          <c:tx>
            <c:v>Etiquettes</c:v>
          </c:tx>
          <c:spPr>
            <a:ln>
              <a:noFill/>
            </a:ln>
          </c:spPr>
          <c:dPt>
            <c:idx val="0"/>
            <c:bubble3D val="0"/>
            <c:spPr>
              <a:solidFill>
                <a:srgbClr val="009900"/>
              </a:solidFill>
              <a:ln w="19050">
                <a:noFill/>
              </a:ln>
              <a:effectLst/>
            </c:spPr>
            <c:extLst>
              <c:ext xmlns:c16="http://schemas.microsoft.com/office/drawing/2014/chart" uri="{C3380CC4-5D6E-409C-BE32-E72D297353CC}">
                <c16:uniqueId val="{00000001-7832-4EB5-A2AF-747EB7071E7F}"/>
              </c:ext>
            </c:extLst>
          </c:dPt>
          <c:dPt>
            <c:idx val="1"/>
            <c:bubble3D val="0"/>
            <c:spPr>
              <a:solidFill>
                <a:srgbClr val="33CC33"/>
              </a:solidFill>
              <a:ln w="19050">
                <a:noFill/>
              </a:ln>
              <a:effectLst/>
            </c:spPr>
            <c:extLst>
              <c:ext xmlns:c16="http://schemas.microsoft.com/office/drawing/2014/chart" uri="{C3380CC4-5D6E-409C-BE32-E72D297353CC}">
                <c16:uniqueId val="{00000003-7832-4EB5-A2AF-747EB7071E7F}"/>
              </c:ext>
            </c:extLst>
          </c:dPt>
          <c:dPt>
            <c:idx val="2"/>
            <c:bubble3D val="0"/>
            <c:spPr>
              <a:solidFill>
                <a:srgbClr val="92D050"/>
              </a:solidFill>
              <a:ln w="19050">
                <a:noFill/>
              </a:ln>
              <a:effectLst/>
            </c:spPr>
            <c:extLst>
              <c:ext xmlns:c16="http://schemas.microsoft.com/office/drawing/2014/chart" uri="{C3380CC4-5D6E-409C-BE32-E72D297353CC}">
                <c16:uniqueId val="{00000005-7832-4EB5-A2AF-747EB7071E7F}"/>
              </c:ext>
            </c:extLst>
          </c:dPt>
          <c:dPt>
            <c:idx val="3"/>
            <c:bubble3D val="0"/>
            <c:spPr>
              <a:solidFill>
                <a:schemeClr val="accent4"/>
              </a:solidFill>
              <a:ln w="19050">
                <a:noFill/>
              </a:ln>
              <a:effectLst/>
            </c:spPr>
            <c:extLst>
              <c:ext xmlns:c16="http://schemas.microsoft.com/office/drawing/2014/chart" uri="{C3380CC4-5D6E-409C-BE32-E72D297353CC}">
                <c16:uniqueId val="{00000007-7832-4EB5-A2AF-747EB7071E7F}"/>
              </c:ext>
            </c:extLst>
          </c:dPt>
          <c:dPt>
            <c:idx val="4"/>
            <c:bubble3D val="0"/>
            <c:spPr>
              <a:solidFill>
                <a:srgbClr val="FF9933"/>
              </a:solidFill>
              <a:ln w="19050">
                <a:noFill/>
              </a:ln>
              <a:effectLst/>
            </c:spPr>
            <c:extLst>
              <c:ext xmlns:c16="http://schemas.microsoft.com/office/drawing/2014/chart" uri="{C3380CC4-5D6E-409C-BE32-E72D297353CC}">
                <c16:uniqueId val="{00000009-7832-4EB5-A2AF-747EB7071E7F}"/>
              </c:ext>
            </c:extLst>
          </c:dPt>
          <c:dPt>
            <c:idx val="5"/>
            <c:bubble3D val="0"/>
            <c:spPr>
              <a:noFill/>
              <a:ln w="19050">
                <a:noFill/>
              </a:ln>
              <a:effectLst/>
            </c:spPr>
            <c:extLst>
              <c:ext xmlns:c16="http://schemas.microsoft.com/office/drawing/2014/chart" uri="{C3380CC4-5D6E-409C-BE32-E72D297353CC}">
                <c16:uniqueId val="{0000000B-7832-4EB5-A2AF-747EB7071E7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Calcul_Bilan_Energie!$R$17:$R$21</c:f>
              <c:strCache>
                <c:ptCount val="5"/>
                <c:pt idx="0">
                  <c:v>A</c:v>
                </c:pt>
                <c:pt idx="1">
                  <c:v>B</c:v>
                </c:pt>
                <c:pt idx="2">
                  <c:v>C</c:v>
                </c:pt>
                <c:pt idx="3">
                  <c:v>D</c:v>
                </c:pt>
                <c:pt idx="4">
                  <c:v>E</c:v>
                </c:pt>
              </c:strCache>
            </c:strRef>
          </c:cat>
          <c:val>
            <c:numRef>
              <c:f>Calcul_Bilan_Energie!$T$17:$T$22</c:f>
              <c:numCache>
                <c:formatCode>General</c:formatCode>
                <c:ptCount val="6"/>
                <c:pt idx="0">
                  <c:v>50</c:v>
                </c:pt>
                <c:pt idx="1">
                  <c:v>60</c:v>
                </c:pt>
                <c:pt idx="2">
                  <c:v>100</c:v>
                </c:pt>
                <c:pt idx="3">
                  <c:v>140</c:v>
                </c:pt>
                <c:pt idx="4">
                  <c:v>190</c:v>
                </c:pt>
                <c:pt idx="5">
                  <c:v>540</c:v>
                </c:pt>
              </c:numCache>
            </c:numRef>
          </c:val>
          <c:extLst>
            <c:ext xmlns:c16="http://schemas.microsoft.com/office/drawing/2014/chart" uri="{C3380CC4-5D6E-409C-BE32-E72D297353CC}">
              <c16:uniqueId val="{0000000C-7832-4EB5-A2AF-747EB7071E7F}"/>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a:ln>
              <a:noFill/>
            </a:ln>
          </c:spPr>
          <c:dPt>
            <c:idx val="0"/>
            <c:bubble3D val="0"/>
            <c:spPr>
              <a:noFill/>
              <a:ln w="19050">
                <a:noFill/>
              </a:ln>
              <a:effectLst/>
            </c:spPr>
            <c:extLst>
              <c:ext xmlns:c16="http://schemas.microsoft.com/office/drawing/2014/chart" uri="{C3380CC4-5D6E-409C-BE32-E72D297353CC}">
                <c16:uniqueId val="{0000000E-7832-4EB5-A2AF-747EB7071E7F}"/>
              </c:ext>
            </c:extLst>
          </c:dPt>
          <c:dPt>
            <c:idx val="1"/>
            <c:bubble3D val="0"/>
            <c:spPr>
              <a:solidFill>
                <a:schemeClr val="tx1"/>
              </a:solidFill>
              <a:ln w="19050">
                <a:noFill/>
              </a:ln>
              <a:effectLst/>
            </c:spPr>
            <c:extLst>
              <c:ext xmlns:c16="http://schemas.microsoft.com/office/drawing/2014/chart" uri="{C3380CC4-5D6E-409C-BE32-E72D297353CC}">
                <c16:uniqueId val="{00000010-7832-4EB5-A2AF-747EB7071E7F}"/>
              </c:ext>
            </c:extLst>
          </c:dPt>
          <c:dPt>
            <c:idx val="2"/>
            <c:bubble3D val="0"/>
            <c:spPr>
              <a:noFill/>
              <a:ln w="19050">
                <a:noFill/>
              </a:ln>
              <a:effectLst/>
            </c:spPr>
            <c:extLst>
              <c:ext xmlns:c16="http://schemas.microsoft.com/office/drawing/2014/chart" uri="{C3380CC4-5D6E-409C-BE32-E72D297353CC}">
                <c16:uniqueId val="{00000012-7832-4EB5-A2AF-747EB7071E7F}"/>
              </c:ext>
            </c:extLst>
          </c:dPt>
          <c:val>
            <c:numRef>
              <c:f>Calcul_Bilan_Energie!$S$24:$S$26</c:f>
              <c:numCache>
                <c:formatCode>_-* #\ ##0_-;\-* #\ ##0_-;_-* "-"??_-;_-@_-</c:formatCode>
                <c:ptCount val="3"/>
                <c:pt idx="0">
                  <c:v>0</c:v>
                </c:pt>
                <c:pt idx="1">
                  <c:v>30</c:v>
                </c:pt>
                <c:pt idx="2">
                  <c:v>0</c:v>
                </c:pt>
              </c:numCache>
            </c:numRef>
          </c:val>
          <c:extLst>
            <c:ext xmlns:c16="http://schemas.microsoft.com/office/drawing/2014/chart" uri="{C3380CC4-5D6E-409C-BE32-E72D297353CC}">
              <c16:uniqueId val="{00000013-7832-4EB5-A2AF-747EB7071E7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2024</c:v>
                </c:pt>
              </c:strCache>
            </c:strRef>
          </c:tx>
          <c:spPr>
            <a:solidFill>
              <a:schemeClr val="accent2"/>
            </a:solidFill>
            <a:ln>
              <a:noFill/>
            </a:ln>
            <a:effectLst/>
          </c:spPr>
          <c:invertIfNegative val="0"/>
          <c:dLbls>
            <c:delete val="1"/>
          </c:dLbls>
          <c:cat>
            <c:strRef>
              <c:f>CalculSuiviMensuel!$D$70:$D$93</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CalculSuiviMensuel!$E$70:$E$81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1FD9-4614-94FE-7CCE5178A366}"/>
            </c:ext>
          </c:extLst>
        </c:ser>
        <c:ser>
          <c:idx val="1"/>
          <c:order val="1"/>
          <c:tx>
            <c:strRef>
              <c:f>CalculSuiviMensuel!$C$2</c:f>
              <c:strCache>
                <c:ptCount val="1"/>
                <c:pt idx="0">
                  <c:v>2025</c:v>
                </c:pt>
              </c:strCache>
            </c:strRef>
          </c:tx>
          <c:spPr>
            <a:solidFill>
              <a:schemeClr val="accent4"/>
            </a:solidFill>
            <a:ln>
              <a:noFill/>
            </a:ln>
            <a:effectLst/>
          </c:spPr>
          <c:invertIfNegative val="0"/>
          <c:dLbls>
            <c:dLbl>
              <c:idx val="0"/>
              <c:tx>
                <c:rich>
                  <a:bodyPr/>
                  <a:lstStyle/>
                  <a:p>
                    <a:fld id="{EB243D66-007F-4363-9B45-C2C367639D43}"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099-4744-9224-A3BE4B52D976}"/>
                </c:ext>
              </c:extLst>
            </c:dLbl>
            <c:dLbl>
              <c:idx val="1"/>
              <c:tx>
                <c:rich>
                  <a:bodyPr/>
                  <a:lstStyle/>
                  <a:p>
                    <a:fld id="{309FC05D-DA41-4A1C-9F10-F73453CBB464}"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099-4744-9224-A3BE4B52D976}"/>
                </c:ext>
              </c:extLst>
            </c:dLbl>
            <c:dLbl>
              <c:idx val="2"/>
              <c:tx>
                <c:rich>
                  <a:bodyPr/>
                  <a:lstStyle/>
                  <a:p>
                    <a:fld id="{1770D907-5463-4769-9101-5E2702F165BC}"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099-4744-9224-A3BE4B52D976}"/>
                </c:ext>
              </c:extLst>
            </c:dLbl>
            <c:dLbl>
              <c:idx val="3"/>
              <c:tx>
                <c:rich>
                  <a:bodyPr/>
                  <a:lstStyle/>
                  <a:p>
                    <a:fld id="{0EB41CBB-B763-4DD5-96C5-B9212992FA8D}"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099-4744-9224-A3BE4B52D976}"/>
                </c:ext>
              </c:extLst>
            </c:dLbl>
            <c:dLbl>
              <c:idx val="4"/>
              <c:tx>
                <c:rich>
                  <a:bodyPr/>
                  <a:lstStyle/>
                  <a:p>
                    <a:fld id="{FB3E6601-A205-45E5-BEB6-8C4A52574A0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099-4744-9224-A3BE4B52D976}"/>
                </c:ext>
              </c:extLst>
            </c:dLbl>
            <c:dLbl>
              <c:idx val="5"/>
              <c:tx>
                <c:rich>
                  <a:bodyPr/>
                  <a:lstStyle/>
                  <a:p>
                    <a:fld id="{7CDE7F6B-F22C-4F86-8C6D-5FD75CEEC5F2}"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99-4744-9224-A3BE4B52D976}"/>
                </c:ext>
              </c:extLst>
            </c:dLbl>
            <c:dLbl>
              <c:idx val="6"/>
              <c:tx>
                <c:rich>
                  <a:bodyPr/>
                  <a:lstStyle/>
                  <a:p>
                    <a:fld id="{BB7F5EF6-FB49-4AC6-BD5A-BF88CB07F0E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099-4744-9224-A3BE4B52D976}"/>
                </c:ext>
              </c:extLst>
            </c:dLbl>
            <c:dLbl>
              <c:idx val="7"/>
              <c:tx>
                <c:rich>
                  <a:bodyPr/>
                  <a:lstStyle/>
                  <a:p>
                    <a:fld id="{4B85EA34-B8B9-405D-AEA0-7D00B33D9BC5}"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99-4744-9224-A3BE4B52D976}"/>
                </c:ext>
              </c:extLst>
            </c:dLbl>
            <c:dLbl>
              <c:idx val="8"/>
              <c:tx>
                <c:rich>
                  <a:bodyPr/>
                  <a:lstStyle/>
                  <a:p>
                    <a:fld id="{987E857D-7FA7-46A0-9630-051C8DF3A464}"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099-4744-9224-A3BE4B52D976}"/>
                </c:ext>
              </c:extLst>
            </c:dLbl>
            <c:dLbl>
              <c:idx val="9"/>
              <c:tx>
                <c:rich>
                  <a:bodyPr/>
                  <a:lstStyle/>
                  <a:p>
                    <a:fld id="{5B90D331-6561-492F-80A8-DD38467D2894}"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099-4744-9224-A3BE4B52D976}"/>
                </c:ext>
              </c:extLst>
            </c:dLbl>
            <c:dLbl>
              <c:idx val="10"/>
              <c:tx>
                <c:rich>
                  <a:bodyPr/>
                  <a:lstStyle/>
                  <a:p>
                    <a:fld id="{489FB1E8-E9D1-4933-B54A-B36A3EFE4DAB}"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099-4744-9224-A3BE4B52D976}"/>
                </c:ext>
              </c:extLst>
            </c:dLbl>
            <c:dLbl>
              <c:idx val="11"/>
              <c:tx>
                <c:rich>
                  <a:bodyPr/>
                  <a:lstStyle/>
                  <a:p>
                    <a:fld id="{69FBA9E5-E70B-4FF9-8ECE-0A60B08D8B21}"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99-4744-9224-A3BE4B52D9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CalculSuiviMensuel!$D$70:$D$93</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CalculSuiviMensuel!$E$82:$E$93</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CalculSuiviMensuel!$F$82:$F$93</c15:f>
                <c15:dlblRangeCache>
                  <c:ptCount val="12"/>
                  <c:pt idx="0">
                    <c:v>#REF!</c:v>
                  </c:pt>
                  <c:pt idx="1">
                    <c:v>#REF!</c:v>
                  </c:pt>
                  <c:pt idx="2">
                    <c:v>#REF!</c:v>
                  </c:pt>
                  <c:pt idx="3">
                    <c:v>#REF!</c:v>
                  </c:pt>
                  <c:pt idx="4">
                    <c:v>#REF!</c:v>
                  </c:pt>
                  <c:pt idx="5">
                    <c:v>#REF!</c:v>
                  </c:pt>
                  <c:pt idx="6">
                    <c:v>#REF!</c:v>
                  </c:pt>
                  <c:pt idx="7">
                    <c:v>#REF!</c:v>
                  </c:pt>
                  <c:pt idx="8">
                    <c:v>#REF!</c:v>
                  </c:pt>
                  <c:pt idx="9">
                    <c:v>#REF!</c:v>
                  </c:pt>
                  <c:pt idx="10">
                    <c:v>#REF!</c:v>
                  </c:pt>
                  <c:pt idx="11">
                    <c:v>#REF!</c:v>
                  </c:pt>
                </c15:dlblRangeCache>
              </c15:datalabelsRange>
            </c:ext>
            <c:ext xmlns:c16="http://schemas.microsoft.com/office/drawing/2014/chart" uri="{C3380CC4-5D6E-409C-BE32-E72D297353CC}">
              <c16:uniqueId val="{0000000D-1FD9-4614-94FE-7CCE5178A366}"/>
            </c:ext>
          </c:extLst>
        </c:ser>
        <c:dLbls>
          <c:dLblPos val="outEnd"/>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2024</c:v>
                </c:pt>
              </c:strCache>
            </c:strRef>
          </c:tx>
          <c:spPr>
            <a:solidFill>
              <a:schemeClr val="accent2"/>
            </a:solidFill>
            <a:ln>
              <a:noFill/>
            </a:ln>
            <a:effectLst/>
          </c:spPr>
          <c:invertIfNegative val="0"/>
          <c:dLbls>
            <c:dLbl>
              <c:idx val="0"/>
              <c:tx>
                <c:rich>
                  <a:bodyPr/>
                  <a:lstStyle/>
                  <a:p>
                    <a:fld id="{9047F28F-9E7B-46F0-98FB-4F7F8E39E1F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7C-4831-B761-7DF0E263F3E1}"/>
                </c:ext>
              </c:extLst>
            </c:dLbl>
            <c:dLbl>
              <c:idx val="1"/>
              <c:tx>
                <c:rich>
                  <a:bodyPr/>
                  <a:lstStyle/>
                  <a:p>
                    <a:fld id="{940D3F45-3CE8-46BE-AB3E-47F4A59C8E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7C-4831-B761-7DF0E263F3E1}"/>
                </c:ext>
              </c:extLst>
            </c:dLbl>
            <c:dLbl>
              <c:idx val="2"/>
              <c:tx>
                <c:rich>
                  <a:bodyPr/>
                  <a:lstStyle/>
                  <a:p>
                    <a:fld id="{BAE82FAA-452A-4F70-A973-2539DB3D985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7C-4831-B761-7DF0E263F3E1}"/>
                </c:ext>
              </c:extLst>
            </c:dLbl>
            <c:dLbl>
              <c:idx val="3"/>
              <c:tx>
                <c:rich>
                  <a:bodyPr/>
                  <a:lstStyle/>
                  <a:p>
                    <a:fld id="{29A7EC31-75DC-4D3F-804B-632FFB4FFAB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7C-4831-B761-7DF0E263F3E1}"/>
                </c:ext>
              </c:extLst>
            </c:dLbl>
            <c:dLbl>
              <c:idx val="4"/>
              <c:tx>
                <c:rich>
                  <a:bodyPr/>
                  <a:lstStyle/>
                  <a:p>
                    <a:fld id="{88822DE6-3EDD-4F70-A00E-1270F5E28F8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7C-4831-B761-7DF0E263F3E1}"/>
                </c:ext>
              </c:extLst>
            </c:dLbl>
            <c:dLbl>
              <c:idx val="5"/>
              <c:tx>
                <c:rich>
                  <a:bodyPr/>
                  <a:lstStyle/>
                  <a:p>
                    <a:fld id="{21BE539F-8A9F-4718-8B37-66CABBF2687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7C-4831-B761-7DF0E263F3E1}"/>
                </c:ext>
              </c:extLst>
            </c:dLbl>
            <c:dLbl>
              <c:idx val="6"/>
              <c:tx>
                <c:rich>
                  <a:bodyPr/>
                  <a:lstStyle/>
                  <a:p>
                    <a:fld id="{B21CB8C7-6AF0-4057-9BFE-22BFBA61AB2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7C-4831-B761-7DF0E263F3E1}"/>
                </c:ext>
              </c:extLst>
            </c:dLbl>
            <c:dLbl>
              <c:idx val="7"/>
              <c:tx>
                <c:rich>
                  <a:bodyPr/>
                  <a:lstStyle/>
                  <a:p>
                    <a:fld id="{3E2070E2-713A-445C-9EE1-E43394ABBC9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7C-4831-B761-7DF0E263F3E1}"/>
                </c:ext>
              </c:extLst>
            </c:dLbl>
            <c:dLbl>
              <c:idx val="8"/>
              <c:tx>
                <c:rich>
                  <a:bodyPr/>
                  <a:lstStyle/>
                  <a:p>
                    <a:fld id="{49F46E8A-8152-4591-ADD0-5573B06C1A5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7C-4831-B761-7DF0E263F3E1}"/>
                </c:ext>
              </c:extLst>
            </c:dLbl>
            <c:dLbl>
              <c:idx val="9"/>
              <c:tx>
                <c:rich>
                  <a:bodyPr/>
                  <a:lstStyle/>
                  <a:p>
                    <a:fld id="{9A2EED41-996B-4DFE-B2A3-18B5E323116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7C-4831-B761-7DF0E263F3E1}"/>
                </c:ext>
              </c:extLst>
            </c:dLbl>
            <c:dLbl>
              <c:idx val="10"/>
              <c:tx>
                <c:rich>
                  <a:bodyPr/>
                  <a:lstStyle/>
                  <a:p>
                    <a:fld id="{B973D530-7AE1-4949-AB47-AD864484B87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7C-4831-B761-7DF0E263F3E1}"/>
                </c:ext>
              </c:extLst>
            </c:dLbl>
            <c:dLbl>
              <c:idx val="11"/>
              <c:tx>
                <c:rich>
                  <a:bodyPr/>
                  <a:lstStyle/>
                  <a:p>
                    <a:fld id="{79C6B560-8B20-4618-BF95-07D2A3B6D23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7C-4831-B761-7DF0E263F3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CalculSuiviMensuel!$D$38:$D$61</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CalculSuiviMensuel!$H$38:$H$49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CalculSuiviMensuel!$I$50:$I$61</c15:f>
                <c15:dlblRangeCache>
                  <c:ptCount val="12"/>
                  <c:pt idx="0">
                    <c:v>#REF!</c:v>
                  </c:pt>
                  <c:pt idx="1">
                    <c:v>#REF!</c:v>
                  </c:pt>
                  <c:pt idx="2">
                    <c:v>#REF!</c:v>
                  </c:pt>
                  <c:pt idx="3">
                    <c:v>#REF!</c:v>
                  </c:pt>
                  <c:pt idx="4">
                    <c:v>#REF!</c:v>
                  </c:pt>
                  <c:pt idx="5">
                    <c:v>#REF!</c:v>
                  </c:pt>
                  <c:pt idx="6">
                    <c:v>#REF!</c:v>
                  </c:pt>
                  <c:pt idx="7">
                    <c:v>#REF!</c:v>
                  </c:pt>
                  <c:pt idx="8">
                    <c:v>#REF!</c:v>
                  </c:pt>
                  <c:pt idx="9">
                    <c:v>#REF!</c:v>
                  </c:pt>
                  <c:pt idx="10">
                    <c:v>#REF!</c:v>
                  </c:pt>
                  <c:pt idx="11">
                    <c:v>#REF!</c:v>
                  </c:pt>
                </c15:dlblRangeCache>
              </c15:datalabelsRange>
            </c:ext>
            <c:ext xmlns:c16="http://schemas.microsoft.com/office/drawing/2014/chart" uri="{C3380CC4-5D6E-409C-BE32-E72D297353CC}">
              <c16:uniqueId val="{0000000C-837C-4831-B761-7DF0E263F3E1}"/>
            </c:ext>
          </c:extLst>
        </c:ser>
        <c:ser>
          <c:idx val="1"/>
          <c:order val="1"/>
          <c:tx>
            <c:strRef>
              <c:f>CalculSuiviMensuel!$C$2</c:f>
              <c:strCache>
                <c:ptCount val="1"/>
                <c:pt idx="0">
                  <c:v>2025</c:v>
                </c:pt>
              </c:strCache>
            </c:strRef>
          </c:tx>
          <c:spPr>
            <a:solidFill>
              <a:schemeClr val="accent4"/>
            </a:solidFill>
            <a:ln>
              <a:noFill/>
            </a:ln>
            <a:effectLst/>
          </c:spPr>
          <c:invertIfNegative val="0"/>
          <c:dLbls>
            <c:delete val="1"/>
          </c:dLbls>
          <c:cat>
            <c:strRef>
              <c:f>CalculSuiviMensuel!$D$38:$D$61</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CalculSuiviMensuel!$H$50:$H$61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37C-4831-B761-7DF0E263F3E1}"/>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[TB_Energie_Eau_1.998_Vierge_LMS.xlsx]Suivi Compteur!Tableau croisé dynamique1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dLbls>
          <c:showLegendKey val="0"/>
          <c:showVal val="0"/>
          <c:showCatName val="0"/>
          <c:showSerName val="0"/>
          <c:showPercent val="0"/>
          <c:showBubbleSize val="0"/>
        </c:dLbls>
        <c:gapWidth val="219"/>
        <c:overlap val="-27"/>
        <c:axId val="1256688232"/>
        <c:axId val="1256686920"/>
      </c:barChart>
      <c:catAx>
        <c:axId val="125668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6686920"/>
        <c:crosses val="autoZero"/>
        <c:auto val="1"/>
        <c:lblAlgn val="ctr"/>
        <c:lblOffset val="100"/>
        <c:noMultiLvlLbl val="0"/>
      </c:catAx>
      <c:valAx>
        <c:axId val="1256686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6688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dLbls>
          <c:showLegendKey val="0"/>
          <c:showVal val="0"/>
          <c:showCatName val="0"/>
          <c:showSerName val="0"/>
          <c:showPercent val="0"/>
          <c:showBubbleSize val="0"/>
        </c:dLbls>
        <c:marker val="1"/>
        <c:smooth val="0"/>
        <c:axId val="1269468824"/>
        <c:axId val="1269470464"/>
      </c:lineChart>
      <c:catAx>
        <c:axId val="12694688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9470464"/>
        <c:crosses val="autoZero"/>
        <c:auto val="1"/>
        <c:lblAlgn val="ctr"/>
        <c:lblOffset val="100"/>
        <c:noMultiLvlLbl val="0"/>
        <c:extLst>
          <c:ext xmlns:c15="http://schemas.microsoft.com/office/drawing/2012/chart" uri="{F40574EE-89B7-4290-83BB-5DA773EAF853}">
            <c15:numFmt c:formatCode="General" c:sourceLinked="1"/>
          </c:ext>
        </c:extLst>
      </c:catAx>
      <c:valAx>
        <c:axId val="1269470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946882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extLst>
    <c:ext xmlns:c15="http://schemas.microsoft.com/office/drawing/2012/chart" uri="{723BEF56-08C2-4564-9609-F4CBC75E7E54}">
      <c15:pivotSource>
        <c15:name>[TB_Energie_Eau_1.998_Vierge_LMS.xlsx]PivotChartTable3</c15:name>
        <c15:fmtId val="0"/>
      </c15:pivotSource>
      <c15:pivotOptions>
        <c15:dropZoneFilter val="1"/>
        <c15:dropZonesVisible val="1"/>
      </c15: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rgbClr val="FF993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Electricité (kWh)</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
              <c:pt idx="0">
                <c:v>2026</c:v>
              </c:pt>
            </c:strLit>
          </c:cat>
          <c:val>
            <c:numLit>
              <c:formatCode>General</c:formatCode>
              <c:ptCount val="1"/>
              <c:pt idx="0">
                <c:v>#N/A</c:v>
              </c:pt>
            </c:numLit>
          </c:val>
          <c:smooth val="0"/>
          <c:extLst>
            <c:ext xmlns:c16="http://schemas.microsoft.com/office/drawing/2014/chart" uri="{C3380CC4-5D6E-409C-BE32-E72D297353CC}">
              <c16:uniqueId val="{00000001-C95A-41BE-8C3B-1FA365B0B779}"/>
            </c:ext>
          </c:extLst>
        </c:ser>
        <c:ser>
          <c:idx val="1"/>
          <c:order val="1"/>
          <c:tx>
            <c:v>Gaz naturel (kWh)</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
              <c:pt idx="0">
                <c:v>2026</c:v>
              </c:pt>
            </c:strLit>
          </c:cat>
          <c:val>
            <c:numLit>
              <c:formatCode>General</c:formatCode>
              <c:ptCount val="1"/>
              <c:pt idx="0">
                <c:v>#N/A</c:v>
              </c:pt>
            </c:numLit>
          </c:val>
          <c:smooth val="0"/>
          <c:extLst>
            <c:ext xmlns:c16="http://schemas.microsoft.com/office/drawing/2014/chart" uri="{C3380CC4-5D6E-409C-BE32-E72D297353CC}">
              <c16:uniqueId val="{00000002-C95A-41BE-8C3B-1FA365B0B779}"/>
            </c:ext>
          </c:extLst>
        </c:ser>
        <c:dLbls>
          <c:showLegendKey val="0"/>
          <c:showVal val="0"/>
          <c:showCatName val="0"/>
          <c:showSerName val="0"/>
          <c:showPercent val="0"/>
          <c:showBubbleSize val="0"/>
        </c:dLbls>
        <c:marker val="1"/>
        <c:smooth val="0"/>
        <c:axId val="1105401160"/>
        <c:axId val="1105399192"/>
      </c:lineChart>
      <c:catAx>
        <c:axId val="1105401160"/>
        <c:scaling>
          <c:orientation val="minMax"/>
        </c:scaling>
        <c:delete val="1"/>
        <c:axPos val="b"/>
        <c:numFmt formatCode="General" sourceLinked="0"/>
        <c:majorTickMark val="out"/>
        <c:minorTickMark val="none"/>
        <c:tickLblPos val="nextTo"/>
        <c:crossAx val="1105399192"/>
        <c:crosses val="autoZero"/>
        <c:auto val="1"/>
        <c:lblAlgn val="ctr"/>
        <c:lblOffset val="100"/>
        <c:noMultiLvlLbl val="0"/>
        <c:extLst>
          <c:ext xmlns:c15="http://schemas.microsoft.com/office/drawing/2012/chart" uri="{F40574EE-89B7-4290-83BB-5DA773EAF853}">
            <c15:numFmt c:formatCode="General" c:sourceLinked="1"/>
          </c:ext>
        </c:extLst>
      </c:catAx>
      <c:valAx>
        <c:axId val="1105399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Coût</a:t>
                </a:r>
                <a:r>
                  <a:rPr lang="fr-FR" baseline="0"/>
                  <a:t> Unitaire  (€        / kWh PCI)</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05401160"/>
        <c:crosses val="autoZero"/>
        <c:crossBetween val="between"/>
        <c:extLst>
          <c:ext xmlns:c15="http://schemas.microsoft.com/office/drawing/2012/chart" uri="{F40574EE-89B7-4290-83BB-5DA773EAF853}">
            <c15:numFmt c:formatCode="General" c:sourceLinked="1"/>
          </c:ext>
        </c:extLst>
      </c:valAx>
      <c:spPr>
        <a:noFill/>
        <a:ln w="25400">
          <a:noFill/>
        </a:ln>
        <a:effectLst/>
      </c:spPr>
    </c:plotArea>
    <c:legend>
      <c:legendPos val="b"/>
      <c:layout>
        <c:manualLayout>
          <c:xMode val="edge"/>
          <c:yMode val="edge"/>
          <c:x val="9.9866799639214701E-2"/>
          <c:y val="0.77662023924723245"/>
          <c:w val="0.46742163811033882"/>
          <c:h val="0.129468843357044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extLst>
    <c:ext xmlns:c15="http://schemas.microsoft.com/office/drawing/2012/chart" uri="{723BEF56-08C2-4564-9609-F4CBC75E7E54}">
      <c15:pivotSource>
        <c15:name>[TB_Energie_Eau_1.998_Vierge_LMS.xlsx]PivotChartTable1</c15:name>
        <c15:fmtId val="0"/>
      </c15:pivotSource>
      <c15:pivotOptions>
        <c15:dropZoneFilter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993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Electricité (kWh)</c:v>
          </c:tx>
          <c:spPr>
            <a:solidFill>
              <a:schemeClr val="accent1"/>
            </a:solidFill>
            <a:ln>
              <a:noFill/>
            </a:ln>
            <a:effectLst/>
          </c:spPr>
          <c:invertIfNegative val="0"/>
          <c:cat>
            <c:strLit>
              <c:ptCount val="1"/>
              <c:pt idx="0">
                <c:v>2026</c:v>
              </c:pt>
            </c:strLit>
          </c:cat>
          <c:val>
            <c:numLit>
              <c:formatCode>General</c:formatCode>
              <c:ptCount val="1"/>
              <c:pt idx="0">
                <c:v>0</c:v>
              </c:pt>
            </c:numLit>
          </c:val>
          <c:extLst>
            <c:ext xmlns:c16="http://schemas.microsoft.com/office/drawing/2014/chart" uri="{C3380CC4-5D6E-409C-BE32-E72D297353CC}">
              <c16:uniqueId val="{00000001-343C-4E88-95E4-97F497ACBDE1}"/>
            </c:ext>
          </c:extLst>
        </c:ser>
        <c:ser>
          <c:idx val="1"/>
          <c:order val="1"/>
          <c:tx>
            <c:v>Gaz naturel (kWh)</c:v>
          </c:tx>
          <c:spPr>
            <a:solidFill>
              <a:schemeClr val="accent1"/>
            </a:solidFill>
            <a:ln>
              <a:noFill/>
            </a:ln>
            <a:effectLst/>
          </c:spPr>
          <c:invertIfNegative val="0"/>
          <c:cat>
            <c:strLit>
              <c:ptCount val="1"/>
              <c:pt idx="0">
                <c:v>2026</c:v>
              </c:pt>
            </c:strLit>
          </c:cat>
          <c:val>
            <c:numLit>
              <c:formatCode>General</c:formatCode>
              <c:ptCount val="1"/>
              <c:pt idx="0">
                <c:v>0</c:v>
              </c:pt>
            </c:numLit>
          </c:val>
          <c:extLst>
            <c:ext xmlns:c16="http://schemas.microsoft.com/office/drawing/2014/chart" uri="{C3380CC4-5D6E-409C-BE32-E72D297353CC}">
              <c16:uniqueId val="{00000001-60C7-44D6-93B3-E06C89C0FF33}"/>
            </c:ext>
          </c:extLst>
        </c:ser>
        <c:dLbls>
          <c:showLegendKey val="0"/>
          <c:showVal val="0"/>
          <c:showCatName val="0"/>
          <c:showSerName val="0"/>
          <c:showPercent val="0"/>
          <c:showBubbleSize val="0"/>
        </c:dLbls>
        <c:gapWidth val="219"/>
        <c:overlap val="100"/>
        <c:axId val="215807943"/>
        <c:axId val="215797775"/>
      </c:barChart>
      <c:catAx>
        <c:axId val="215807943"/>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5797775"/>
        <c:crosses val="autoZero"/>
        <c:auto val="1"/>
        <c:lblAlgn val="ctr"/>
        <c:lblOffset val="100"/>
        <c:noMultiLvlLbl val="0"/>
        <c:extLst>
          <c:ext xmlns:c15="http://schemas.microsoft.com/office/drawing/2012/chart" uri="{F40574EE-89B7-4290-83BB-5DA773EAF853}">
            <c15:numFmt c:formatCode="General" c:sourceLinked="1"/>
          </c:ext>
        </c:extLst>
      </c:catAx>
      <c:valAx>
        <c:axId val="2157977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Dépense (€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5807943"/>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extLst>
    <c:ext xmlns:c15="http://schemas.microsoft.com/office/drawing/2012/chart" uri="{723BEF56-08C2-4564-9609-F4CBC75E7E54}">
      <c15:pivotSource>
        <c15:name>[TB_Energie_Eau_1.998_Vierge_LMS.xlsx]PivotChartTable2</c15:name>
        <c15:fmtId val="0"/>
      </c15:pivotSource>
      <c15:pivotOptions>
        <c15:dropZoneFilter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dLbls>
          <c:showLegendKey val="0"/>
          <c:showVal val="0"/>
          <c:showCatName val="0"/>
          <c:showSerName val="0"/>
          <c:showPercent val="0"/>
          <c:showBubbleSize val="0"/>
        </c:dLbls>
        <c:marker val="1"/>
        <c:smooth val="0"/>
        <c:axId val="552420800"/>
        <c:axId val="552421456"/>
      </c:lineChart>
      <c:catAx>
        <c:axId val="5524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1456"/>
        <c:crosses val="autoZero"/>
        <c:auto val="1"/>
        <c:lblAlgn val="ctr"/>
        <c:lblOffset val="100"/>
        <c:noMultiLvlLbl val="0"/>
      </c:catAx>
      <c:valAx>
        <c:axId val="55242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0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49439064460556E-2"/>
          <c:y val="0.13229042895902302"/>
          <c:w val="0.567718541167617"/>
          <c:h val="0.6493435251608092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AC-4558-B173-1149448E6C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AC-4558-B173-1149448E6C94}"/>
              </c:ext>
            </c:extLst>
          </c:dPt>
          <c:dPt>
            <c:idx val="2"/>
            <c:bubble3D val="0"/>
            <c:spPr>
              <a:solidFill>
                <a:srgbClr val="FF9933"/>
              </a:solidFill>
              <a:ln w="19050">
                <a:solidFill>
                  <a:schemeClr val="lt1"/>
                </a:solidFill>
              </a:ln>
              <a:effectLst/>
            </c:spPr>
            <c:extLst>
              <c:ext xmlns:c16="http://schemas.microsoft.com/office/drawing/2014/chart" uri="{C3380CC4-5D6E-409C-BE32-E72D297353CC}">
                <c16:uniqueId val="{00000005-C3AC-4558-B173-1149448E6C94}"/>
              </c:ext>
            </c:extLst>
          </c:dPt>
          <c:dPt>
            <c:idx val="3"/>
            <c:bubble3D val="0"/>
            <c:spPr>
              <a:solidFill>
                <a:srgbClr val="CC99FF"/>
              </a:solidFill>
              <a:ln w="19050">
                <a:solidFill>
                  <a:schemeClr val="lt1"/>
                </a:solidFill>
              </a:ln>
              <a:effectLst/>
            </c:spPr>
            <c:extLst>
              <c:ext xmlns:c16="http://schemas.microsoft.com/office/drawing/2014/chart" uri="{C3380CC4-5D6E-409C-BE32-E72D297353CC}">
                <c16:uniqueId val="{00000007-C3AC-4558-B173-1149448E6C94}"/>
              </c:ext>
            </c:extLst>
          </c:dPt>
          <c:dPt>
            <c:idx val="4"/>
            <c:bubble3D val="0"/>
            <c:spPr>
              <a:solidFill>
                <a:srgbClr val="D60093"/>
              </a:solidFill>
              <a:ln w="19050">
                <a:solidFill>
                  <a:schemeClr val="lt1"/>
                </a:solidFill>
              </a:ln>
              <a:effectLst/>
            </c:spPr>
            <c:extLst>
              <c:ext xmlns:c16="http://schemas.microsoft.com/office/drawing/2014/chart" uri="{C3380CC4-5D6E-409C-BE32-E72D297353CC}">
                <c16:uniqueId val="{00000009-C3AC-4558-B173-1149448E6C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Calcul_Bilan_Energie!$W$23:$W$27</c:f>
              <c:strCache>
                <c:ptCount val="4"/>
                <c:pt idx="0">
                  <c:v>Electricité </c:v>
                </c:pt>
                <c:pt idx="1">
                  <c:v>Bornes IRVE</c:v>
                </c:pt>
                <c:pt idx="2">
                  <c:v>Chauffage seul</c:v>
                </c:pt>
                <c:pt idx="3">
                  <c:v>#VALEUR!</c:v>
                </c:pt>
              </c:strCache>
            </c:strRef>
          </c:cat>
          <c:val>
            <c:numRef>
              <c:f>Calcul_Bilan_Energie!$X$23:$X$27</c:f>
              <c:numCache>
                <c:formatCode>_-* #\ ##0_-;\-* #\ ##0_-;_-* "-"??_-;_-@_-</c:formatCode>
                <c:ptCount val="5"/>
                <c:pt idx="0">
                  <c:v>0</c:v>
                </c:pt>
                <c:pt idx="1">
                  <c:v>0</c:v>
                </c:pt>
                <c:pt idx="2">
                  <c:v>0</c:v>
                </c:pt>
                <c:pt idx="3">
                  <c:v>0</c:v>
                </c:pt>
                <c:pt idx="4">
                  <c:v>0</c:v>
                </c:pt>
              </c:numCache>
            </c:numRef>
          </c:val>
          <c:extLst>
            <c:ext xmlns:c16="http://schemas.microsoft.com/office/drawing/2014/chart" uri="{C3380CC4-5D6E-409C-BE32-E72D297353CC}">
              <c16:uniqueId val="{0000000A-C3AC-4558-B173-1149448E6C9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[TB_Energie_Eau_1.998_Vierge_LMS.xlsx]Calcul_Bilan_Energie!TCD_Conso_annuel</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pivotFmt>
    </c:pivotFmts>
    <c:plotArea>
      <c:layout>
        <c:manualLayout>
          <c:layoutTarget val="inner"/>
          <c:xMode val="edge"/>
          <c:yMode val="edge"/>
          <c:x val="0.17823183972507037"/>
          <c:y val="0.1148552895534523"/>
          <c:w val="0.60037085292396009"/>
          <c:h val="0.56196328994229261"/>
        </c:manualLayout>
      </c:layout>
      <c:pieChart>
        <c:varyColors val="1"/>
        <c:ser>
          <c:idx val="0"/>
          <c:order val="0"/>
          <c:tx>
            <c:strRef>
              <c:f>Calcul_Bilan_Energie!$D$5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76E-4828-953C-048BF73A33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Calcul_Bilan_Energie!$C$6:$C$7</c:f>
              <c:strCache>
                <c:ptCount val="1"/>
                <c:pt idx="0">
                  <c:v>Electricité (kWh)</c:v>
                </c:pt>
              </c:strCache>
            </c:strRef>
          </c:cat>
          <c:val>
            <c:numRef>
              <c:f>Calcul_Bilan_Energie!$D$6:$D$7</c:f>
              <c:numCache>
                <c:formatCode>General</c:formatCode>
                <c:ptCount val="1"/>
                <c:pt idx="0">
                  <c:v>0</c:v>
                </c:pt>
              </c:numCache>
            </c:numRef>
          </c:val>
          <c:extLst>
            <c:ext xmlns:c16="http://schemas.microsoft.com/office/drawing/2014/chart" uri="{C3380CC4-5D6E-409C-BE32-E72D297353CC}">
              <c16:uniqueId val="{00000001-42AD-4691-B289-41CD385889CF}"/>
            </c:ext>
          </c:extLst>
        </c:ser>
        <c:dLbls>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3.4592798202382974E-3"/>
          <c:y val="0.64369857808178021"/>
          <c:w val="0.40596763534054647"/>
          <c:h val="0.140986063610735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[TB_Energie_Eau_1.998_Vierge_LMS.xlsx]Calcul_Bilan_Energie!TCD_Cout_annuel</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lumMod val="75000"/>
            </a:schemeClr>
          </a:solidFill>
          <a:ln w="19050">
            <a:solidFill>
              <a:schemeClr val="lt1"/>
            </a:solidFill>
          </a:ln>
          <a:effectLst/>
        </c:spPr>
      </c:pivotFmt>
      <c:pivotFmt>
        <c:idx val="10"/>
        <c:spPr>
          <a:solidFill>
            <a:srgbClr val="FF9933"/>
          </a:solidFill>
          <a:ln w="19050">
            <a:solidFill>
              <a:schemeClr val="lt1"/>
            </a:solidFill>
          </a:ln>
          <a:effectLst/>
        </c:spPr>
      </c:pivotFmt>
      <c:pivotFmt>
        <c:idx val="11"/>
        <c:spPr>
          <a:solidFill>
            <a:schemeClr val="bg1">
              <a:lumMod val="65000"/>
            </a:schemeClr>
          </a:solidFill>
          <a:ln w="19050">
            <a:solidFill>
              <a:schemeClr val="lt1"/>
            </a:solidFill>
          </a:ln>
          <a:effectLst/>
        </c:spPr>
      </c:pivotFmt>
      <c:pivotFmt>
        <c:idx val="12"/>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rgbClr val="ED7D31"/>
          </a:solidFill>
          <a:ln w="19050">
            <a:solidFill>
              <a:schemeClr val="lt1"/>
            </a:solidFill>
          </a:ln>
          <a:effectLst/>
        </c:spPr>
      </c:pivotFmt>
      <c:pivotFmt>
        <c:idx val="17"/>
        <c:spPr>
          <a:solidFill>
            <a:schemeClr val="accent1"/>
          </a:solidFill>
          <a:ln w="19050">
            <a:solidFill>
              <a:schemeClr val="lt1"/>
            </a:solidFill>
          </a:ln>
          <a:effectLst/>
        </c:spPr>
      </c:pivotFmt>
    </c:pivotFmts>
    <c:plotArea>
      <c:layout>
        <c:manualLayout>
          <c:layoutTarget val="inner"/>
          <c:xMode val="edge"/>
          <c:yMode val="edge"/>
          <c:x val="5.9006197322203489E-2"/>
          <c:y val="0.10320159493373988"/>
          <c:w val="0.58346675533961223"/>
          <c:h val="0.62745124138670383"/>
        </c:manualLayout>
      </c:layout>
      <c:pieChart>
        <c:varyColors val="1"/>
        <c:ser>
          <c:idx val="0"/>
          <c:order val="0"/>
          <c:tx>
            <c:strRef>
              <c:f>Calcul_Bilan_Energie!$I$5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65-497C-916E-169FF18CA1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Calcul_Bilan_Energie!$H$6:$H$7</c:f>
              <c:strCache>
                <c:ptCount val="1"/>
                <c:pt idx="0">
                  <c:v>Electricité (kWh)</c:v>
                </c:pt>
              </c:strCache>
            </c:strRef>
          </c:cat>
          <c:val>
            <c:numRef>
              <c:f>Calcul_Bilan_Energie!$I$6:$I$7</c:f>
              <c:numCache>
                <c:formatCode>General</c:formatCode>
                <c:ptCount val="1"/>
                <c:pt idx="0">
                  <c:v>0</c:v>
                </c:pt>
              </c:numCache>
            </c:numRef>
          </c:val>
          <c:extLst>
            <c:ext xmlns:c16="http://schemas.microsoft.com/office/drawing/2014/chart" uri="{C3380CC4-5D6E-409C-BE32-E72D297353CC}">
              <c16:uniqueId val="{00000001-3358-46EC-931C-0B385169CD63}"/>
            </c:ext>
          </c:extLst>
        </c:ser>
        <c:dLbls>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75522432861361111"/>
          <c:w val="0.39973657848020211"/>
          <c:h val="0.152357199147830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920384951881E-2"/>
          <c:y val="6.5466061074859333E-2"/>
          <c:w val="0.89019685039370078"/>
          <c:h val="0.79687918864510865"/>
        </c:manualLayout>
      </c:layout>
      <c:barChart>
        <c:barDir val="col"/>
        <c:grouping val="stacked"/>
        <c:varyColors val="0"/>
        <c:ser>
          <c:idx val="6"/>
          <c:order val="0"/>
          <c:tx>
            <c:strRef>
              <c:f>'CALCUL DEET'!$C$76</c:f>
              <c:strCache>
                <c:ptCount val="1"/>
                <c:pt idx="0">
                  <c:v>Electricité</c:v>
                </c:pt>
              </c:strCache>
            </c:strRef>
          </c:tx>
          <c:spPr>
            <a:solidFill>
              <a:schemeClr val="accent1"/>
            </a:solidFill>
            <a:ln>
              <a:noFill/>
            </a:ln>
            <a:effectLst/>
          </c:spPr>
          <c:invertIfNegative val="0"/>
          <c:cat>
            <c:numRef>
              <c:f>'CALCUL DEET'!$D$54:$M$54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DEET'!$D$76:$P$76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CE1-4F4D-9705-7373DBEFF7EA}"/>
            </c:ext>
          </c:extLst>
        </c:ser>
        <c:ser>
          <c:idx val="3"/>
          <c:order val="1"/>
          <c:tx>
            <c:strRef>
              <c:f>'CALCUL DEET'!$C$78</c:f>
              <c:strCache>
                <c:ptCount val="1"/>
                <c:pt idx="0">
                  <c:v>ECS+Cuisson estimées</c:v>
                </c:pt>
              </c:strCache>
            </c:strRef>
          </c:tx>
          <c:spPr>
            <a:solidFill>
              <a:srgbClr val="CC99FF"/>
            </a:solidFill>
            <a:ln>
              <a:noFill/>
            </a:ln>
            <a:effectLst/>
          </c:spPr>
          <c:invertIfNegative val="0"/>
          <c:val>
            <c:numRef>
              <c:f>'CALCUL DEET'!$D$78:$P$78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5F1-4206-84CF-F55AD35C7E50}"/>
            </c:ext>
          </c:extLst>
        </c:ser>
        <c:ser>
          <c:idx val="7"/>
          <c:order val="2"/>
          <c:tx>
            <c:strRef>
              <c:f>'CALCUL DEET'!$C$79</c:f>
              <c:strCache>
                <c:ptCount val="1"/>
                <c:pt idx="0">
                  <c:v>Chauffage</c:v>
                </c:pt>
              </c:strCache>
            </c:strRef>
          </c:tx>
          <c:spPr>
            <a:solidFill>
              <a:schemeClr val="accent4"/>
            </a:solidFill>
            <a:ln>
              <a:noFill/>
            </a:ln>
            <a:effectLst/>
          </c:spPr>
          <c:invertIfNegative val="0"/>
          <c:cat>
            <c:numRef>
              <c:f>'CALCUL DEET'!$D$54:$M$54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DEET'!$D$79:$P$79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CE1-4F4D-9705-7373DBEFF7EA}"/>
            </c:ext>
          </c:extLst>
        </c:ser>
        <c:ser>
          <c:idx val="0"/>
          <c:order val="3"/>
          <c:tx>
            <c:strRef>
              <c:f>'CALCUL DEET'!$C$80</c:f>
              <c:strCache>
                <c:ptCount val="1"/>
                <c:pt idx="0">
                  <c:v>Ajust. Chauffage</c:v>
                </c:pt>
              </c:strCache>
            </c:strRef>
          </c:tx>
          <c:spPr>
            <a:solidFill>
              <a:srgbClr val="FF0000"/>
            </a:solidFill>
            <a:ln>
              <a:noFill/>
            </a:ln>
            <a:effectLst/>
          </c:spPr>
          <c:invertIfNegative val="0"/>
          <c:val>
            <c:numRef>
              <c:f>'CALCUL DEET'!$D$80:$P$80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5B2-44EB-8B9F-BC307877722C}"/>
            </c:ext>
          </c:extLst>
        </c:ser>
        <c:ser>
          <c:idx val="1"/>
          <c:order val="4"/>
          <c:tx>
            <c:strRef>
              <c:f>'CALCUL DEET'!$C$81</c:f>
              <c:strCache>
                <c:ptCount val="1"/>
                <c:pt idx="0">
                  <c:v>Ajust. Refroidissement</c:v>
                </c:pt>
              </c:strCache>
            </c:strRef>
          </c:tx>
          <c:spPr>
            <a:solidFill>
              <a:schemeClr val="accent1">
                <a:lumMod val="40000"/>
                <a:lumOff val="60000"/>
              </a:schemeClr>
            </a:solidFill>
            <a:ln>
              <a:noFill/>
            </a:ln>
            <a:effectLst/>
          </c:spPr>
          <c:invertIfNegative val="0"/>
          <c:val>
            <c:numRef>
              <c:f>'CALCUL DEET'!$D$81:$P$81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5B2-44EB-8B9F-BC307877722C}"/>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2"/>
          <c:order val="5"/>
          <c:tx>
            <c:strRef>
              <c:f>'CALCUL DEET'!$C$82</c:f>
              <c:strCache>
                <c:ptCount val="1"/>
                <c:pt idx="0">
                  <c:v>Intensité totale ajustée</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accent3"/>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 DEET'!$D$54:$P$54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DEET'!$D$82:$P$82</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5B2-44EB-8B9F-BC307877722C}"/>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numRef>
              <c:f>'CALCUL DEET'!$D$54:$P$54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DEET'!$D$87:$P$87</c:f>
              <c:numCache>
                <c:formatCode>0%</c:formatCode>
                <c:ptCount val="13"/>
                <c:pt idx="0">
                  <c:v>0.18427000150670492</c:v>
                </c:pt>
                <c:pt idx="1">
                  <c:v>0</c:v>
                </c:pt>
                <c:pt idx="2">
                  <c:v>5.8567769431111388E-2</c:v>
                </c:pt>
                <c:pt idx="3">
                  <c:v>0.10893475968057865</c:v>
                </c:pt>
                <c:pt idx="4">
                  <c:v>0</c:v>
                </c:pt>
                <c:pt idx="5">
                  <c:v>0</c:v>
                </c:pt>
                <c:pt idx="6">
                  <c:v>4.2209259777438252E-2</c:v>
                </c:pt>
                <c:pt idx="7">
                  <c:v>0</c:v>
                </c:pt>
                <c:pt idx="8">
                  <c:v>0</c:v>
                </c:pt>
                <c:pt idx="9">
                  <c:v>0</c:v>
                </c:pt>
                <c:pt idx="10">
                  <c:v>0</c:v>
                </c:pt>
                <c:pt idx="11">
                  <c:v>2.4559288835317241E-2</c:v>
                </c:pt>
                <c:pt idx="12">
                  <c:v>0</c:v>
                </c:pt>
              </c:numCache>
            </c:numRef>
          </c:val>
          <c:extLst>
            <c:ext xmlns:c16="http://schemas.microsoft.com/office/drawing/2014/chart" uri="{C3380CC4-5D6E-409C-BE32-E72D297353CC}">
              <c16:uniqueId val="{00000000-E1DC-4205-828F-059D750E0A01}"/>
            </c:ext>
          </c:extLst>
        </c:ser>
        <c:ser>
          <c:idx val="1"/>
          <c:order val="1"/>
          <c:tx>
            <c:v>DJU négatif</c:v>
          </c:tx>
          <c:spPr>
            <a:solidFill>
              <a:srgbClr val="FF0000"/>
            </a:solidFill>
            <a:ln>
              <a:noFill/>
            </a:ln>
            <a:effectLst/>
          </c:spPr>
          <c:invertIfNegative val="0"/>
          <c:cat>
            <c:numRef>
              <c:f>'CALCUL DEET'!$D$54:$P$54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DEET'!$D$88:$P$88</c:f>
              <c:numCache>
                <c:formatCode>0%</c:formatCode>
                <c:ptCount val="13"/>
                <c:pt idx="0">
                  <c:v>0</c:v>
                </c:pt>
                <c:pt idx="1">
                  <c:v>-0.12438924643233812</c:v>
                </c:pt>
                <c:pt idx="2">
                  <c:v>0</c:v>
                </c:pt>
                <c:pt idx="3">
                  <c:v>0</c:v>
                </c:pt>
                <c:pt idx="4">
                  <c:v>-0.11147463354785933</c:v>
                </c:pt>
                <c:pt idx="5">
                  <c:v>-6.024666910609347E-2</c:v>
                </c:pt>
                <c:pt idx="6">
                  <c:v>0</c:v>
                </c:pt>
                <c:pt idx="7">
                  <c:v>-3.6569878817882359E-2</c:v>
                </c:pt>
                <c:pt idx="8">
                  <c:v>-7.5744204567468013E-2</c:v>
                </c:pt>
                <c:pt idx="9">
                  <c:v>-4.7332056221614682E-2</c:v>
                </c:pt>
                <c:pt idx="10">
                  <c:v>-0.15150993348974359</c:v>
                </c:pt>
                <c:pt idx="11">
                  <c:v>0</c:v>
                </c:pt>
                <c:pt idx="12">
                  <c:v>-0.13299898835532398</c:v>
                </c:pt>
              </c:numCache>
            </c:numRef>
          </c:val>
          <c:extLst>
            <c:ext xmlns:c16="http://schemas.microsoft.com/office/drawing/2014/chart" uri="{C3380CC4-5D6E-409C-BE32-E72D297353CC}">
              <c16:uniqueId val="{00000001-E1DC-4205-828F-059D750E0A01}"/>
            </c:ext>
          </c:extLst>
        </c:ser>
        <c:dLbls>
          <c:showLegendKey val="0"/>
          <c:showVal val="0"/>
          <c:showCatName val="0"/>
          <c:showSerName val="0"/>
          <c:showPercent val="0"/>
          <c:showBubbleSize val="0"/>
        </c:dLbls>
        <c:gapWidth val="219"/>
        <c:overlap val="100"/>
        <c:axId val="1053368136"/>
        <c:axId val="1053368464"/>
      </c:barChart>
      <c:scatterChart>
        <c:scatterStyle val="lineMarker"/>
        <c:varyColors val="0"/>
        <c:ser>
          <c:idx val="2"/>
          <c:order val="2"/>
          <c:tx>
            <c:v>evenements</c:v>
          </c:tx>
          <c:spPr>
            <a:ln w="25400" cap="rnd">
              <a:noFill/>
              <a:round/>
            </a:ln>
            <a:effectLst/>
          </c:spPr>
          <c:marker>
            <c:symbol val="circle"/>
            <c:size val="5"/>
            <c:spPr>
              <a:solidFill>
                <a:schemeClr val="bg1">
                  <a:alpha val="0"/>
                </a:schemeClr>
              </a:solidFill>
              <a:ln w="9525">
                <a:solidFill>
                  <a:schemeClr val="accent1">
                    <a:alpha val="0"/>
                  </a:schemeClr>
                </a:solidFill>
              </a:ln>
              <a:effectLst/>
            </c:spPr>
          </c:marker>
          <c:dLbls>
            <c:dLbl>
              <c:idx val="0"/>
              <c:tx>
                <c:rich>
                  <a:bodyPr/>
                  <a:lstStyle/>
                  <a:p>
                    <a:fld id="{9B7847D6-5739-4B6D-8103-B8D00716CEDF}"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B0B-43E6-9645-E3C95267BB19}"/>
                </c:ext>
              </c:extLst>
            </c:dLbl>
            <c:dLbl>
              <c:idx val="1"/>
              <c:layout>
                <c:manualLayout>
                  <c:x val="-5.8779696905340795E-2"/>
                  <c:y val="3.1913544364001477E-2"/>
                </c:manualLayout>
              </c:layout>
              <c:tx>
                <c:rich>
                  <a:bodyPr/>
                  <a:lstStyle/>
                  <a:p>
                    <a:fld id="{76C56200-02AF-430C-9756-7096A8F4454E}"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B0B-43E6-9645-E3C95267BB19}"/>
                </c:ext>
              </c:extLst>
            </c:dLbl>
            <c:dLbl>
              <c:idx val="2"/>
              <c:tx>
                <c:rich>
                  <a:bodyPr/>
                  <a:lstStyle/>
                  <a:p>
                    <a:fld id="{34D63E96-06D8-4738-B37C-3ECC1E12F4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0B-43E6-9645-E3C95267BB19}"/>
                </c:ext>
              </c:extLst>
            </c:dLbl>
            <c:dLbl>
              <c:idx val="3"/>
              <c:layout>
                <c:manualLayout>
                  <c:x val="-6.0389946715946226E-2"/>
                  <c:y val="5.2047772551920946E-2"/>
                </c:manualLayout>
              </c:layout>
              <c:tx>
                <c:rich>
                  <a:bodyPr/>
                  <a:lstStyle/>
                  <a:p>
                    <a:fld id="{178BCCC9-AAAB-43F9-B52F-89CB851A0E93}"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B0B-43E6-9645-E3C95267BB19}"/>
                </c:ext>
              </c:extLst>
            </c:dLbl>
            <c:dLbl>
              <c:idx val="4"/>
              <c:tx>
                <c:rich>
                  <a:bodyPr/>
                  <a:lstStyle/>
                  <a:p>
                    <a:fld id="{73C27F91-8E51-41CF-AE7C-9274E64E51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0B-43E6-9645-E3C95267BB19}"/>
                </c:ext>
              </c:extLst>
            </c:dLbl>
            <c:dLbl>
              <c:idx val="5"/>
              <c:layout>
                <c:manualLayout>
                  <c:x val="-5.5559197284129849E-2"/>
                  <c:y val="3.8624953759974635E-2"/>
                </c:manualLayout>
              </c:layout>
              <c:tx>
                <c:rich>
                  <a:bodyPr/>
                  <a:lstStyle/>
                  <a:p>
                    <a:fld id="{4D9BCFC3-AB7F-4890-8DD8-42F9CDE56638}"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B0B-43E6-9645-E3C95267BB19}"/>
                </c:ext>
              </c:extLst>
            </c:dLbl>
            <c:dLbl>
              <c:idx val="6"/>
              <c:tx>
                <c:rich>
                  <a:bodyPr/>
                  <a:lstStyle/>
                  <a:p>
                    <a:fld id="{55CA671B-7CD0-4F3D-89C8-8B0AC25C00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0B-43E6-9645-E3C95267BB19}"/>
                </c:ext>
              </c:extLst>
            </c:dLbl>
            <c:dLbl>
              <c:idx val="7"/>
              <c:layout>
                <c:manualLayout>
                  <c:x val="-6.0389946715946344E-2"/>
                  <c:y val="4.5336363155947787E-2"/>
                </c:manualLayout>
              </c:layout>
              <c:tx>
                <c:rich>
                  <a:bodyPr/>
                  <a:lstStyle/>
                  <a:p>
                    <a:fld id="{B7CCE0B0-2214-43C9-B088-944E903EDD3E}"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B0B-43E6-9645-E3C95267BB19}"/>
                </c:ext>
              </c:extLst>
            </c:dLbl>
            <c:dLbl>
              <c:idx val="8"/>
              <c:tx>
                <c:rich>
                  <a:bodyPr/>
                  <a:lstStyle/>
                  <a:p>
                    <a:fld id="{5A4D2BDE-2D17-47AA-9266-E891AAE8D5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0B-43E6-9645-E3C95267BB19}"/>
                </c:ext>
              </c:extLst>
            </c:dLbl>
            <c:dLbl>
              <c:idx val="9"/>
              <c:layout>
                <c:manualLayout>
                  <c:x val="-6.0389946715946226E-2"/>
                  <c:y val="4.5336363155947787E-2"/>
                </c:manualLayout>
              </c:layout>
              <c:tx>
                <c:rich>
                  <a:bodyPr/>
                  <a:lstStyle/>
                  <a:p>
                    <a:fld id="{37509D08-9991-43A0-9659-032B29B1AF7E}"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B0B-43E6-9645-E3C95267BB19}"/>
                </c:ext>
              </c:extLst>
            </c:dLbl>
            <c:dLbl>
              <c:idx val="10"/>
              <c:tx>
                <c:rich>
                  <a:bodyPr/>
                  <a:lstStyle/>
                  <a:p>
                    <a:fld id="{01AAEA98-4E12-4109-82A5-C974469D43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1FC-4204-A8EC-9A61843D564D}"/>
                </c:ext>
              </c:extLst>
            </c:dLbl>
            <c:dLbl>
              <c:idx val="11"/>
              <c:layout>
                <c:manualLayout>
                  <c:x val="-6.2000196526551685E-2"/>
                  <c:y val="4.5336363155947787E-2"/>
                </c:manualLayout>
              </c:layout>
              <c:tx>
                <c:rich>
                  <a:bodyPr/>
                  <a:lstStyle/>
                  <a:p>
                    <a:fld id="{B5ACA8EC-AFD0-42E8-B391-59C53317A217}"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1FC-4204-A8EC-9A61843D564D}"/>
                </c:ext>
              </c:extLst>
            </c:dLbl>
            <c:dLbl>
              <c:idx val="12"/>
              <c:tx>
                <c:rich>
                  <a:bodyPr/>
                  <a:lstStyle/>
                  <a:p>
                    <a:fld id="{727B99BD-FA44-476A-8919-FA25B25FBA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1FC-4204-A8EC-9A61843D564D}"/>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0"/>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DEET'!$D$90:$P$90</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5="http://schemas.microsoft.com/office/drawing/2012/chart" uri="{02D57815-91ED-43cb-92C2-25804820EDAC}">
              <c15:datalabelsRange>
                <c15:f>'CALCUL DEET'!$D$91:$P$91</c15:f>
                <c15:dlblRangeCache>
                  <c:ptCount val="13"/>
                </c15:dlblRangeCache>
              </c15:datalabelsRange>
            </c:ext>
            <c:ext xmlns:c16="http://schemas.microsoft.com/office/drawing/2014/chart" uri="{C3380CC4-5D6E-409C-BE32-E72D297353CC}">
              <c16:uniqueId val="{00000000-6B0B-43E6-9645-E3C95267BB1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Variation</a:t>
                </a:r>
                <a:r>
                  <a:rPr lang="fr-FR" b="1" baseline="0"/>
                  <a:t> des DJU (%) </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6044115803071"/>
          <c:y val="1.9540293960198924E-2"/>
          <c:w val="0.85851648397335578"/>
          <c:h val="0.76098725789373067"/>
        </c:manualLayout>
      </c:layout>
      <c:areaChart>
        <c:grouping val="standard"/>
        <c:varyColors val="0"/>
        <c:ser>
          <c:idx val="5"/>
          <c:order val="0"/>
          <c:tx>
            <c:strRef>
              <c:f>'CALCUL DEET'!$C$47</c:f>
              <c:strCache>
                <c:ptCount val="1"/>
                <c:pt idx="0">
                  <c:v>INF</c:v>
                </c:pt>
              </c:strCache>
            </c:strRef>
          </c:tx>
          <c:spPr>
            <a:solidFill>
              <a:schemeClr val="bg1">
                <a:lumMod val="85000"/>
              </a:schemeClr>
            </a:solidFill>
            <a:ln>
              <a:noFill/>
            </a:ln>
            <a:effectLst/>
          </c:spPr>
          <c:val>
            <c:numRef>
              <c:f>'CALCUL DEET'!$D$47:$O$47</c:f>
              <c:numCache>
                <c:formatCode>General</c:formatCode>
                <c:ptCount val="12"/>
                <c:pt idx="0">
                  <c:v>50</c:v>
                </c:pt>
                <c:pt idx="1">
                  <c:v>50</c:v>
                </c:pt>
                <c:pt idx="2">
                  <c:v>50</c:v>
                </c:pt>
                <c:pt idx="3">
                  <c:v>50</c:v>
                </c:pt>
                <c:pt idx="4">
                  <c:v>50</c:v>
                </c:pt>
                <c:pt idx="5">
                  <c:v>50</c:v>
                </c:pt>
                <c:pt idx="6">
                  <c:v>50</c:v>
                </c:pt>
                <c:pt idx="7">
                  <c:v>50</c:v>
                </c:pt>
                <c:pt idx="8">
                  <c:v>50</c:v>
                </c:pt>
                <c:pt idx="9">
                  <c:v>50</c:v>
                </c:pt>
                <c:pt idx="10">
                  <c:v>50</c:v>
                </c:pt>
                <c:pt idx="11">
                  <c:v>50</c:v>
                </c:pt>
              </c:numCache>
            </c:numRef>
          </c:val>
          <c:extLst>
            <c:ext xmlns:c16="http://schemas.microsoft.com/office/drawing/2014/chart" uri="{C3380CC4-5D6E-409C-BE32-E72D297353CC}">
              <c16:uniqueId val="{00000000-1F47-40A8-BBA1-F6EE8600AB07}"/>
            </c:ext>
          </c:extLst>
        </c:ser>
        <c:ser>
          <c:idx val="4"/>
          <c:order val="1"/>
          <c:tx>
            <c:strRef>
              <c:f>'CALCUL DEET'!$C$46</c:f>
              <c:strCache>
                <c:ptCount val="1"/>
                <c:pt idx="0">
                  <c:v>Valeur référence</c:v>
                </c:pt>
              </c:strCache>
            </c:strRef>
          </c:tx>
          <c:spPr>
            <a:solidFill>
              <a:schemeClr val="accent2">
                <a:lumMod val="40000"/>
                <a:lumOff val="6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DEET'!$D$46:$O$46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47-40A8-BBA1-F6EE8600AB07}"/>
            </c:ext>
          </c:extLst>
        </c:ser>
        <c:ser>
          <c:idx val="3"/>
          <c:order val="2"/>
          <c:tx>
            <c:strRef>
              <c:f>'CALCUL DEET'!$C$45</c:f>
              <c:strCache>
                <c:ptCount val="1"/>
                <c:pt idx="0">
                  <c:v>rampe limite haute</c:v>
                </c:pt>
              </c:strCache>
            </c:strRef>
          </c:tx>
          <c:spPr>
            <a:solidFill>
              <a:schemeClr val="accent6">
                <a:lumMod val="40000"/>
                <a:lumOff val="6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DEET'!$D$45:$O$45</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47-40A8-BBA1-F6EE8600AB07}"/>
            </c:ext>
          </c:extLst>
        </c:ser>
        <c:ser>
          <c:idx val="2"/>
          <c:order val="3"/>
          <c:tx>
            <c:strRef>
              <c:f>'CALCUL DEET'!$C$44</c:f>
              <c:strCache>
                <c:ptCount val="1"/>
                <c:pt idx="0">
                  <c:v>objectif anuel</c:v>
                </c:pt>
              </c:strCache>
            </c:strRef>
          </c:tx>
          <c:spPr>
            <a:solidFill>
              <a:schemeClr val="accent6">
                <a:lumMod val="40000"/>
                <a:lumOff val="60000"/>
              </a:schemeClr>
            </a:solidFill>
            <a:ln>
              <a:solidFill>
                <a:schemeClr val="tx1"/>
              </a:solidFill>
              <a:prstDash val="dash"/>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DEET'!$D$44:$O$44</c:f>
              <c:numCache>
                <c:formatCode>General</c:formatCode>
                <c:ptCount val="12"/>
                <c:pt idx="0">
                  <c:v>0</c:v>
                </c:pt>
                <c:pt idx="1">
                  <c:v>0</c:v>
                </c:pt>
                <c:pt idx="2" formatCode="_-* #\ ##0.0\ _€_-;\-* #\ ##0.0\ _€_-;_-* \-??\ _€_-;_-@_-">
                  <c:v>0</c:v>
                </c:pt>
                <c:pt idx="3" formatCode="_-* #\ ##0.0\ _€_-;\-* #\ ##0.0\ _€_-;_-* \-??\ _€_-;_-@_-">
                  <c:v>0</c:v>
                </c:pt>
                <c:pt idx="4" formatCode="_-* #\ ##0.0\ _€_-;\-* #\ ##0.0\ _€_-;_-* \-??\ _€_-;_-@_-">
                  <c:v>0</c:v>
                </c:pt>
                <c:pt idx="5" formatCode="_-* #\ ##0.0\ _€_-;\-* #\ ##0.0\ _€_-;_-* \-??\ _€_-;_-@_-">
                  <c:v>0</c:v>
                </c:pt>
                <c:pt idx="6" formatCode="_-* #\ ##0.0\ _€_-;\-* #\ ##0.0\ _€_-;_-* \-??\ _€_-;_-@_-">
                  <c:v>0</c:v>
                </c:pt>
                <c:pt idx="7" formatCode="_-* #\ ##0.0\ _€_-;\-* #\ ##0.0\ _€_-;_-* \-??\ _€_-;_-@_-">
                  <c:v>0</c:v>
                </c:pt>
                <c:pt idx="8" formatCode="_-* #\ ##0.0\ _€_-;\-* #\ ##0.0\ _€_-;_-* \-??\ _€_-;_-@_-">
                  <c:v>0</c:v>
                </c:pt>
                <c:pt idx="9" formatCode="_-* #\ ##0.0\ _€_-;\-* #\ ##0.0\ _€_-;_-* \-??\ _€_-;_-@_-">
                  <c:v>0</c:v>
                </c:pt>
                <c:pt idx="10" formatCode="_-* #\ ##0.0\ _€_-;\-* #\ ##0.0\ _€_-;_-* \-??\ _€_-;_-@_-">
                  <c:v>0</c:v>
                </c:pt>
                <c:pt idx="11" formatCode="_-* #\ ##0.0\ _€_-;\-* #\ ##0.0\ _€_-;_-* \-??\ _€_-;_-@_-">
                  <c:v>0</c:v>
                </c:pt>
              </c:numCache>
            </c:numRef>
          </c:val>
          <c:extLst>
            <c:ext xmlns:c16="http://schemas.microsoft.com/office/drawing/2014/chart" uri="{C3380CC4-5D6E-409C-BE32-E72D297353CC}">
              <c16:uniqueId val="{00000003-1F47-40A8-BBA1-F6EE8600AB07}"/>
            </c:ext>
          </c:extLst>
        </c:ser>
        <c:ser>
          <c:idx val="1"/>
          <c:order val="4"/>
          <c:tx>
            <c:strRef>
              <c:f>'CALCUL DEET'!$C$43</c:f>
              <c:strCache>
                <c:ptCount val="1"/>
                <c:pt idx="0">
                  <c:v>rampe limite basse</c:v>
                </c:pt>
              </c:strCache>
            </c:strRef>
          </c:tx>
          <c:spPr>
            <a:solidFill>
              <a:schemeClr val="accent6">
                <a:lumMod val="60000"/>
                <a:lumOff val="4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DEET'!$D$43:$O$43</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F47-40A8-BBA1-F6EE8600AB07}"/>
            </c:ext>
          </c:extLst>
        </c:ser>
        <c:ser>
          <c:idx val="0"/>
          <c:order val="5"/>
          <c:tx>
            <c:strRef>
              <c:f>'CALCUL DEET'!$C$42:$C$43</c:f>
              <c:strCache>
                <c:ptCount val="1"/>
                <c:pt idx="0">
                  <c:v>objectif -40 rampe limite basse</c:v>
                </c:pt>
              </c:strCache>
            </c:strRef>
          </c:tx>
          <c:spPr>
            <a:solidFill>
              <a:schemeClr val="accent6">
                <a:lumMod val="75000"/>
              </a:schemeClr>
            </a:solidFill>
            <a:ln>
              <a:solidFill>
                <a:schemeClr val="tx1"/>
              </a:solid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DEET'!$D$42:$O$42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F47-40A8-BBA1-F6EE8600AB07}"/>
            </c:ext>
          </c:extLst>
        </c:ser>
        <c:dLbls>
          <c:showLegendKey val="0"/>
          <c:showVal val="0"/>
          <c:showCatName val="0"/>
          <c:showSerName val="0"/>
          <c:showPercent val="0"/>
          <c:showBubbleSize val="0"/>
        </c:dLbls>
        <c:axId val="983358736"/>
        <c:axId val="983362344"/>
      </c:areaChart>
      <c:barChart>
        <c:barDir val="col"/>
        <c:grouping val="stacked"/>
        <c:varyColors val="0"/>
        <c:ser>
          <c:idx val="6"/>
          <c:order val="7"/>
          <c:tx>
            <c:strRef>
              <c:f>'CALCUL DEET'!$C$33</c:f>
              <c:strCache>
                <c:ptCount val="1"/>
                <c:pt idx="0">
                  <c:v>Electricité</c:v>
                </c:pt>
              </c:strCache>
            </c:strRef>
          </c:tx>
          <c:spPr>
            <a:solidFill>
              <a:schemeClr val="accent1"/>
            </a:solidFill>
            <a:ln w="25400">
              <a:noFill/>
            </a:ln>
            <a:effectLst/>
          </c:spPr>
          <c:invertIfNegative val="0"/>
          <c:val>
            <c:numRef>
              <c:f>'CALCUL DEET'!$D$33:$O$33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F47-40A8-BBA1-F6EE8600AB07}"/>
            </c:ext>
          </c:extLst>
        </c:ser>
        <c:ser>
          <c:idx val="12"/>
          <c:order val="8"/>
          <c:tx>
            <c:strRef>
              <c:f>'CALCUL DEET'!$C$35</c:f>
              <c:strCache>
                <c:ptCount val="1"/>
                <c:pt idx="0">
                  <c:v>ECS+Cuisson estimées</c:v>
                </c:pt>
              </c:strCache>
            </c:strRef>
          </c:tx>
          <c:spPr>
            <a:solidFill>
              <a:srgbClr val="CC99FF"/>
            </a:solidFill>
            <a:ln>
              <a:noFill/>
            </a:ln>
            <a:effectLst/>
          </c:spPr>
          <c:invertIfNegative val="0"/>
          <c:val>
            <c:numRef>
              <c:f>'CALCUL DEET'!$D$35:$O$35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55-4D09-89E4-C79568CC4EB8}"/>
            </c:ext>
          </c:extLst>
        </c:ser>
        <c:ser>
          <c:idx val="7"/>
          <c:order val="9"/>
          <c:tx>
            <c:strRef>
              <c:f>'CALCUL DEET'!$C$36</c:f>
              <c:strCache>
                <c:ptCount val="1"/>
                <c:pt idx="0">
                  <c:v>Chauffage</c:v>
                </c:pt>
              </c:strCache>
            </c:strRef>
          </c:tx>
          <c:spPr>
            <a:solidFill>
              <a:schemeClr val="accent4"/>
            </a:solidFill>
            <a:ln>
              <a:noFill/>
            </a:ln>
            <a:effectLst/>
          </c:spPr>
          <c:invertIfNegative val="0"/>
          <c:val>
            <c:numRef>
              <c:f>'CALCUL DEET'!$D$36:$O$36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F47-40A8-BBA1-F6EE8600AB07}"/>
            </c:ext>
          </c:extLst>
        </c:ser>
        <c:ser>
          <c:idx val="8"/>
          <c:order val="10"/>
          <c:tx>
            <c:strRef>
              <c:f>'CALCUL DEET'!$C$37</c:f>
              <c:strCache>
                <c:ptCount val="1"/>
                <c:pt idx="0">
                  <c:v>Ajust. Chauffage</c:v>
                </c:pt>
              </c:strCache>
            </c:strRef>
          </c:tx>
          <c:spPr>
            <a:solidFill>
              <a:srgbClr val="FF0000"/>
            </a:solidFill>
            <a:ln>
              <a:noFill/>
            </a:ln>
            <a:effectLst/>
          </c:spPr>
          <c:invertIfNegative val="0"/>
          <c:val>
            <c:numRef>
              <c:f>'CALCUL DEET'!$D$37:$O$37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A6-4B3C-B4D9-103133D1EC98}"/>
            </c:ext>
          </c:extLst>
        </c:ser>
        <c:ser>
          <c:idx val="9"/>
          <c:order val="11"/>
          <c:tx>
            <c:strRef>
              <c:f>'CALCUL DEET'!$C$38</c:f>
              <c:strCache>
                <c:ptCount val="1"/>
                <c:pt idx="0">
                  <c:v>Ajust. Refroidissement</c:v>
                </c:pt>
              </c:strCache>
            </c:strRef>
          </c:tx>
          <c:spPr>
            <a:solidFill>
              <a:schemeClr val="accent1">
                <a:lumMod val="40000"/>
                <a:lumOff val="60000"/>
              </a:schemeClr>
            </a:solidFill>
            <a:ln>
              <a:noFill/>
            </a:ln>
            <a:effectLst/>
          </c:spPr>
          <c:invertIfNegative val="0"/>
          <c:val>
            <c:numRef>
              <c:f>'CALCUL DEET'!$D$38:$O$38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A6-4B3C-B4D9-103133D1EC98}"/>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11"/>
          <c:order val="6"/>
          <c:tx>
            <c:v>Cabs</c:v>
          </c:tx>
          <c:spPr>
            <a:ln w="12700" cap="rnd">
              <a:solidFill>
                <a:srgbClr val="FF0000"/>
              </a:solidFill>
              <a:round/>
            </a:ln>
            <a:effectLst/>
          </c:spPr>
          <c:marker>
            <c:symbol val="none"/>
          </c:marker>
          <c:val>
            <c:numRef>
              <c:f>'CALCUL DEET'!$D$48:$O$48</c:f>
              <c:numCache>
                <c:formatCode>General</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3CF-4EB9-81B2-3880E5299E23}"/>
            </c:ext>
          </c:extLst>
        </c:ser>
        <c:ser>
          <c:idx val="10"/>
          <c:order val="12"/>
          <c:tx>
            <c:strRef>
              <c:f>'CALCUL DEET'!$C$39</c:f>
              <c:strCache>
                <c:ptCount val="1"/>
                <c:pt idx="0">
                  <c:v>Intensité totale ajustée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 DEET'!$D$39:$O$39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DA6-4B3C-B4D9-103133D1EC98}"/>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accent1"/>
            </a:solidFill>
            <a:ln>
              <a:noFill/>
            </a:ln>
            <a:effectLst/>
          </c:spPr>
          <c:invertIfNegative val="0"/>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DEET'!$D$51:$O$51</c:f>
              <c:numCache>
                <c:formatCode>0%</c:formatCode>
                <c:ptCount val="12"/>
                <c:pt idx="0">
                  <c:v>0</c:v>
                </c:pt>
                <c:pt idx="1">
                  <c:v>0</c:v>
                </c:pt>
                <c:pt idx="2">
                  <c:v>2.4559288835317241E-2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CB-41E7-8B01-7A3E594CE61C}"/>
            </c:ext>
          </c:extLst>
        </c:ser>
        <c:ser>
          <c:idx val="1"/>
          <c:order val="2"/>
          <c:tx>
            <c:v>DJU négatif</c:v>
          </c:tx>
          <c:spPr>
            <a:solidFill>
              <a:srgbClr val="FF0000"/>
            </a:solidFill>
            <a:ln>
              <a:noFill/>
            </a:ln>
            <a:effectLst/>
          </c:spPr>
          <c:invertIfNegative val="0"/>
          <c:val>
            <c:numRef>
              <c:f>'CALCUL DEET'!$D$52:$O$52</c:f>
              <c:numCache>
                <c:formatCode>0%</c:formatCode>
                <c:ptCount val="12"/>
                <c:pt idx="0">
                  <c:v>0</c:v>
                </c:pt>
                <c:pt idx="1">
                  <c:v>-0.15150993348974359</c:v>
                </c:pt>
                <c:pt idx="2">
                  <c:v>0</c:v>
                </c:pt>
                <c:pt idx="3">
                  <c:v>-0.13299898835532398</c:v>
                </c:pt>
                <c:pt idx="4">
                  <c:v>-0.1566757786435351</c:v>
                </c:pt>
                <c:pt idx="5">
                  <c:v>-0.10028196904797772</c:v>
                </c:pt>
                <c:pt idx="6">
                  <c:v>-0.11922340127854661</c:v>
                </c:pt>
                <c:pt idx="7">
                  <c:v>0</c:v>
                </c:pt>
                <c:pt idx="8">
                  <c:v>0</c:v>
                </c:pt>
                <c:pt idx="9">
                  <c:v>0</c:v>
                </c:pt>
                <c:pt idx="10">
                  <c:v>0</c:v>
                </c:pt>
                <c:pt idx="11">
                  <c:v>0</c:v>
                </c:pt>
              </c:numCache>
            </c:numRef>
          </c:val>
          <c:extLst>
            <c:ext xmlns:c16="http://schemas.microsoft.com/office/drawing/2014/chart" uri="{C3380CC4-5D6E-409C-BE32-E72D297353CC}">
              <c16:uniqueId val="{00000001-19CB-41E7-8B01-7A3E594CE61C}"/>
            </c:ext>
          </c:extLst>
        </c:ser>
        <c:dLbls>
          <c:showLegendKey val="0"/>
          <c:showVal val="0"/>
          <c:showCatName val="0"/>
          <c:showSerName val="0"/>
          <c:showPercent val="0"/>
          <c:showBubbleSize val="0"/>
        </c:dLbls>
        <c:gapWidth val="219"/>
        <c:overlap val="-27"/>
        <c:axId val="1053368136"/>
        <c:axId val="1053368464"/>
      </c:barChart>
      <c:scatterChart>
        <c:scatterStyle val="lineMarker"/>
        <c:varyColors val="0"/>
        <c:ser>
          <c:idx val="2"/>
          <c:order val="0"/>
          <c:tx>
            <c:v>evenements</c:v>
          </c:tx>
          <c:spPr>
            <a:ln w="25400" cap="rnd">
              <a:noFill/>
              <a:round/>
            </a:ln>
            <a:effectLst/>
          </c:spPr>
          <c:marker>
            <c:symbol val="circle"/>
            <c:size val="5"/>
            <c:spPr>
              <a:solidFill>
                <a:schemeClr val="accent1">
                  <a:alpha val="0"/>
                </a:schemeClr>
              </a:solidFill>
              <a:ln w="9525">
                <a:solidFill>
                  <a:schemeClr val="accent1">
                    <a:shade val="50000"/>
                    <a:alpha val="2000"/>
                  </a:schemeClr>
                </a:solidFill>
              </a:ln>
              <a:effectLst/>
            </c:spPr>
          </c:marker>
          <c:dLbls>
            <c:dLbl>
              <c:idx val="0"/>
              <c:tx>
                <c:rich>
                  <a:bodyPr/>
                  <a:lstStyle/>
                  <a:p>
                    <a:fld id="{3ED7E267-E0EA-4111-90F8-46D7276EAA1B}"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CDD-44A1-A2A4-CEDBABA35829}"/>
                </c:ext>
              </c:extLst>
            </c:dLbl>
            <c:dLbl>
              <c:idx val="1"/>
              <c:tx>
                <c:rich>
                  <a:bodyPr/>
                  <a:lstStyle/>
                  <a:p>
                    <a:fld id="{B7007E70-5ECD-411E-93F9-3FF29E908CFC}"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CDD-44A1-A2A4-CEDBABA35829}"/>
                </c:ext>
              </c:extLst>
            </c:dLbl>
            <c:dLbl>
              <c:idx val="2"/>
              <c:tx>
                <c:rich>
                  <a:bodyPr/>
                  <a:lstStyle/>
                  <a:p>
                    <a:fld id="{A0207B6C-C471-476A-823E-6A7F141C9CB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DD-44A1-A2A4-CEDBABA35829}"/>
                </c:ext>
              </c:extLst>
            </c:dLbl>
            <c:dLbl>
              <c:idx val="3"/>
              <c:tx>
                <c:rich>
                  <a:bodyPr/>
                  <a:lstStyle/>
                  <a:p>
                    <a:fld id="{20116EBF-B486-41A1-82A9-2C0CC5405EFF}"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DD-44A1-A2A4-CEDBABA35829}"/>
                </c:ext>
              </c:extLst>
            </c:dLbl>
            <c:dLbl>
              <c:idx val="4"/>
              <c:tx>
                <c:rich>
                  <a:bodyPr/>
                  <a:lstStyle/>
                  <a:p>
                    <a:fld id="{6B951771-36D3-4735-970B-6191063B3EE1}"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DD-44A1-A2A4-CEDBABA35829}"/>
                </c:ext>
              </c:extLst>
            </c:dLbl>
            <c:dLbl>
              <c:idx val="5"/>
              <c:tx>
                <c:rich>
                  <a:bodyPr/>
                  <a:lstStyle/>
                  <a:p>
                    <a:fld id="{C09C01B3-8D1F-4A04-878A-740455041DD1}"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DD-44A1-A2A4-CEDBABA35829}"/>
                </c:ext>
              </c:extLst>
            </c:dLbl>
            <c:dLbl>
              <c:idx val="6"/>
              <c:tx>
                <c:rich>
                  <a:bodyPr/>
                  <a:lstStyle/>
                  <a:p>
                    <a:fld id="{99208B6A-9C57-42F7-9353-6171857310D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DD-44A1-A2A4-CEDBABA35829}"/>
                </c:ext>
              </c:extLst>
            </c:dLbl>
            <c:dLbl>
              <c:idx val="7"/>
              <c:tx>
                <c:rich>
                  <a:bodyPr/>
                  <a:lstStyle/>
                  <a:p>
                    <a:fld id="{FE7C65FD-9CEC-49D3-B7D8-140CE9308B85}"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DD-44A1-A2A4-CEDBABA35829}"/>
                </c:ext>
              </c:extLst>
            </c:dLbl>
            <c:dLbl>
              <c:idx val="8"/>
              <c:tx>
                <c:rich>
                  <a:bodyPr/>
                  <a:lstStyle/>
                  <a:p>
                    <a:fld id="{6BB3B478-EE52-447C-AE0D-042396FDEF0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DD-44A1-A2A4-CEDBABA35829}"/>
                </c:ext>
              </c:extLst>
            </c:dLbl>
            <c:dLbl>
              <c:idx val="9"/>
              <c:tx>
                <c:rich>
                  <a:bodyPr/>
                  <a:lstStyle/>
                  <a:p>
                    <a:fld id="{4BE93D86-5A5C-4171-875C-A62DFC5089F1}"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DD-44A1-A2A4-CEDBABA35829}"/>
                </c:ext>
              </c:extLst>
            </c:dLbl>
            <c:dLbl>
              <c:idx val="10"/>
              <c:tx>
                <c:rich>
                  <a:bodyPr/>
                  <a:lstStyle/>
                  <a:p>
                    <a:fld id="{4E92DFD7-AC05-4454-92F2-C2C172774C6D}"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DD-44A1-A2A4-CEDBABA35829}"/>
                </c:ext>
              </c:extLst>
            </c:dLbl>
            <c:dLbl>
              <c:idx val="11"/>
              <c:tx>
                <c:rich>
                  <a:bodyPr/>
                  <a:lstStyle/>
                  <a:p>
                    <a:fld id="{3AE13C1A-C96E-41A2-8C3C-98171E750B0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DD-44A1-A2A4-CEDBABA35829}"/>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DEET'!$D$9:$O$9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'CALCUL DEET'!$D$10:$O$10</c15:f>
                <c15:dlblRangeCache>
                  <c:ptCount val="12"/>
                </c15:dlblRangeCache>
              </c15:datalabelsRange>
            </c:ext>
            <c:ext xmlns:c16="http://schemas.microsoft.com/office/drawing/2014/chart" uri="{C3380CC4-5D6E-409C-BE32-E72D297353CC}">
              <c16:uniqueId val="{00000000-CCDD-44A1-A2A4-CEDBABA3582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Variation des DJU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CalculSuiviMensuel!$C$1</c:f>
              <c:strCache>
                <c:ptCount val="1"/>
                <c:pt idx="0">
                  <c:v>2024</c:v>
                </c:pt>
              </c:strCache>
            </c:strRef>
          </c:tx>
          <c:spPr>
            <a:solidFill>
              <a:schemeClr val="accent2"/>
            </a:solidFill>
            <a:ln>
              <a:noFill/>
            </a:ln>
            <a:effectLst/>
          </c:spPr>
          <c:invertIfNegative val="0"/>
          <c:dLbls>
            <c:dLbl>
              <c:idx val="0"/>
              <c:tx>
                <c:rich>
                  <a:bodyPr/>
                  <a:lstStyle/>
                  <a:p>
                    <a:fld id="{A62E0B35-24F7-4CE3-88B5-235B2656C8B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734-46BF-B62A-F36DB3276C1B}"/>
                </c:ext>
              </c:extLst>
            </c:dLbl>
            <c:dLbl>
              <c:idx val="1"/>
              <c:tx>
                <c:rich>
                  <a:bodyPr/>
                  <a:lstStyle/>
                  <a:p>
                    <a:fld id="{D6F75AF2-1393-4295-8303-3266E48A99A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734-46BF-B62A-F36DB3276C1B}"/>
                </c:ext>
              </c:extLst>
            </c:dLbl>
            <c:dLbl>
              <c:idx val="2"/>
              <c:tx>
                <c:rich>
                  <a:bodyPr/>
                  <a:lstStyle/>
                  <a:p>
                    <a:fld id="{13BB7703-C774-40CC-BAA0-FC74873B683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34-46BF-B62A-F36DB3276C1B}"/>
                </c:ext>
              </c:extLst>
            </c:dLbl>
            <c:dLbl>
              <c:idx val="3"/>
              <c:tx>
                <c:rich>
                  <a:bodyPr/>
                  <a:lstStyle/>
                  <a:p>
                    <a:fld id="{B71572FA-ACD6-49A7-B5AF-802FD0774B4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34-46BF-B62A-F36DB3276C1B}"/>
                </c:ext>
              </c:extLst>
            </c:dLbl>
            <c:dLbl>
              <c:idx val="4"/>
              <c:tx>
                <c:rich>
                  <a:bodyPr/>
                  <a:lstStyle/>
                  <a:p>
                    <a:fld id="{233DC1F8-3371-4C3F-9607-AE386671CB6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34-46BF-B62A-F36DB3276C1B}"/>
                </c:ext>
              </c:extLst>
            </c:dLbl>
            <c:dLbl>
              <c:idx val="5"/>
              <c:tx>
                <c:rich>
                  <a:bodyPr/>
                  <a:lstStyle/>
                  <a:p>
                    <a:fld id="{A88F0751-5501-4E3A-88F0-1234CA3C608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34-46BF-B62A-F36DB3276C1B}"/>
                </c:ext>
              </c:extLst>
            </c:dLbl>
            <c:dLbl>
              <c:idx val="6"/>
              <c:tx>
                <c:rich>
                  <a:bodyPr/>
                  <a:lstStyle/>
                  <a:p>
                    <a:fld id="{0048DC3B-05A2-4885-B4D4-349DEB052CD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34-46BF-B62A-F36DB3276C1B}"/>
                </c:ext>
              </c:extLst>
            </c:dLbl>
            <c:dLbl>
              <c:idx val="7"/>
              <c:tx>
                <c:rich>
                  <a:bodyPr/>
                  <a:lstStyle/>
                  <a:p>
                    <a:fld id="{8A624BAB-651F-4D7D-B328-255EB490045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34-46BF-B62A-F36DB3276C1B}"/>
                </c:ext>
              </c:extLst>
            </c:dLbl>
            <c:dLbl>
              <c:idx val="8"/>
              <c:tx>
                <c:rich>
                  <a:bodyPr/>
                  <a:lstStyle/>
                  <a:p>
                    <a:fld id="{C45A333B-B532-4056-8CC9-03233D9A40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34-46BF-B62A-F36DB3276C1B}"/>
                </c:ext>
              </c:extLst>
            </c:dLbl>
            <c:dLbl>
              <c:idx val="9"/>
              <c:tx>
                <c:rich>
                  <a:bodyPr/>
                  <a:lstStyle/>
                  <a:p>
                    <a:fld id="{FD823DBE-0D0C-4A4C-A6C4-E81AB91B6C5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34-46BF-B62A-F36DB3276C1B}"/>
                </c:ext>
              </c:extLst>
            </c:dLbl>
            <c:dLbl>
              <c:idx val="10"/>
              <c:tx>
                <c:rich>
                  <a:bodyPr/>
                  <a:lstStyle/>
                  <a:p>
                    <a:fld id="{21BA27C1-514A-4394-AFF7-A6F82EF1014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34-46BF-B62A-F36DB3276C1B}"/>
                </c:ext>
              </c:extLst>
            </c:dLbl>
            <c:dLbl>
              <c:idx val="11"/>
              <c:tx>
                <c:rich>
                  <a:bodyPr/>
                  <a:lstStyle/>
                  <a:p>
                    <a:fld id="{1677D763-4E7E-4951-A868-EA234092EFB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34-46BF-B62A-F36DB3276C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CalculSuiviMensuel!$D$4:$D$27</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CalculSuiviMensuel!$H$4:$H$15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CalculSuiviMensuel!$I$16:$I$27</c15:f>
                <c15:dlblRangeCache>
                  <c:ptCount val="12"/>
                  <c:pt idx="0">
                    <c:v>#REF!</c:v>
                  </c:pt>
                  <c:pt idx="1">
                    <c:v>#REF!</c:v>
                  </c:pt>
                  <c:pt idx="2">
                    <c:v>#REF!</c:v>
                  </c:pt>
                  <c:pt idx="3">
                    <c:v>#REF!</c:v>
                  </c:pt>
                  <c:pt idx="4">
                    <c:v>#REF!</c:v>
                  </c:pt>
                  <c:pt idx="5">
                    <c:v>#REF!</c:v>
                  </c:pt>
                  <c:pt idx="6">
                    <c:v>#REF!</c:v>
                  </c:pt>
                  <c:pt idx="7">
                    <c:v>#REF!</c:v>
                  </c:pt>
                  <c:pt idx="8">
                    <c:v>#REF!</c:v>
                  </c:pt>
                  <c:pt idx="9">
                    <c:v>#REF!</c:v>
                  </c:pt>
                  <c:pt idx="10">
                    <c:v>#REF!</c:v>
                  </c:pt>
                  <c:pt idx="11">
                    <c:v>#REF!</c:v>
                  </c:pt>
                </c15:dlblRangeCache>
              </c15:datalabelsRange>
            </c:ext>
            <c:ext xmlns:c16="http://schemas.microsoft.com/office/drawing/2014/chart" uri="{C3380CC4-5D6E-409C-BE32-E72D297353CC}">
              <c16:uniqueId val="{0000000C-D734-46BF-B62A-F36DB3276C1B}"/>
            </c:ext>
          </c:extLst>
        </c:ser>
        <c:ser>
          <c:idx val="1"/>
          <c:order val="1"/>
          <c:tx>
            <c:strRef>
              <c:f>CalculSuiviMensuel!$C$2</c:f>
              <c:strCache>
                <c:ptCount val="1"/>
                <c:pt idx="0">
                  <c:v>2025</c:v>
                </c:pt>
              </c:strCache>
            </c:strRef>
          </c:tx>
          <c:spPr>
            <a:solidFill>
              <a:schemeClr val="accent4"/>
            </a:solidFill>
            <a:ln>
              <a:noFill/>
            </a:ln>
            <a:effectLst/>
          </c:spPr>
          <c:invertIfNegative val="0"/>
          <c:dLbls>
            <c:delete val="1"/>
          </c:dLbls>
          <c:cat>
            <c:strRef>
              <c:f>CalculSuiviMensuel!$D$4:$D$27</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CalculSuiviMensuel!$H$16:$H$27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734-46BF-B62A-F36DB3276C1B}"/>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a:t>
                </a:r>
                <a:r>
                  <a:rPr lang="fr-FR" baseline="0"/>
                  <a:t> </a:t>
                </a:r>
                <a:r>
                  <a:rPr lang="fr-FR"/>
                  <a:t>mensuelle EF PCI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9" fmlaLink="'CALCUL DEET'!$D$7" fmlaRange="$B$7:$B$20" noThreeD="1" sel="1" val="0"/>
</file>

<file path=xl/ctrlProps/ctrlProp10.xml><?xml version="1.0" encoding="utf-8"?>
<formControlPr xmlns="http://schemas.microsoft.com/office/spreadsheetml/2009/9/main" objectType="Drop" dropStyle="combo" dx="39" fmlaLink="CalculSuiviMensuel!$B$2" fmlaRange="Site!$B$8:$B$28" noThreeD="1" sel="16" val="13"/>
</file>

<file path=xl/ctrlProps/ctrlProp11.xml><?xml version="1.0" encoding="utf-8"?>
<formControlPr xmlns="http://schemas.microsoft.com/office/spreadsheetml/2009/9/main" objectType="Drop" dropStyle="combo" dx="39" fmlaLink="CalculSuiviMensuel!$H$1" fmlaRange="Liste!$S$16:$S$17" noThreeD="1" sel="2" val="0"/>
</file>

<file path=xl/ctrlProps/ctrlProp12.xml><?xml version="1.0" encoding="utf-8"?>
<formControlPr xmlns="http://schemas.microsoft.com/office/spreadsheetml/2009/9/main" objectType="Drop" dropStyle="combo" dx="39" fmlaLink="CalculSuiviMensuel!$H$35" fmlaRange="Liste!$S$16:$S$17" noThreeD="1" sel="1" val="0"/>
</file>

<file path=xl/ctrlProps/ctrlProp2.xml><?xml version="1.0" encoding="utf-8"?>
<formControlPr xmlns="http://schemas.microsoft.com/office/spreadsheetml/2009/9/main" objectType="Drop" dropStyle="combo" dx="39" fmlaLink="Controle_des_données!$B$16" fmlaRange="Liste!$B$25:$B$33" noThreeD="1" sel="3" val="0"/>
</file>

<file path=xl/ctrlProps/ctrlProp3.xml><?xml version="1.0" encoding="utf-8"?>
<formControlPr xmlns="http://schemas.microsoft.com/office/spreadsheetml/2009/9/main" objectType="Drop" dropStyle="combo" dx="39" fmlaLink="'CALCUL DEET'!$R$13" fmlaRange="Site!$B$18:$B$28" noThreeD="1" sel="6" val="3"/>
</file>

<file path=xl/ctrlProps/ctrlProp4.xml><?xml version="1.0" encoding="utf-8"?>
<formControlPr xmlns="http://schemas.microsoft.com/office/spreadsheetml/2009/9/main" objectType="Drop" dropStyle="combo" dx="39" fmlaLink="Controle_des_données!$B$40" fmlaRange="Liste!$Q$15:$Q$17" noThreeD="1" sel="3" val="0"/>
</file>

<file path=xl/ctrlProps/ctrlProp5.xml><?xml version="1.0" encoding="utf-8"?>
<formControlPr xmlns="http://schemas.microsoft.com/office/spreadsheetml/2009/9/main" objectType="Drop" dropStyle="combo" dx="39" fmlaLink="Controle_des_données!$B$42" fmlaRange="Liste!$R$15:$R$18" noThreeD="1" sel="2" val="0"/>
</file>

<file path=xl/ctrlProps/ctrlProp6.xml><?xml version="1.0" encoding="utf-8"?>
<formControlPr xmlns="http://schemas.microsoft.com/office/spreadsheetml/2009/9/main" objectType="Drop" dropStyle="combo" dx="39" fmlaLink="Controle_des_données!$C$43" fmlaRange="Liste!$S$15:$S$18" noThreeD="1" sel="2" val="0"/>
</file>

<file path=xl/ctrlProps/ctrlProp7.xml><?xml version="1.0" encoding="utf-8"?>
<formControlPr xmlns="http://schemas.microsoft.com/office/spreadsheetml/2009/9/main" objectType="Drop" dropStyle="combo" dx="39" fmlaLink="Controle_des_données!$C$44" fmlaRange="Liste!$S$15:$S$17" noThreeD="1" sel="3" val="0"/>
</file>

<file path=xl/ctrlProps/ctrlProp8.xml><?xml version="1.0" encoding="utf-8"?>
<formControlPr xmlns="http://schemas.microsoft.com/office/spreadsheetml/2009/9/main" objectType="Drop" dropStyle="combo" dx="39" fmlaLink="Controle_des_données!$C$33" fmlaRange="Liste!$P$3:$P$7" noThreeD="1" sel="1" val="0"/>
</file>

<file path=xl/ctrlProps/ctrlProp9.xml><?xml version="1.0" encoding="utf-8"?>
<formControlPr xmlns="http://schemas.microsoft.com/office/spreadsheetml/2009/9/main" objectType="Drop" dropStyle="combo" dx="39" fmlaLink="CalculSuiviMensuel!$B$1" fmlaRange="Site!$B$8:$B$28" noThreeD="1" sel="15" val="13"/>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jpeg"/><Relationship Id="rId1" Type="http://schemas.openxmlformats.org/officeDocument/2006/relationships/image" Target="../media/image2.png"/><Relationship Id="rId5" Type="http://schemas.openxmlformats.org/officeDocument/2006/relationships/chart" Target="../charts/chart11.xml"/><Relationship Id="rId4"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3.jpeg"/><Relationship Id="rId1" Type="http://schemas.openxmlformats.org/officeDocument/2006/relationships/image" Target="../media/image2.png"/><Relationship Id="rId4"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chart" Target="../charts/chart14.xml"/><Relationship Id="rId4"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3.jpe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https://app-anap.shinyapps.io/optiturpe_1/" TargetMode="External"/><Relationship Id="rId1" Type="http://schemas.openxmlformats.org/officeDocument/2006/relationships/hyperlink" Target="#Site!A1"/></Relationships>
</file>

<file path=xl/drawings/_rels/drawing18.xml.rels><?xml version="1.0" encoding="UTF-8" standalone="yes"?>
<Relationships xmlns="http://schemas.openxmlformats.org/package/2006/relationships"><Relationship Id="rId1" Type="http://schemas.openxmlformats.org/officeDocument/2006/relationships/hyperlink" Target="#Site!A1"/></Relationships>
</file>

<file path=xl/drawings/_rels/drawing19.xml.rels><?xml version="1.0" encoding="UTF-8" standalone="yes"?>
<Relationships xmlns="http://schemas.openxmlformats.org/package/2006/relationships"><Relationship Id="rId1" Type="http://schemas.openxmlformats.org/officeDocument/2006/relationships/hyperlink" Target="#Site!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Site!A1"/></Relationships>
</file>

<file path=xl/drawings/_rels/drawing21.xml.rels><?xml version="1.0" encoding="UTF-8" standalone="yes"?>
<Relationships xmlns="http://schemas.openxmlformats.org/package/2006/relationships"><Relationship Id="rId1" Type="http://schemas.openxmlformats.org/officeDocument/2006/relationships/hyperlink" Target="#Site!A1"/></Relationships>
</file>

<file path=xl/drawings/_rels/drawing22.xml.rels><?xml version="1.0" encoding="UTF-8" standalone="yes"?>
<Relationships xmlns="http://schemas.openxmlformats.org/package/2006/relationships"><Relationship Id="rId1" Type="http://schemas.openxmlformats.org/officeDocument/2006/relationships/hyperlink" Target="#Site!A1"/></Relationships>
</file>

<file path=xl/drawings/_rels/drawing23.xml.rels><?xml version="1.0" encoding="UTF-8" standalone="yes"?>
<Relationships xmlns="http://schemas.openxmlformats.org/package/2006/relationships"><Relationship Id="rId1" Type="http://schemas.openxmlformats.org/officeDocument/2006/relationships/hyperlink" Target="#Site!A1"/></Relationships>
</file>

<file path=xl/drawings/_rels/drawing24.xml.rels><?xml version="1.0" encoding="UTF-8" standalone="yes"?>
<Relationships xmlns="http://schemas.openxmlformats.org/package/2006/relationships"><Relationship Id="rId1" Type="http://schemas.openxmlformats.org/officeDocument/2006/relationships/hyperlink" Target="#Site!A1"/></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hyperlink" Target="https://app-anap.shinyapps.io/shinydju/" TargetMode="External"/><Relationship Id="rId2" Type="http://schemas.openxmlformats.org/officeDocument/2006/relationships/hyperlink" Target="#Site!A1"/><Relationship Id="rId1" Type="http://schemas.openxmlformats.org/officeDocument/2006/relationships/hyperlink" Target="https://www.mapes-pdl.fr/outils-et-documentations/ete-suivi-energetique/"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Compteur_8!A1"/><Relationship Id="rId13" Type="http://schemas.openxmlformats.org/officeDocument/2006/relationships/hyperlink" Target="#DJU!A1"/><Relationship Id="rId3" Type="http://schemas.openxmlformats.org/officeDocument/2006/relationships/hyperlink" Target="#Compteur_3!A1"/><Relationship Id="rId7" Type="http://schemas.openxmlformats.org/officeDocument/2006/relationships/hyperlink" Target="#Compteur_7!A1"/><Relationship Id="rId12" Type="http://schemas.openxmlformats.org/officeDocument/2006/relationships/hyperlink" Target="https://www.mapes-pdl.fr/outils-et-documentations/conseiller-energie-partage/" TargetMode="External"/><Relationship Id="rId2" Type="http://schemas.openxmlformats.org/officeDocument/2006/relationships/hyperlink" Target="#Compteur_2!A1"/><Relationship Id="rId1" Type="http://schemas.openxmlformats.org/officeDocument/2006/relationships/hyperlink" Target="#Compteur_1!A1"/><Relationship Id="rId6" Type="http://schemas.openxmlformats.org/officeDocument/2006/relationships/hyperlink" Target="#Compteur_6!A1"/><Relationship Id="rId11" Type="http://schemas.openxmlformats.org/officeDocument/2006/relationships/hyperlink" Target="https://www.youtube.com/watch?v=XnnTb-vb2Dk" TargetMode="External"/><Relationship Id="rId5" Type="http://schemas.openxmlformats.org/officeDocument/2006/relationships/hyperlink" Target="#Compteur_5!A1"/><Relationship Id="rId10" Type="http://schemas.openxmlformats.org/officeDocument/2006/relationships/image" Target="../media/image3.jpeg"/><Relationship Id="rId4" Type="http://schemas.openxmlformats.org/officeDocument/2006/relationships/hyperlink" Target="#Compteur_4!A1"/><Relationship Id="rId9"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6.jpeg"/><Relationship Id="rId7"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1.xml"/><Relationship Id="rId11" Type="http://schemas.openxmlformats.org/officeDocument/2006/relationships/hyperlink" Target="#Synth&#232;se!A1"/><Relationship Id="rId5" Type="http://schemas.openxmlformats.org/officeDocument/2006/relationships/image" Target="../media/image3.jpeg"/><Relationship Id="rId10" Type="http://schemas.openxmlformats.org/officeDocument/2006/relationships/chart" Target="../charts/chart4.xml"/><Relationship Id="rId4" Type="http://schemas.openxmlformats.org/officeDocument/2006/relationships/image" Target="../media/image2.png"/><Relationship Id="rId9"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chart" Target="../charts/chart5.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chart" Target="../charts/chart7.xml"/><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171450</xdr:colOff>
      <xdr:row>25</xdr:row>
      <xdr:rowOff>123825</xdr:rowOff>
    </xdr:from>
    <xdr:to>
      <xdr:col>17</xdr:col>
      <xdr:colOff>180972</xdr:colOff>
      <xdr:row>38</xdr:row>
      <xdr:rowOff>114300</xdr:rowOff>
    </xdr:to>
    <mc:AlternateContent xmlns:mc="http://schemas.openxmlformats.org/markup-compatibility/2006" xmlns:a14="http://schemas.microsoft.com/office/drawing/2010/main">
      <mc:Choice Requires="a14">
        <xdr:graphicFrame macro="">
          <xdr:nvGraphicFramePr>
            <xdr:cNvPr id="4" name="Département">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Département"/>
            </a:graphicData>
          </a:graphic>
        </xdr:graphicFrame>
      </mc:Choice>
      <mc:Fallback xmlns="">
        <xdr:sp macro="" textlink="">
          <xdr:nvSpPr>
            <xdr:cNvPr id="0" name=""/>
            <xdr:cNvSpPr>
              <a:spLocks noTextEdit="1"/>
            </xdr:cNvSpPr>
          </xdr:nvSpPr>
          <xdr:spPr>
            <a:xfrm>
              <a:off x="9610725" y="5410200"/>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6</xdr:col>
      <xdr:colOff>685800</xdr:colOff>
      <xdr:row>25</xdr:row>
      <xdr:rowOff>133350</xdr:rowOff>
    </xdr:from>
    <xdr:to>
      <xdr:col>9</xdr:col>
      <xdr:colOff>104772</xdr:colOff>
      <xdr:row>38</xdr:row>
      <xdr:rowOff>123825</xdr:rowOff>
    </xdr:to>
    <mc:AlternateContent xmlns:mc="http://schemas.openxmlformats.org/markup-compatibility/2006" xmlns:a14="http://schemas.microsoft.com/office/drawing/2010/main">
      <mc:Choice Requires="a14">
        <xdr:graphicFrame macro="">
          <xdr:nvGraphicFramePr>
            <xdr:cNvPr id="5" name="Region">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6858000" y="5419725"/>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2" name="ZoneTexte 1">
          <a:extLst>
            <a:ext uri="{FF2B5EF4-FFF2-40B4-BE49-F238E27FC236}">
              <a16:creationId xmlns:a16="http://schemas.microsoft.com/office/drawing/2014/main" id="{00000000-0008-0000-0D00-000002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mensuel énergétique</a:t>
          </a:r>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2</xdr:row>
          <xdr:rowOff>114300</xdr:rowOff>
        </xdr:from>
        <xdr:to>
          <xdr:col>2</xdr:col>
          <xdr:colOff>704850</xdr:colOff>
          <xdr:row>3</xdr:row>
          <xdr:rowOff>171450</xdr:rowOff>
        </xdr:to>
        <xdr:sp macro="" textlink="">
          <xdr:nvSpPr>
            <xdr:cNvPr id="76801" name="Drop Down 1" hidden="1">
              <a:extLst>
                <a:ext uri="{63B3BB69-23CF-44E3-9099-C40C66FF867C}">
                  <a14:compatExt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xdr:row>
          <xdr:rowOff>114300</xdr:rowOff>
        </xdr:from>
        <xdr:to>
          <xdr:col>6</xdr:col>
          <xdr:colOff>304800</xdr:colOff>
          <xdr:row>3</xdr:row>
          <xdr:rowOff>171450</xdr:rowOff>
        </xdr:to>
        <xdr:sp macro="" textlink="">
          <xdr:nvSpPr>
            <xdr:cNvPr id="76802" name="Drop Down 2" hidden="1">
              <a:extLst>
                <a:ext uri="{63B3BB69-23CF-44E3-9099-C40C66FF867C}">
                  <a14:compatExt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0</xdr:colOff>
      <xdr:row>0</xdr:row>
      <xdr:rowOff>11205</xdr:rowOff>
    </xdr:from>
    <xdr:to>
      <xdr:col>8</xdr:col>
      <xdr:colOff>753717</xdr:colOff>
      <xdr:row>1</xdr:row>
      <xdr:rowOff>162496</xdr:rowOff>
    </xdr:to>
    <xdr:pic>
      <xdr:nvPicPr>
        <xdr:cNvPr id="11" name="Imag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95250</xdr:colOff>
          <xdr:row>18</xdr:row>
          <xdr:rowOff>133350</xdr:rowOff>
        </xdr:from>
        <xdr:to>
          <xdr:col>9</xdr:col>
          <xdr:colOff>590550</xdr:colOff>
          <xdr:row>19</xdr:row>
          <xdr:rowOff>190500</xdr:rowOff>
        </xdr:to>
        <xdr:sp macro="" textlink="">
          <xdr:nvSpPr>
            <xdr:cNvPr id="76803" name="Drop Down 3" hidden="1">
              <a:extLst>
                <a:ext uri="{63B3BB69-23CF-44E3-9099-C40C66FF867C}">
                  <a14:compatExt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642146</xdr:colOff>
      <xdr:row>4</xdr:row>
      <xdr:rowOff>179298</xdr:rowOff>
    </xdr:from>
    <xdr:to>
      <xdr:col>10</xdr:col>
      <xdr:colOff>739588</xdr:colOff>
      <xdr:row>6</xdr:row>
      <xdr:rowOff>981</xdr:rowOff>
    </xdr:to>
    <xdr:sp macro="" textlink="">
      <xdr:nvSpPr>
        <xdr:cNvPr id="6" name="ZoneTexte 5">
          <a:extLst>
            <a:ext uri="{FF2B5EF4-FFF2-40B4-BE49-F238E27FC236}">
              <a16:creationId xmlns:a16="http://schemas.microsoft.com/office/drawing/2014/main" id="{00000000-0008-0000-0D00-000006000000}"/>
            </a:ext>
          </a:extLst>
        </xdr:cNvPr>
        <xdr:cNvSpPr txBox="1"/>
      </xdr:nvSpPr>
      <xdr:spPr>
        <a:xfrm>
          <a:off x="5976146" y="941298"/>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d'électricité : </a:t>
          </a:r>
        </a:p>
      </xdr:txBody>
    </xdr:sp>
    <xdr:clientData/>
  </xdr:twoCellAnchor>
  <xdr:twoCellAnchor>
    <xdr:from>
      <xdr:col>0</xdr:col>
      <xdr:colOff>200025</xdr:colOff>
      <xdr:row>6</xdr:row>
      <xdr:rowOff>180419</xdr:rowOff>
    </xdr:from>
    <xdr:to>
      <xdr:col>7</xdr:col>
      <xdr:colOff>600075</xdr:colOff>
      <xdr:row>19</xdr:row>
      <xdr:rowOff>180418</xdr:rowOff>
    </xdr:to>
    <xdr:graphicFrame macro="">
      <xdr:nvGraphicFramePr>
        <xdr:cNvPr id="10" name="Graphique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95250</xdr:colOff>
      <xdr:row>17</xdr:row>
      <xdr:rowOff>94693</xdr:rowOff>
    </xdr:from>
    <xdr:to>
      <xdr:col>10</xdr:col>
      <xdr:colOff>114300</xdr:colOff>
      <xdr:row>18</xdr:row>
      <xdr:rowOff>94693</xdr:rowOff>
    </xdr:to>
    <xdr:sp macro="" textlink="">
      <xdr:nvSpPr>
        <xdr:cNvPr id="3" name="ZoneTexte 2">
          <a:extLst>
            <a:ext uri="{FF2B5EF4-FFF2-40B4-BE49-F238E27FC236}">
              <a16:creationId xmlns:a16="http://schemas.microsoft.com/office/drawing/2014/main" id="{00000000-0008-0000-0D00-000003000000}"/>
            </a:ext>
          </a:extLst>
        </xdr:cNvPr>
        <xdr:cNvSpPr txBox="1"/>
      </xdr:nvSpPr>
      <xdr:spPr>
        <a:xfrm>
          <a:off x="6191250" y="3333193"/>
          <a:ext cx="1543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0</xdr:col>
      <xdr:colOff>219075</xdr:colOff>
      <xdr:row>2</xdr:row>
      <xdr:rowOff>113265</xdr:rowOff>
    </xdr:from>
    <xdr:to>
      <xdr:col>1</xdr:col>
      <xdr:colOff>200025</xdr:colOff>
      <xdr:row>3</xdr:row>
      <xdr:rowOff>162960</xdr:rowOff>
    </xdr:to>
    <xdr:sp macro="" textlink="">
      <xdr:nvSpPr>
        <xdr:cNvPr id="18" name="ZoneTexte 17">
          <a:extLst>
            <a:ext uri="{FF2B5EF4-FFF2-40B4-BE49-F238E27FC236}">
              <a16:creationId xmlns:a16="http://schemas.microsoft.com/office/drawing/2014/main" id="{00000000-0008-0000-0D00-000012000000}"/>
            </a:ext>
          </a:extLst>
        </xdr:cNvPr>
        <xdr:cNvSpPr txBox="1"/>
      </xdr:nvSpPr>
      <xdr:spPr>
        <a:xfrm>
          <a:off x="219075" y="494265"/>
          <a:ext cx="7429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a:t>
          </a:r>
          <a:r>
            <a:rPr lang="fr-FR" sz="1000" baseline="0">
              <a:solidFill>
                <a:srgbClr val="FF0000"/>
              </a:solidFill>
            </a:rPr>
            <a:t> 1 :</a:t>
          </a:r>
          <a:endParaRPr lang="fr-FR" sz="1000">
            <a:solidFill>
              <a:srgbClr val="FF0000"/>
            </a:solidFill>
          </a:endParaRPr>
        </a:p>
      </xdr:txBody>
    </xdr:sp>
    <xdr:clientData/>
  </xdr:twoCellAnchor>
  <xdr:twoCellAnchor>
    <xdr:from>
      <xdr:col>3</xdr:col>
      <xdr:colOff>561975</xdr:colOff>
      <xdr:row>2</xdr:row>
      <xdr:rowOff>113265</xdr:rowOff>
    </xdr:from>
    <xdr:to>
      <xdr:col>4</xdr:col>
      <xdr:colOff>581025</xdr:colOff>
      <xdr:row>3</xdr:row>
      <xdr:rowOff>162960</xdr:rowOff>
    </xdr:to>
    <xdr:sp macro="" textlink="">
      <xdr:nvSpPr>
        <xdr:cNvPr id="19" name="ZoneTexte 18">
          <a:extLst>
            <a:ext uri="{FF2B5EF4-FFF2-40B4-BE49-F238E27FC236}">
              <a16:creationId xmlns:a16="http://schemas.microsoft.com/office/drawing/2014/main" id="{00000000-0008-0000-0D00-000013000000}"/>
            </a:ext>
          </a:extLst>
        </xdr:cNvPr>
        <xdr:cNvSpPr txBox="1"/>
      </xdr:nvSpPr>
      <xdr:spPr>
        <a:xfrm>
          <a:off x="2847975" y="494265"/>
          <a:ext cx="7810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 2 :</a:t>
          </a:r>
        </a:p>
      </xdr:txBody>
    </xdr:sp>
    <xdr:clientData/>
  </xdr:twoCellAnchor>
  <xdr:twoCellAnchor>
    <xdr:from>
      <xdr:col>0</xdr:col>
      <xdr:colOff>190500</xdr:colOff>
      <xdr:row>41</xdr:row>
      <xdr:rowOff>78441</xdr:rowOff>
    </xdr:from>
    <xdr:to>
      <xdr:col>7</xdr:col>
      <xdr:colOff>571500</xdr:colOff>
      <xdr:row>54</xdr:row>
      <xdr:rowOff>97491</xdr:rowOff>
    </xdr:to>
    <xdr:graphicFrame macro="">
      <xdr:nvGraphicFramePr>
        <xdr:cNvPr id="20" name="Graphique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35</xdr:row>
          <xdr:rowOff>114300</xdr:rowOff>
        </xdr:from>
        <xdr:to>
          <xdr:col>9</xdr:col>
          <xdr:colOff>590550</xdr:colOff>
          <xdr:row>36</xdr:row>
          <xdr:rowOff>171450</xdr:rowOff>
        </xdr:to>
        <xdr:sp macro="" textlink="">
          <xdr:nvSpPr>
            <xdr:cNvPr id="76804" name="Drop Down 4" hidden="1">
              <a:extLst>
                <a:ext uri="{63B3BB69-23CF-44E3-9099-C40C66FF867C}">
                  <a14:compatExt spid="_x0000_s76804"/>
                </a:ext>
                <a:ext uri="{FF2B5EF4-FFF2-40B4-BE49-F238E27FC236}">
                  <a16:creationId xmlns:a16="http://schemas.microsoft.com/office/drawing/2014/main" id="{00000000-0008-0000-0D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23</xdr:row>
      <xdr:rowOff>163043</xdr:rowOff>
    </xdr:from>
    <xdr:to>
      <xdr:col>7</xdr:col>
      <xdr:colOff>552450</xdr:colOff>
      <xdr:row>36</xdr:row>
      <xdr:rowOff>115418</xdr:rowOff>
    </xdr:to>
    <xdr:graphicFrame macro="">
      <xdr:nvGraphicFramePr>
        <xdr:cNvPr id="14" name="Graphique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95249</xdr:colOff>
      <xdr:row>34</xdr:row>
      <xdr:rowOff>88899</xdr:rowOff>
    </xdr:from>
    <xdr:to>
      <xdr:col>10</xdr:col>
      <xdr:colOff>466724</xdr:colOff>
      <xdr:row>35</xdr:row>
      <xdr:rowOff>104775</xdr:rowOff>
    </xdr:to>
    <xdr:sp macro="" textlink="">
      <xdr:nvSpPr>
        <xdr:cNvPr id="17" name="ZoneTexte 16">
          <a:extLst>
            <a:ext uri="{FF2B5EF4-FFF2-40B4-BE49-F238E27FC236}">
              <a16:creationId xmlns:a16="http://schemas.microsoft.com/office/drawing/2014/main" id="{00000000-0008-0000-0D00-000011000000}"/>
            </a:ext>
          </a:extLst>
        </xdr:cNvPr>
        <xdr:cNvSpPr txBox="1"/>
      </xdr:nvSpPr>
      <xdr:spPr>
        <a:xfrm>
          <a:off x="6496049" y="6556374"/>
          <a:ext cx="1971675" cy="206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 (hors</a:t>
          </a:r>
          <a:r>
            <a:rPr lang="fr-FR" sz="1100" baseline="0"/>
            <a:t> été) </a:t>
          </a:r>
          <a:endParaRPr lang="fr-FR" sz="1100"/>
        </a:p>
      </xdr:txBody>
    </xdr:sp>
    <xdr:clientData/>
  </xdr:twoCellAnchor>
  <xdr:twoCellAnchor>
    <xdr:from>
      <xdr:col>7</xdr:col>
      <xdr:colOff>664558</xdr:colOff>
      <xdr:row>21</xdr:row>
      <xdr:rowOff>179294</xdr:rowOff>
    </xdr:from>
    <xdr:to>
      <xdr:col>11</xdr:col>
      <xdr:colOff>0</xdr:colOff>
      <xdr:row>23</xdr:row>
      <xdr:rowOff>977</xdr:rowOff>
    </xdr:to>
    <xdr:sp macro="" textlink="">
      <xdr:nvSpPr>
        <xdr:cNvPr id="26" name="ZoneTexte 25">
          <a:extLst>
            <a:ext uri="{FF2B5EF4-FFF2-40B4-BE49-F238E27FC236}">
              <a16:creationId xmlns:a16="http://schemas.microsoft.com/office/drawing/2014/main" id="{00000000-0008-0000-0D00-00001A000000}"/>
            </a:ext>
          </a:extLst>
        </xdr:cNvPr>
        <xdr:cNvSpPr txBox="1"/>
      </xdr:nvSpPr>
      <xdr:spPr>
        <a:xfrm>
          <a:off x="5998558" y="4179794"/>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chauffage : </a:t>
          </a:r>
        </a:p>
      </xdr:txBody>
    </xdr:sp>
    <xdr:clientData/>
  </xdr:twoCellAnchor>
  <xdr:twoCellAnchor>
    <xdr:from>
      <xdr:col>7</xdr:col>
      <xdr:colOff>664558</xdr:colOff>
      <xdr:row>38</xdr:row>
      <xdr:rowOff>156882</xdr:rowOff>
    </xdr:from>
    <xdr:to>
      <xdr:col>11</xdr:col>
      <xdr:colOff>0</xdr:colOff>
      <xdr:row>39</xdr:row>
      <xdr:rowOff>169065</xdr:rowOff>
    </xdr:to>
    <xdr:sp macro="" textlink="">
      <xdr:nvSpPr>
        <xdr:cNvPr id="28" name="ZoneTexte 27">
          <a:extLst>
            <a:ext uri="{FF2B5EF4-FFF2-40B4-BE49-F238E27FC236}">
              <a16:creationId xmlns:a16="http://schemas.microsoft.com/office/drawing/2014/main" id="{00000000-0008-0000-0D00-00001C000000}"/>
            </a:ext>
          </a:extLst>
        </xdr:cNvPr>
        <xdr:cNvSpPr txBox="1"/>
      </xdr:nvSpPr>
      <xdr:spPr>
        <a:xfrm>
          <a:off x="5998558" y="7463117"/>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d'eau : </a:t>
          </a:r>
        </a:p>
      </xdr:txBody>
    </xdr:sp>
    <xdr:clientData/>
  </xdr:twoCellAnchor>
  <xdr:twoCellAnchor editAs="oneCell">
    <xdr:from>
      <xdr:col>8</xdr:col>
      <xdr:colOff>139700</xdr:colOff>
      <xdr:row>7</xdr:row>
      <xdr:rowOff>25401</xdr:rowOff>
    </xdr:from>
    <xdr:to>
      <xdr:col>10</xdr:col>
      <xdr:colOff>139700</xdr:colOff>
      <xdr:row>17</xdr:row>
      <xdr:rowOff>82550</xdr:rowOff>
    </xdr:to>
    <mc:AlternateContent xmlns:mc="http://schemas.openxmlformats.org/markup-compatibility/2006" xmlns:a14="http://schemas.microsoft.com/office/drawing/2010/main">
      <mc:Choice Requires="a14">
        <xdr:graphicFrame macro="">
          <xdr:nvGraphicFramePr>
            <xdr:cNvPr id="24" name="Nom 6">
              <a:extLst>
                <a:ext uri="{FF2B5EF4-FFF2-40B4-BE49-F238E27FC236}">
                  <a16:creationId xmlns:a16="http://schemas.microsoft.com/office/drawing/2014/main" id="{00000000-0008-0000-0D00-000018000000}"/>
                </a:ext>
              </a:extLst>
            </xdr:cNvPr>
            <xdr:cNvGraphicFramePr/>
          </xdr:nvGraphicFramePr>
          <xdr:xfrm>
            <a:off x="0" y="0"/>
            <a:ext cx="0" cy="0"/>
          </xdr:xfrm>
          <a:graphic>
            <a:graphicData uri="http://schemas.microsoft.com/office/drawing/2010/slicer">
              <sle:slicer xmlns:sle="http://schemas.microsoft.com/office/drawing/2010/slicer" name="Nom 6"/>
            </a:graphicData>
          </a:graphic>
        </xdr:graphicFrame>
      </mc:Choice>
      <mc:Fallback xmlns="">
        <xdr:sp macro="" textlink="">
          <xdr:nvSpPr>
            <xdr:cNvPr id="0" name=""/>
            <xdr:cNvSpPr>
              <a:spLocks noTextEdit="1"/>
            </xdr:cNvSpPr>
          </xdr:nvSpPr>
          <xdr:spPr>
            <a:xfrm>
              <a:off x="6696075" y="1352551"/>
              <a:ext cx="1639887" cy="1582737"/>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8</xdr:col>
      <xdr:colOff>25400</xdr:colOff>
      <xdr:row>23</xdr:row>
      <xdr:rowOff>171451</xdr:rowOff>
    </xdr:from>
    <xdr:to>
      <xdr:col>10</xdr:col>
      <xdr:colOff>496887</xdr:colOff>
      <xdr:row>34</xdr:row>
      <xdr:rowOff>82550</xdr:rowOff>
    </xdr:to>
    <mc:AlternateContent xmlns:mc="http://schemas.openxmlformats.org/markup-compatibility/2006" xmlns:a14="http://schemas.microsoft.com/office/drawing/2010/main">
      <mc:Choice Requires="a14">
        <xdr:graphicFrame macro="">
          <xdr:nvGraphicFramePr>
            <xdr:cNvPr id="25" name="Nom 7">
              <a:extLst>
                <a:ext uri="{FF2B5EF4-FFF2-40B4-BE49-F238E27FC236}">
                  <a16:creationId xmlns:a16="http://schemas.microsoft.com/office/drawing/2014/main" id="{00000000-0008-0000-0D00-000019000000}"/>
                </a:ext>
              </a:extLst>
            </xdr:cNvPr>
            <xdr:cNvGraphicFramePr/>
          </xdr:nvGraphicFramePr>
          <xdr:xfrm>
            <a:off x="0" y="0"/>
            <a:ext cx="0" cy="0"/>
          </xdr:xfrm>
          <a:graphic>
            <a:graphicData uri="http://schemas.microsoft.com/office/drawing/2010/slicer">
              <sle:slicer xmlns:sle="http://schemas.microsoft.com/office/drawing/2010/slicer" name="Nom 7"/>
            </a:graphicData>
          </a:graphic>
        </xdr:graphicFrame>
      </mc:Choice>
      <mc:Fallback xmlns="">
        <xdr:sp macro="" textlink="">
          <xdr:nvSpPr>
            <xdr:cNvPr id="0" name=""/>
            <xdr:cNvSpPr>
              <a:spLocks noTextEdit="1"/>
            </xdr:cNvSpPr>
          </xdr:nvSpPr>
          <xdr:spPr>
            <a:xfrm>
              <a:off x="6581775" y="4543426"/>
              <a:ext cx="2106612" cy="17526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8</xdr:col>
      <xdr:colOff>19050</xdr:colOff>
      <xdr:row>42</xdr:row>
      <xdr:rowOff>28575</xdr:rowOff>
    </xdr:from>
    <xdr:to>
      <xdr:col>10</xdr:col>
      <xdr:colOff>381000</xdr:colOff>
      <xdr:row>52</xdr:row>
      <xdr:rowOff>28575</xdr:rowOff>
    </xdr:to>
    <mc:AlternateContent xmlns:mc="http://schemas.openxmlformats.org/markup-compatibility/2006" xmlns:a14="http://schemas.microsoft.com/office/drawing/2010/main">
      <mc:Choice Requires="a14">
        <xdr:graphicFrame macro="">
          <xdr:nvGraphicFramePr>
            <xdr:cNvPr id="27" name="Nom 8">
              <a:extLst>
                <a:ext uri="{FF2B5EF4-FFF2-40B4-BE49-F238E27FC236}">
                  <a16:creationId xmlns:a16="http://schemas.microsoft.com/office/drawing/2014/main" id="{00000000-0008-0000-0D00-00001B000000}"/>
                </a:ext>
              </a:extLst>
            </xdr:cNvPr>
            <xdr:cNvGraphicFramePr/>
          </xdr:nvGraphicFramePr>
          <xdr:xfrm>
            <a:off x="0" y="0"/>
            <a:ext cx="0" cy="0"/>
          </xdr:xfrm>
          <a:graphic>
            <a:graphicData uri="http://schemas.microsoft.com/office/drawing/2010/slicer">
              <sle:slicer xmlns:sle="http://schemas.microsoft.com/office/drawing/2010/slicer" name="Nom 8"/>
            </a:graphicData>
          </a:graphic>
        </xdr:graphicFrame>
      </mc:Choice>
      <mc:Fallback xmlns="">
        <xdr:sp macro="" textlink="">
          <xdr:nvSpPr>
            <xdr:cNvPr id="0" name=""/>
            <xdr:cNvSpPr>
              <a:spLocks noTextEdit="1"/>
            </xdr:cNvSpPr>
          </xdr:nvSpPr>
          <xdr:spPr>
            <a:xfrm>
              <a:off x="6572250" y="8020050"/>
              <a:ext cx="2000250" cy="1906587"/>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wsDr>
</file>

<file path=xl/drawings/drawing11.xml><?xml version="1.0" encoding="utf-8"?>
<xdr:wsDr xmlns:xdr="http://schemas.openxmlformats.org/drawingml/2006/spreadsheetDrawing" xmlns:a="http://schemas.openxmlformats.org/drawingml/2006/main">
  <xdr:oneCellAnchor>
    <xdr:from>
      <xdr:col>10</xdr:col>
      <xdr:colOff>447675</xdr:colOff>
      <xdr:row>56</xdr:row>
      <xdr:rowOff>152400</xdr:rowOff>
    </xdr:from>
    <xdr:ext cx="1491393" cy="717176"/>
    <xdr:pic>
      <xdr:nvPicPr>
        <xdr:cNvPr id="7" name="Imag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0" y="4343400"/>
          <a:ext cx="1491393" cy="71717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3" name="ZoneTexte 2">
          <a:extLst>
            <a:ext uri="{FF2B5EF4-FFF2-40B4-BE49-F238E27FC236}">
              <a16:creationId xmlns:a16="http://schemas.microsoft.com/office/drawing/2014/main" id="{00000000-0008-0000-0F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 de</a:t>
          </a:r>
          <a:r>
            <a:rPr lang="fr-FR" sz="1600" b="1" baseline="0"/>
            <a:t> la rigueur climatique</a:t>
          </a:r>
          <a:endParaRPr lang="fr-FR" sz="1600" b="1"/>
        </a:p>
      </xdr:txBody>
    </xdr:sp>
    <xdr:clientData/>
  </xdr:twoCellAnchor>
  <xdr:twoCellAnchor>
    <xdr:from>
      <xdr:col>7</xdr:col>
      <xdr:colOff>339587</xdr:colOff>
      <xdr:row>3</xdr:row>
      <xdr:rowOff>74547</xdr:rowOff>
    </xdr:from>
    <xdr:to>
      <xdr:col>10</xdr:col>
      <xdr:colOff>679173</xdr:colOff>
      <xdr:row>4</xdr:row>
      <xdr:rowOff>124242</xdr:rowOff>
    </xdr:to>
    <xdr:sp macro="" textlink="">
      <xdr:nvSpPr>
        <xdr:cNvPr id="4" name="ZoneTexte 3">
          <a:extLst>
            <a:ext uri="{FF2B5EF4-FFF2-40B4-BE49-F238E27FC236}">
              <a16:creationId xmlns:a16="http://schemas.microsoft.com/office/drawing/2014/main" id="{00000000-0008-0000-0F00-000004000000}"/>
            </a:ext>
          </a:extLst>
        </xdr:cNvPr>
        <xdr:cNvSpPr txBox="1"/>
      </xdr:nvSpPr>
      <xdr:spPr>
        <a:xfrm>
          <a:off x="5673587" y="646047"/>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le compteur à analyser : </a:t>
          </a:r>
        </a:p>
      </xdr:txBody>
    </xdr:sp>
    <xdr:clientData/>
  </xdr:twoCellAnchor>
  <xdr:twoCellAnchor>
    <xdr:from>
      <xdr:col>7</xdr:col>
      <xdr:colOff>422414</xdr:colOff>
      <xdr:row>16</xdr:row>
      <xdr:rowOff>122999</xdr:rowOff>
    </xdr:from>
    <xdr:to>
      <xdr:col>11</xdr:col>
      <xdr:colOff>0</xdr:colOff>
      <xdr:row>17</xdr:row>
      <xdr:rowOff>172694</xdr:rowOff>
    </xdr:to>
    <xdr:sp macro="" textlink="">
      <xdr:nvSpPr>
        <xdr:cNvPr id="9" name="ZoneTexte 8">
          <a:extLst>
            <a:ext uri="{FF2B5EF4-FFF2-40B4-BE49-F238E27FC236}">
              <a16:creationId xmlns:a16="http://schemas.microsoft.com/office/drawing/2014/main" id="{00000000-0008-0000-0F00-000009000000}"/>
            </a:ext>
          </a:extLst>
        </xdr:cNvPr>
        <xdr:cNvSpPr txBox="1"/>
      </xdr:nvSpPr>
      <xdr:spPr>
        <a:xfrm>
          <a:off x="5756414" y="3170999"/>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trois années : </a:t>
          </a:r>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13" name="Imag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5" name="Imag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29308</xdr:colOff>
      <xdr:row>1</xdr:row>
      <xdr:rowOff>65942</xdr:rowOff>
    </xdr:to>
    <xdr:sp macro="" textlink="">
      <xdr:nvSpPr>
        <xdr:cNvPr id="2" name="ZoneTexte 1">
          <a:extLst>
            <a:ext uri="{FF2B5EF4-FFF2-40B4-BE49-F238E27FC236}">
              <a16:creationId xmlns:a16="http://schemas.microsoft.com/office/drawing/2014/main" id="{00000000-0008-0000-1000-000002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compteurs</a:t>
          </a:r>
          <a:endParaRPr lang="fr-FR" sz="1600" b="1"/>
        </a:p>
      </xdr:txBody>
    </xdr:sp>
    <xdr:clientData/>
  </xdr:twoCellAnchor>
  <xdr:twoCellAnchor editAs="oneCell">
    <xdr:from>
      <xdr:col>6</xdr:col>
      <xdr:colOff>0</xdr:colOff>
      <xdr:row>0</xdr:row>
      <xdr:rowOff>11205</xdr:rowOff>
    </xdr:from>
    <xdr:to>
      <xdr:col>8</xdr:col>
      <xdr:colOff>617192</xdr:colOff>
      <xdr:row>1</xdr:row>
      <xdr:rowOff>164083</xdr:rowOff>
    </xdr:to>
    <xdr:pic>
      <xdr:nvPicPr>
        <xdr:cNvPr id="11" name="Imag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8</xdr:col>
      <xdr:colOff>713989</xdr:colOff>
      <xdr:row>0</xdr:row>
      <xdr:rowOff>0</xdr:rowOff>
    </xdr:from>
    <xdr:to>
      <xdr:col>10</xdr:col>
      <xdr:colOff>676275</xdr:colOff>
      <xdr:row>3</xdr:row>
      <xdr:rowOff>150438</xdr:rowOff>
    </xdr:to>
    <xdr:pic>
      <xdr:nvPicPr>
        <xdr:cNvPr id="12" name="Imag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139" y="0"/>
          <a:ext cx="1559311" cy="693363"/>
        </a:xfrm>
        <a:prstGeom prst="rect">
          <a:avLst/>
        </a:prstGeom>
      </xdr:spPr>
    </xdr:pic>
    <xdr:clientData/>
  </xdr:twoCellAnchor>
  <xdr:twoCellAnchor>
    <xdr:from>
      <xdr:col>0</xdr:col>
      <xdr:colOff>102014</xdr:colOff>
      <xdr:row>20</xdr:row>
      <xdr:rowOff>160130</xdr:rowOff>
    </xdr:from>
    <xdr:to>
      <xdr:col>7</xdr:col>
      <xdr:colOff>682625</xdr:colOff>
      <xdr:row>22</xdr:row>
      <xdr:rowOff>38747</xdr:rowOff>
    </xdr:to>
    <xdr:sp macro="" textlink="">
      <xdr:nvSpPr>
        <xdr:cNvPr id="10" name="ZoneTexte 8">
          <a:extLst>
            <a:ext uri="{FF2B5EF4-FFF2-40B4-BE49-F238E27FC236}">
              <a16:creationId xmlns:a16="http://schemas.microsoft.com/office/drawing/2014/main" id="{00000000-0008-0000-1000-00000A000000}"/>
            </a:ext>
          </a:extLst>
        </xdr:cNvPr>
        <xdr:cNvSpPr txBox="1"/>
      </xdr:nvSpPr>
      <xdr:spPr>
        <a:xfrm>
          <a:off x="102014" y="3989180"/>
          <a:ext cx="6181311" cy="240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t>Evolution</a:t>
          </a:r>
          <a:r>
            <a:rPr lang="fr-FR" sz="1100" b="1" baseline="0"/>
            <a:t> des consommations par rapport au DJU chauffagiste</a:t>
          </a:r>
          <a:endParaRPr lang="fr-FR" sz="1100" b="1"/>
        </a:p>
      </xdr:txBody>
    </xdr:sp>
    <xdr:clientData/>
  </xdr:twoCellAnchor>
  <xdr:twoCellAnchor>
    <xdr:from>
      <xdr:col>0</xdr:col>
      <xdr:colOff>69849</xdr:colOff>
      <xdr:row>22</xdr:row>
      <xdr:rowOff>95250</xdr:rowOff>
    </xdr:from>
    <xdr:to>
      <xdr:col>7</xdr:col>
      <xdr:colOff>685799</xdr:colOff>
      <xdr:row>46</xdr:row>
      <xdr:rowOff>53975</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115888</xdr:colOff>
      <xdr:row>2</xdr:row>
      <xdr:rowOff>38100</xdr:rowOff>
    </xdr:from>
    <xdr:to>
      <xdr:col>7</xdr:col>
      <xdr:colOff>674688</xdr:colOff>
      <xdr:row>9</xdr:row>
      <xdr:rowOff>65088</xdr:rowOff>
    </xdr:to>
    <mc:AlternateContent xmlns:mc="http://schemas.openxmlformats.org/markup-compatibility/2006" xmlns:tsle="http://schemas.microsoft.com/office/drawing/2012/timeslicer">
      <mc:Choice Requires="tsle">
        <xdr:graphicFrame macro="">
          <xdr:nvGraphicFramePr>
            <xdr:cNvPr id="6" name="Dates">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2/timeslicer">
              <tsle:timeslicer name="Dates"/>
            </a:graphicData>
          </a:graphic>
        </xdr:graphicFrame>
      </mc:Choice>
      <mc:Fallback xmlns="">
        <xdr:sp macro="" textlink="">
          <xdr:nvSpPr>
            <xdr:cNvPr id="0" name=""/>
            <xdr:cNvSpPr>
              <a:spLocks noTextEdit="1"/>
            </xdr:cNvSpPr>
          </xdr:nvSpPr>
          <xdr:spPr>
            <a:xfrm>
              <a:off x="115888" y="400050"/>
              <a:ext cx="6299200" cy="1300163"/>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twoCellAnchor>
    <xdr:from>
      <xdr:col>0</xdr:col>
      <xdr:colOff>176213</xdr:colOff>
      <xdr:row>9</xdr:row>
      <xdr:rowOff>128587</xdr:rowOff>
    </xdr:from>
    <xdr:to>
      <xdr:col>7</xdr:col>
      <xdr:colOff>756824</xdr:colOff>
      <xdr:row>10</xdr:row>
      <xdr:rowOff>178654</xdr:rowOff>
    </xdr:to>
    <xdr:sp macro="" textlink="">
      <xdr:nvSpPr>
        <xdr:cNvPr id="13" name="ZoneTexte 8">
          <a:extLst>
            <a:ext uri="{FF2B5EF4-FFF2-40B4-BE49-F238E27FC236}">
              <a16:creationId xmlns:a16="http://schemas.microsoft.com/office/drawing/2014/main" id="{00000000-0008-0000-1000-00000D000000}"/>
            </a:ext>
          </a:extLst>
        </xdr:cNvPr>
        <xdr:cNvSpPr txBox="1"/>
      </xdr:nvSpPr>
      <xdr:spPr>
        <a:xfrm>
          <a:off x="176213" y="1757362"/>
          <a:ext cx="6314661" cy="231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solidFill>
                <a:schemeClr val="dk1"/>
              </a:solidFill>
              <a:effectLst/>
              <a:latin typeface="+mn-lt"/>
              <a:ea typeface="+mn-ea"/>
              <a:cs typeface="+mn-cs"/>
            </a:rPr>
            <a:t>Evolution</a:t>
          </a:r>
          <a:r>
            <a:rPr lang="fr-FR" sz="1100" b="1" baseline="0">
              <a:solidFill>
                <a:schemeClr val="dk1"/>
              </a:solidFill>
              <a:effectLst/>
              <a:latin typeface="+mn-lt"/>
              <a:ea typeface="+mn-ea"/>
              <a:cs typeface="+mn-cs"/>
            </a:rPr>
            <a:t> des consommations unitaires du compteur</a:t>
          </a:r>
          <a:endParaRPr lang="fr-FR">
            <a:effectLst/>
          </a:endParaRPr>
        </a:p>
      </xdr:txBody>
    </xdr:sp>
    <xdr:clientData/>
  </xdr:twoCellAnchor>
  <xdr:twoCellAnchor>
    <xdr:from>
      <xdr:col>0</xdr:col>
      <xdr:colOff>203199</xdr:colOff>
      <xdr:row>11</xdr:row>
      <xdr:rowOff>26990</xdr:rowOff>
    </xdr:from>
    <xdr:to>
      <xdr:col>7</xdr:col>
      <xdr:colOff>781049</xdr:colOff>
      <xdr:row>20</xdr:row>
      <xdr:rowOff>57151</xdr:rowOff>
    </xdr:to>
    <xdr:graphicFrame macro="">
      <xdr:nvGraphicFramePr>
        <xdr:cNvPr id="14" name="Graphique 13">
          <a:extLst>
            <a:ext uri="{FF2B5EF4-FFF2-40B4-BE49-F238E27FC236}">
              <a16:creationId xmlns:a16="http://schemas.microsoft.com/office/drawing/2014/main" id="{00000000-0008-0000-1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editAs="oneCell">
    <xdr:from>
      <xdr:col>7</xdr:col>
      <xdr:colOff>873125</xdr:colOff>
      <xdr:row>3</xdr:row>
      <xdr:rowOff>114298</xdr:rowOff>
    </xdr:from>
    <xdr:to>
      <xdr:col>10</xdr:col>
      <xdr:colOff>531813</xdr:colOff>
      <xdr:row>18</xdr:row>
      <xdr:rowOff>85724</xdr:rowOff>
    </xdr:to>
    <mc:AlternateContent xmlns:mc="http://schemas.openxmlformats.org/markup-compatibility/2006" xmlns:a14="http://schemas.microsoft.com/office/drawing/2010/main">
      <mc:Choice Requires="a14">
        <xdr:graphicFrame macro="">
          <xdr:nvGraphicFramePr>
            <xdr:cNvPr id="15" name="Nom_compteur">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microsoft.com/office/drawing/2010/slicer">
              <sle:slicer xmlns:sle="http://schemas.microsoft.com/office/drawing/2010/slicer" name="Nom_compteur"/>
            </a:graphicData>
          </a:graphic>
        </xdr:graphicFrame>
      </mc:Choice>
      <mc:Fallback xmlns="">
        <xdr:sp macro="" textlink="">
          <xdr:nvSpPr>
            <xdr:cNvPr id="0" name=""/>
            <xdr:cNvSpPr>
              <a:spLocks noTextEdit="1"/>
            </xdr:cNvSpPr>
          </xdr:nvSpPr>
          <xdr:spPr>
            <a:xfrm>
              <a:off x="6473825" y="657223"/>
              <a:ext cx="2192338" cy="268605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14</xdr:row>
      <xdr:rowOff>9525</xdr:rowOff>
    </xdr:from>
    <xdr:to>
      <xdr:col>7</xdr:col>
      <xdr:colOff>161925</xdr:colOff>
      <xdr:row>30</xdr:row>
      <xdr:rowOff>171450</xdr:rowOff>
    </xdr:to>
    <xdr:graphicFrame macro="">
      <xdr:nvGraphicFramePr>
        <xdr:cNvPr id="3" name="GCD_Cout_unitaire">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0</xdr:rowOff>
    </xdr:from>
    <xdr:to>
      <xdr:col>6</xdr:col>
      <xdr:colOff>29308</xdr:colOff>
      <xdr:row>1</xdr:row>
      <xdr:rowOff>65942</xdr:rowOff>
    </xdr:to>
    <xdr:sp macro="" textlink="">
      <xdr:nvSpPr>
        <xdr:cNvPr id="6" name="ZoneTexte 5" hidden="1">
          <a:extLst>
            <a:ext uri="{FF2B5EF4-FFF2-40B4-BE49-F238E27FC236}">
              <a16:creationId xmlns:a16="http://schemas.microsoft.com/office/drawing/2014/main" id="{00000000-0008-0000-1100-000006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des coûts de l'énergie</a:t>
          </a:r>
          <a:endParaRPr lang="fr-FR" sz="1600" b="1"/>
        </a:p>
      </xdr:txBody>
    </xdr:sp>
    <xdr:clientData/>
  </xdr:twoCellAnchor>
  <xdr:twoCellAnchor editAs="oneCell">
    <xdr:from>
      <xdr:col>6</xdr:col>
      <xdr:colOff>1243</xdr:colOff>
      <xdr:row>0</xdr:row>
      <xdr:rowOff>19488</xdr:rowOff>
    </xdr:from>
    <xdr:to>
      <xdr:col>8</xdr:col>
      <xdr:colOff>751785</xdr:colOff>
      <xdr:row>1</xdr:row>
      <xdr:rowOff>161254</xdr:rowOff>
    </xdr:to>
    <xdr:pic>
      <xdr:nvPicPr>
        <xdr:cNvPr id="8" name="Imag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3243" y="19488"/>
          <a:ext cx="2277717" cy="335441"/>
        </a:xfrm>
        <a:prstGeom prst="rect">
          <a:avLst/>
        </a:prstGeom>
      </xdr:spPr>
    </xdr:pic>
    <xdr:clientData/>
  </xdr:twoCellAnchor>
  <xdr:twoCellAnchor editAs="oneCell">
    <xdr:from>
      <xdr:col>9</xdr:col>
      <xdr:colOff>42132</xdr:colOff>
      <xdr:row>0</xdr:row>
      <xdr:rowOff>8283</xdr:rowOff>
    </xdr:from>
    <xdr:to>
      <xdr:col>10</xdr:col>
      <xdr:colOff>803413</xdr:colOff>
      <xdr:row>3</xdr:row>
      <xdr:rowOff>153959</xdr:rowOff>
    </xdr:to>
    <xdr:pic>
      <xdr:nvPicPr>
        <xdr:cNvPr id="9" name="Imag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0132" y="8283"/>
          <a:ext cx="1481868" cy="717176"/>
        </a:xfrm>
        <a:prstGeom prst="rect">
          <a:avLst/>
        </a:prstGeom>
      </xdr:spPr>
    </xdr:pic>
    <xdr:clientData/>
  </xdr:twoCellAnchor>
  <xdr:twoCellAnchor>
    <xdr:from>
      <xdr:col>7</xdr:col>
      <xdr:colOff>712305</xdr:colOff>
      <xdr:row>17</xdr:row>
      <xdr:rowOff>157365</xdr:rowOff>
    </xdr:from>
    <xdr:to>
      <xdr:col>8</xdr:col>
      <xdr:colOff>223632</xdr:colOff>
      <xdr:row>20</xdr:row>
      <xdr:rowOff>16560</xdr:rowOff>
    </xdr:to>
    <xdr:sp macro="" textlink="Controle_des_données!A40">
      <xdr:nvSpPr>
        <xdr:cNvPr id="2" name="ZoneTexte 1">
          <a:extLst>
            <a:ext uri="{FF2B5EF4-FFF2-40B4-BE49-F238E27FC236}">
              <a16:creationId xmlns:a16="http://schemas.microsoft.com/office/drawing/2014/main" id="{00000000-0008-0000-1100-000002000000}"/>
            </a:ext>
          </a:extLst>
        </xdr:cNvPr>
        <xdr:cNvSpPr txBox="1"/>
      </xdr:nvSpPr>
      <xdr:spPr>
        <a:xfrm rot="16200000">
          <a:off x="5967621" y="3474549"/>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191743</xdr:colOff>
      <xdr:row>20</xdr:row>
      <xdr:rowOff>153984</xdr:rowOff>
    </xdr:from>
    <xdr:to>
      <xdr:col>0</xdr:col>
      <xdr:colOff>465070</xdr:colOff>
      <xdr:row>22</xdr:row>
      <xdr:rowOff>173171</xdr:rowOff>
    </xdr:to>
    <xdr:sp macro="" textlink="Controle_des_données!A40">
      <xdr:nvSpPr>
        <xdr:cNvPr id="5" name="ZoneTexte 4">
          <a:extLst>
            <a:ext uri="{FF2B5EF4-FFF2-40B4-BE49-F238E27FC236}">
              <a16:creationId xmlns:a16="http://schemas.microsoft.com/office/drawing/2014/main" id="{00000000-0008-0000-1100-000005000000}"/>
            </a:ext>
          </a:extLst>
        </xdr:cNvPr>
        <xdr:cNvSpPr txBox="1"/>
      </xdr:nvSpPr>
      <xdr:spPr>
        <a:xfrm rot="16200000">
          <a:off x="136596" y="3853479"/>
          <a:ext cx="383622"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123411</xdr:colOff>
      <xdr:row>12</xdr:row>
      <xdr:rowOff>173935</xdr:rowOff>
    </xdr:from>
    <xdr:to>
      <xdr:col>7</xdr:col>
      <xdr:colOff>512693</xdr:colOff>
      <xdr:row>14</xdr:row>
      <xdr:rowOff>49377</xdr:rowOff>
    </xdr:to>
    <xdr:sp macro="" textlink="">
      <xdr:nvSpPr>
        <xdr:cNvPr id="11" name="ZoneTexte 10">
          <a:extLst>
            <a:ext uri="{FF2B5EF4-FFF2-40B4-BE49-F238E27FC236}">
              <a16:creationId xmlns:a16="http://schemas.microsoft.com/office/drawing/2014/main" id="{00000000-0008-0000-1100-00000B000000}"/>
            </a:ext>
          </a:extLst>
        </xdr:cNvPr>
        <xdr:cNvSpPr txBox="1"/>
      </xdr:nvSpPr>
      <xdr:spPr>
        <a:xfrm>
          <a:off x="123411" y="2459935"/>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Coûts unitaires de l'énergie</a:t>
          </a:r>
        </a:p>
      </xdr:txBody>
    </xdr:sp>
    <xdr:clientData/>
  </xdr:twoCellAnchor>
  <xdr:twoCellAnchor>
    <xdr:from>
      <xdr:col>7</xdr:col>
      <xdr:colOff>747505</xdr:colOff>
      <xdr:row>12</xdr:row>
      <xdr:rowOff>135835</xdr:rowOff>
    </xdr:from>
    <xdr:to>
      <xdr:col>10</xdr:col>
      <xdr:colOff>614983</xdr:colOff>
      <xdr:row>14</xdr:row>
      <xdr:rowOff>11277</xdr:rowOff>
    </xdr:to>
    <xdr:sp macro="" textlink="">
      <xdr:nvSpPr>
        <xdr:cNvPr id="12" name="ZoneTexte 11">
          <a:extLst>
            <a:ext uri="{FF2B5EF4-FFF2-40B4-BE49-F238E27FC236}">
              <a16:creationId xmlns:a16="http://schemas.microsoft.com/office/drawing/2014/main" id="{00000000-0008-0000-1100-00000C000000}"/>
            </a:ext>
          </a:extLst>
        </xdr:cNvPr>
        <xdr:cNvSpPr txBox="1"/>
      </xdr:nvSpPr>
      <xdr:spPr>
        <a:xfrm>
          <a:off x="6081505" y="2421835"/>
          <a:ext cx="215347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Dépense </a:t>
          </a:r>
          <a:r>
            <a:rPr lang="fr-FR" sz="1100" b="1" baseline="0"/>
            <a:t>annuelle de l'énergie</a:t>
          </a:r>
          <a:endParaRPr lang="fr-FR" sz="1100" b="1"/>
        </a:p>
      </xdr:txBody>
    </xdr:sp>
    <xdr:clientData/>
  </xdr:twoCellAnchor>
  <xdr:twoCellAnchor>
    <xdr:from>
      <xdr:col>7</xdr:col>
      <xdr:colOff>333374</xdr:colOff>
      <xdr:row>14</xdr:row>
      <xdr:rowOff>19050</xdr:rowOff>
    </xdr:from>
    <xdr:to>
      <xdr:col>10</xdr:col>
      <xdr:colOff>695325</xdr:colOff>
      <xdr:row>31</xdr:row>
      <xdr:rowOff>85725</xdr:rowOff>
    </xdr:to>
    <xdr:graphicFrame macro="">
      <xdr:nvGraphicFramePr>
        <xdr:cNvPr id="14" name="GCD_Dpense_annuelle_total">
          <a:extLst>
            <a:ext uri="{FF2B5EF4-FFF2-40B4-BE49-F238E27FC236}">
              <a16:creationId xmlns:a16="http://schemas.microsoft.com/office/drawing/2014/main" id="{00000000-0008-0000-1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7</xdr:col>
      <xdr:colOff>444778</xdr:colOff>
      <xdr:row>18</xdr:row>
      <xdr:rowOff>55488</xdr:rowOff>
    </xdr:from>
    <xdr:to>
      <xdr:col>7</xdr:col>
      <xdr:colOff>711755</xdr:colOff>
      <xdr:row>20</xdr:row>
      <xdr:rowOff>156330</xdr:rowOff>
    </xdr:to>
    <xdr:sp macro="" textlink="Controle_des_données!A40">
      <xdr:nvSpPr>
        <xdr:cNvPr id="15" name="ZoneTexte 14">
          <a:extLst>
            <a:ext uri="{FF2B5EF4-FFF2-40B4-BE49-F238E27FC236}">
              <a16:creationId xmlns:a16="http://schemas.microsoft.com/office/drawing/2014/main" id="{00000000-0008-0000-1100-00000F000000}"/>
            </a:ext>
          </a:extLst>
        </xdr:cNvPr>
        <xdr:cNvSpPr txBox="1"/>
      </xdr:nvSpPr>
      <xdr:spPr>
        <a:xfrm rot="16200000">
          <a:off x="5969519" y="3434551"/>
          <a:ext cx="465277" cy="266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editAs="oneCell">
    <xdr:from>
      <xdr:col>0</xdr:col>
      <xdr:colOff>247650</xdr:colOff>
      <xdr:row>4</xdr:row>
      <xdr:rowOff>28575</xdr:rowOff>
    </xdr:from>
    <xdr:to>
      <xdr:col>10</xdr:col>
      <xdr:colOff>533400</xdr:colOff>
      <xdr:row>11</xdr:row>
      <xdr:rowOff>63500</xdr:rowOff>
    </xdr:to>
    <mc:AlternateContent xmlns:mc="http://schemas.openxmlformats.org/markup-compatibility/2006" xmlns:tsle="http://schemas.microsoft.com/office/drawing/2012/timeslicer">
      <mc:Choice Requires="tsle">
        <xdr:graphicFrame macro="">
          <xdr:nvGraphicFramePr>
            <xdr:cNvPr id="4" name="Dates 1">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microsoft.com/office/drawing/2012/timeslicer">
              <tsle:timeslicer name="Dates 1"/>
            </a:graphicData>
          </a:graphic>
        </xdr:graphicFrame>
      </mc:Choice>
      <mc:Fallback xmlns="">
        <xdr:sp macro="" textlink="">
          <xdr:nvSpPr>
            <xdr:cNvPr id="0" name=""/>
            <xdr:cNvSpPr>
              <a:spLocks noTextEdit="1"/>
            </xdr:cNvSpPr>
          </xdr:nvSpPr>
          <xdr:spPr>
            <a:xfrm>
              <a:off x="247650" y="790575"/>
              <a:ext cx="7905750" cy="1371600"/>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0</xdr:row>
      <xdr:rowOff>28575</xdr:rowOff>
    </xdr:from>
    <xdr:to>
      <xdr:col>10</xdr:col>
      <xdr:colOff>753717</xdr:colOff>
      <xdr:row>1048576</xdr:row>
      <xdr:rowOff>330679</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28575"/>
          <a:ext cx="2277717" cy="330679"/>
        </a:xfrm>
        <a:prstGeom prst="rect">
          <a:avLst/>
        </a:prstGeom>
      </xdr:spPr>
    </xdr:pic>
    <xdr:clientData/>
  </xdr:twoCellAnchor>
  <xdr:twoCellAnchor>
    <xdr:from>
      <xdr:col>0</xdr:col>
      <xdr:colOff>0</xdr:colOff>
      <xdr:row>0</xdr:row>
      <xdr:rowOff>0</xdr:rowOff>
    </xdr:from>
    <xdr:to>
      <xdr:col>8</xdr:col>
      <xdr:colOff>19050</xdr:colOff>
      <xdr:row>1</xdr:row>
      <xdr:rowOff>65942</xdr:rowOff>
    </xdr:to>
    <xdr:sp macro="" textlink="">
      <xdr:nvSpPr>
        <xdr:cNvPr id="4" name="ZoneTexte 3">
          <a:extLst>
            <a:ext uri="{FF2B5EF4-FFF2-40B4-BE49-F238E27FC236}">
              <a16:creationId xmlns:a16="http://schemas.microsoft.com/office/drawing/2014/main" id="{00000000-0008-0000-1200-000004000000}"/>
            </a:ext>
          </a:extLst>
        </xdr:cNvPr>
        <xdr:cNvSpPr txBox="1"/>
      </xdr:nvSpPr>
      <xdr:spPr>
        <a:xfrm>
          <a:off x="0" y="0"/>
          <a:ext cx="611505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 la production d'énergie sur site</a:t>
          </a:r>
          <a:endParaRPr lang="fr-FR" sz="16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65942</xdr:rowOff>
    </xdr:to>
    <xdr:sp macro="" textlink="">
      <xdr:nvSpPr>
        <xdr:cNvPr id="2" name="ZoneTexte 1">
          <a:extLst>
            <a:ext uri="{FF2B5EF4-FFF2-40B4-BE49-F238E27FC236}">
              <a16:creationId xmlns:a16="http://schemas.microsoft.com/office/drawing/2014/main" id="{00000000-0008-0000-1300-000002000000}"/>
            </a:ext>
          </a:extLst>
        </xdr:cNvPr>
        <xdr:cNvSpPr txBox="1"/>
      </xdr:nvSpPr>
      <xdr:spPr>
        <a:xfrm>
          <a:off x="0" y="0"/>
          <a:ext cx="457200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sous -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3" name="Imag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4" name="Imag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165652</xdr:colOff>
      <xdr:row>10</xdr:row>
      <xdr:rowOff>14495</xdr:rowOff>
    </xdr:from>
    <xdr:to>
      <xdr:col>7</xdr:col>
      <xdr:colOff>571500</xdr:colOff>
      <xdr:row>31</xdr:row>
      <xdr:rowOff>171864</xdr:rowOff>
    </xdr:to>
    <xdr:graphicFrame macro="">
      <xdr:nvGraphicFramePr>
        <xdr:cNvPr id="11" name="Graphique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197540</xdr:colOff>
      <xdr:row>8</xdr:row>
      <xdr:rowOff>138734</xdr:rowOff>
    </xdr:from>
    <xdr:to>
      <xdr:col>7</xdr:col>
      <xdr:colOff>586822</xdr:colOff>
      <xdr:row>10</xdr:row>
      <xdr:rowOff>14176</xdr:rowOff>
    </xdr:to>
    <xdr:sp macro="" textlink="">
      <xdr:nvSpPr>
        <xdr:cNvPr id="12" name="ZoneTexte 11">
          <a:extLst>
            <a:ext uri="{FF2B5EF4-FFF2-40B4-BE49-F238E27FC236}">
              <a16:creationId xmlns:a16="http://schemas.microsoft.com/office/drawing/2014/main" id="{00000000-0008-0000-1300-00000C000000}"/>
            </a:ext>
          </a:extLst>
        </xdr:cNvPr>
        <xdr:cNvSpPr txBox="1"/>
      </xdr:nvSpPr>
      <xdr:spPr>
        <a:xfrm>
          <a:off x="197540" y="1662734"/>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sous- compteur</a:t>
          </a:r>
          <a:endParaRPr lang="fr-FR"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60325</xdr:colOff>
      <xdr:row>0</xdr:row>
      <xdr:rowOff>36511</xdr:rowOff>
    </xdr:from>
    <xdr:to>
      <xdr:col>12</xdr:col>
      <xdr:colOff>334215</xdr:colOff>
      <xdr:row>0</xdr:row>
      <xdr:rowOff>236536</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9236075" y="36511"/>
          <a:ext cx="147404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twoCellAnchor>
    <xdr:from>
      <xdr:col>12</xdr:col>
      <xdr:colOff>95250</xdr:colOff>
      <xdr:row>9</xdr:row>
      <xdr:rowOff>11111</xdr:rowOff>
    </xdr:from>
    <xdr:to>
      <xdr:col>13</xdr:col>
      <xdr:colOff>369140</xdr:colOff>
      <xdr:row>10</xdr:row>
      <xdr:rowOff>177800</xdr:rowOff>
    </xdr:to>
    <xdr:sp macro="" textlink="">
      <xdr:nvSpPr>
        <xdr:cNvPr id="4" name="Rectangle à coins arrondis 1">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9725025" y="1535111"/>
          <a:ext cx="1073990" cy="357189"/>
        </a:xfrm>
        <a:prstGeom prst="roundRect">
          <a:avLst/>
        </a:prstGeom>
        <a:solidFill>
          <a:srgbClr val="00B05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OptiTurpe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82550</xdr:colOff>
      <xdr:row>0</xdr:row>
      <xdr:rowOff>50800</xdr:rowOff>
    </xdr:from>
    <xdr:to>
      <xdr:col>12</xdr:col>
      <xdr:colOff>756490</xdr:colOff>
      <xdr:row>0</xdr:row>
      <xdr:rowOff>250825</xdr:rowOff>
    </xdr:to>
    <xdr:sp macro="" textlink="">
      <xdr:nvSpPr>
        <xdr:cNvPr id="4" name="Rectangle à coins arrondis 1">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9156700" y="50800"/>
          <a:ext cx="147404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136</xdr:row>
      <xdr:rowOff>0</xdr:rowOff>
    </xdr:from>
    <xdr:to>
      <xdr:col>9</xdr:col>
      <xdr:colOff>1474040</xdr:colOff>
      <xdr:row>137</xdr:row>
      <xdr:rowOff>15875</xdr:rowOff>
    </xdr:to>
    <xdr:sp macro="" textlink="">
      <xdr:nvSpPr>
        <xdr:cNvPr id="4" name="Rectangle à coins arrondis 1">
          <a:hlinkClick xmlns:r="http://schemas.openxmlformats.org/officeDocument/2006/relationships" r:id="rId1"/>
          <a:extLst>
            <a:ext uri="{FF2B5EF4-FFF2-40B4-BE49-F238E27FC236}">
              <a16:creationId xmlns:a16="http://schemas.microsoft.com/office/drawing/2014/main" id="{00000000-0008-0000-1B00-000004000000}"/>
            </a:ext>
          </a:extLst>
        </xdr:cNvPr>
        <xdr:cNvSpPr/>
      </xdr:nvSpPr>
      <xdr:spPr>
        <a:xfrm>
          <a:off x="5410200" y="24911050"/>
          <a:ext cx="147404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twoCellAnchor>
    <xdr:from>
      <xdr:col>9</xdr:col>
      <xdr:colOff>152400</xdr:colOff>
      <xdr:row>136</xdr:row>
      <xdr:rowOff>152400</xdr:rowOff>
    </xdr:from>
    <xdr:to>
      <xdr:col>10</xdr:col>
      <xdr:colOff>121490</xdr:colOff>
      <xdr:row>137</xdr:row>
      <xdr:rowOff>168275</xdr:rowOff>
    </xdr:to>
    <xdr:sp macro="" textlink="">
      <xdr:nvSpPr>
        <xdr:cNvPr id="5" name="Rectangle à coins arrondis 1">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5562600" y="25063450"/>
          <a:ext cx="147404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twoCellAnchor>
    <xdr:from>
      <xdr:col>9</xdr:col>
      <xdr:colOff>304800</xdr:colOff>
      <xdr:row>137</xdr:row>
      <xdr:rowOff>120650</xdr:rowOff>
    </xdr:from>
    <xdr:to>
      <xdr:col>10</xdr:col>
      <xdr:colOff>273890</xdr:colOff>
      <xdr:row>138</xdr:row>
      <xdr:rowOff>136525</xdr:rowOff>
    </xdr:to>
    <xdr:sp macro="" textlink="">
      <xdr:nvSpPr>
        <xdr:cNvPr id="6" name="Rectangle à coins arrondis 1">
          <a:hlinkClick xmlns:r="http://schemas.openxmlformats.org/officeDocument/2006/relationships" r:id="rId1"/>
          <a:extLst>
            <a:ext uri="{FF2B5EF4-FFF2-40B4-BE49-F238E27FC236}">
              <a16:creationId xmlns:a16="http://schemas.microsoft.com/office/drawing/2014/main" id="{00000000-0008-0000-1B00-000006000000}"/>
            </a:ext>
          </a:extLst>
        </xdr:cNvPr>
        <xdr:cNvSpPr/>
      </xdr:nvSpPr>
      <xdr:spPr>
        <a:xfrm>
          <a:off x="5715000" y="25215850"/>
          <a:ext cx="147404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twoCellAnchor>
    <xdr:from>
      <xdr:col>11</xdr:col>
      <xdr:colOff>76200</xdr:colOff>
      <xdr:row>0</xdr:row>
      <xdr:rowOff>31751</xdr:rowOff>
    </xdr:from>
    <xdr:to>
      <xdr:col>12</xdr:col>
      <xdr:colOff>750140</xdr:colOff>
      <xdr:row>0</xdr:row>
      <xdr:rowOff>203201</xdr:rowOff>
    </xdr:to>
    <xdr:sp macro="" textlink="">
      <xdr:nvSpPr>
        <xdr:cNvPr id="7" name="Rectangle à coins arrondis 1">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a:off x="8509000" y="31751"/>
          <a:ext cx="1474040" cy="17145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4269440</xdr:colOff>
      <xdr:row>0</xdr:row>
      <xdr:rowOff>62192</xdr:rowOff>
    </xdr:from>
    <xdr:to>
      <xdr:col>6</xdr:col>
      <xdr:colOff>154379</xdr:colOff>
      <xdr:row>2</xdr:row>
      <xdr:rowOff>11871</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2365" y="66954"/>
          <a:ext cx="2722590" cy="306867"/>
        </a:xfrm>
        <a:prstGeom prst="rect">
          <a:avLst/>
        </a:prstGeom>
      </xdr:spPr>
    </xdr:pic>
    <xdr:clientData/>
  </xdr:twoCellAnchor>
  <xdr:twoCellAnchor>
    <xdr:from>
      <xdr:col>0</xdr:col>
      <xdr:colOff>0</xdr:colOff>
      <xdr:row>0</xdr:row>
      <xdr:rowOff>0</xdr:rowOff>
    </xdr:from>
    <xdr:to>
      <xdr:col>5</xdr:col>
      <xdr:colOff>0</xdr:colOff>
      <xdr:row>1</xdr:row>
      <xdr:rowOff>65942</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0" y="0"/>
          <a:ext cx="14030325" cy="24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Calcul de la valeur absolue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69850</xdr:colOff>
      <xdr:row>0</xdr:row>
      <xdr:rowOff>44450</xdr:rowOff>
    </xdr:from>
    <xdr:to>
      <xdr:col>12</xdr:col>
      <xdr:colOff>743790</xdr:colOff>
      <xdr:row>0</xdr:row>
      <xdr:rowOff>244475</xdr:rowOff>
    </xdr:to>
    <xdr:sp macro="" textlink="">
      <xdr:nvSpPr>
        <xdr:cNvPr id="4" name="Rectangle à coins arrondis 1">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8305800" y="44450"/>
          <a:ext cx="147404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76201</xdr:colOff>
      <xdr:row>0</xdr:row>
      <xdr:rowOff>38100</xdr:rowOff>
    </xdr:from>
    <xdr:to>
      <xdr:col>12</xdr:col>
      <xdr:colOff>694579</xdr:colOff>
      <xdr:row>0</xdr:row>
      <xdr:rowOff>260350</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8578851" y="38100"/>
          <a:ext cx="1418478" cy="22225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114301</xdr:colOff>
      <xdr:row>0</xdr:row>
      <xdr:rowOff>22225</xdr:rowOff>
    </xdr:from>
    <xdr:to>
      <xdr:col>12</xdr:col>
      <xdr:colOff>580279</xdr:colOff>
      <xdr:row>0</xdr:row>
      <xdr:rowOff>222250</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8794751" y="22225"/>
          <a:ext cx="1266078"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107950</xdr:colOff>
      <xdr:row>0</xdr:row>
      <xdr:rowOff>28575</xdr:rowOff>
    </xdr:from>
    <xdr:to>
      <xdr:col>12</xdr:col>
      <xdr:colOff>577103</xdr:colOff>
      <xdr:row>0</xdr:row>
      <xdr:rowOff>209550</xdr:rowOff>
    </xdr:to>
    <xdr:sp macro="" textlink="">
      <xdr:nvSpPr>
        <xdr:cNvPr id="4" name="Rectangle à coins arrondis 1">
          <a:hlinkClick xmlns:r="http://schemas.openxmlformats.org/officeDocument/2006/relationships" r:id="rId1"/>
          <a:extLst>
            <a:ext uri="{FF2B5EF4-FFF2-40B4-BE49-F238E27FC236}">
              <a16:creationId xmlns:a16="http://schemas.microsoft.com/office/drawing/2014/main" id="{00000000-0008-0000-1F00-000004000000}"/>
            </a:ext>
          </a:extLst>
        </xdr:cNvPr>
        <xdr:cNvSpPr/>
      </xdr:nvSpPr>
      <xdr:spPr>
        <a:xfrm>
          <a:off x="8464550" y="28575"/>
          <a:ext cx="1269253" cy="1809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82551</xdr:colOff>
      <xdr:row>0</xdr:row>
      <xdr:rowOff>31750</xdr:rowOff>
    </xdr:from>
    <xdr:to>
      <xdr:col>12</xdr:col>
      <xdr:colOff>571501</xdr:colOff>
      <xdr:row>0</xdr:row>
      <xdr:rowOff>228600</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8540751" y="31750"/>
          <a:ext cx="1289050" cy="19685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93890</xdr:colOff>
      <xdr:row>0</xdr:row>
      <xdr:rowOff>49894</xdr:rowOff>
    </xdr:from>
    <xdr:to>
      <xdr:col>14</xdr:col>
      <xdr:colOff>123825</xdr:colOff>
      <xdr:row>7</xdr:row>
      <xdr:rowOff>30160</xdr:rowOff>
    </xdr:to>
    <xdr:pic>
      <xdr:nvPicPr>
        <xdr:cNvPr id="2" name="Imag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6619765" y="49894"/>
          <a:ext cx="1588860" cy="1710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285750</xdr:colOff>
      <xdr:row>5</xdr:row>
      <xdr:rowOff>57150</xdr:rowOff>
    </xdr:from>
    <xdr:to>
      <xdr:col>9</xdr:col>
      <xdr:colOff>1533525</xdr:colOff>
      <xdr:row>9</xdr:row>
      <xdr:rowOff>108857</xdr:rowOff>
    </xdr:to>
    <xdr:cxnSp macro="">
      <xdr:nvCxnSpPr>
        <xdr:cNvPr id="3" name="Connecteur droit avec flèche 2">
          <a:extLst>
            <a:ext uri="{FF2B5EF4-FFF2-40B4-BE49-F238E27FC236}">
              <a16:creationId xmlns:a16="http://schemas.microsoft.com/office/drawing/2014/main" id="{00000000-0008-0000-0400-000003000000}"/>
            </a:ext>
          </a:extLst>
        </xdr:cNvPr>
        <xdr:cNvCxnSpPr/>
      </xdr:nvCxnSpPr>
      <xdr:spPr>
        <a:xfrm flipH="1">
          <a:off x="7987393" y="941614"/>
          <a:ext cx="3588203" cy="7592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1609726</xdr:colOff>
      <xdr:row>5</xdr:row>
      <xdr:rowOff>76200</xdr:rowOff>
    </xdr:from>
    <xdr:to>
      <xdr:col>11</xdr:col>
      <xdr:colOff>843642</xdr:colOff>
      <xdr:row>9</xdr:row>
      <xdr:rowOff>136071</xdr:rowOff>
    </xdr:to>
    <xdr:cxnSp macro="">
      <xdr:nvCxnSpPr>
        <xdr:cNvPr id="4" name="Connecteur droit avec flèche 3">
          <a:extLst>
            <a:ext uri="{FF2B5EF4-FFF2-40B4-BE49-F238E27FC236}">
              <a16:creationId xmlns:a16="http://schemas.microsoft.com/office/drawing/2014/main" id="{00000000-0008-0000-0400-000004000000}"/>
            </a:ext>
          </a:extLst>
        </xdr:cNvPr>
        <xdr:cNvCxnSpPr/>
      </xdr:nvCxnSpPr>
      <xdr:spPr>
        <a:xfrm>
          <a:off x="11651797" y="960664"/>
          <a:ext cx="1628774" cy="7674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7258</xdr:colOff>
      <xdr:row>5</xdr:row>
      <xdr:rowOff>68038</xdr:rowOff>
    </xdr:from>
    <xdr:to>
      <xdr:col>8</xdr:col>
      <xdr:colOff>17318</xdr:colOff>
      <xdr:row>6</xdr:row>
      <xdr:rowOff>207819</xdr:rowOff>
    </xdr:to>
    <xdr:sp macro="" textlink="">
      <xdr:nvSpPr>
        <xdr:cNvPr id="5" name="Rectangle à coins arrondi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6726713" y="1280311"/>
          <a:ext cx="2036287" cy="399553"/>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600" b="0" cap="none" spc="0">
              <a:ln w="0"/>
              <a:solidFill>
                <a:sysClr val="windowText" lastClr="000000"/>
              </a:solidFill>
              <a:effectLst>
                <a:outerShdw blurRad="38100" dist="19050" dir="2700000" algn="tl" rotWithShape="0">
                  <a:schemeClr val="dk1">
                    <a:alpha val="40000"/>
                  </a:schemeClr>
                </a:outerShdw>
              </a:effectLst>
            </a:rPr>
            <a:t>Tutoriel MAJ DJU</a:t>
          </a:r>
        </a:p>
      </xdr:txBody>
    </xdr:sp>
    <xdr:clientData/>
  </xdr:twoCellAnchor>
  <xdr:twoCellAnchor>
    <xdr:from>
      <xdr:col>6</xdr:col>
      <xdr:colOff>786493</xdr:colOff>
      <xdr:row>7</xdr:row>
      <xdr:rowOff>84816</xdr:rowOff>
    </xdr:from>
    <xdr:to>
      <xdr:col>8</xdr:col>
      <xdr:colOff>162374</xdr:colOff>
      <xdr:row>9</xdr:row>
      <xdr:rowOff>17317</xdr:rowOff>
    </xdr:to>
    <xdr:sp macro="" textlink="">
      <xdr:nvSpPr>
        <xdr:cNvPr id="6" name="Rectangle à coins arrondis 1">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6709311" y="1816634"/>
          <a:ext cx="2198745" cy="452047"/>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600">
              <a:solidFill>
                <a:sysClr val="windowText" lastClr="000000"/>
              </a:solidFill>
            </a:rPr>
            <a:t>Retour </a:t>
          </a:r>
          <a:r>
            <a:rPr lang="fr-FR" sz="1600">
              <a:solidFill>
                <a:sysClr val="windowText" lastClr="000000"/>
              </a:solidFill>
              <a:effectLst/>
              <a:latin typeface="+mn-lt"/>
              <a:ea typeface="+mn-ea"/>
              <a:cs typeface="+mn-cs"/>
            </a:rPr>
            <a:t>Onglet Site</a:t>
          </a:r>
          <a:endParaRPr lang="fr-FR" sz="1600">
            <a:solidFill>
              <a:sysClr val="windowText" lastClr="000000"/>
            </a:solidFill>
          </a:endParaRPr>
        </a:p>
      </xdr:txBody>
    </xdr:sp>
    <xdr:clientData/>
  </xdr:twoCellAnchor>
  <xdr:twoCellAnchor>
    <xdr:from>
      <xdr:col>7</xdr:col>
      <xdr:colOff>76532</xdr:colOff>
      <xdr:row>2</xdr:row>
      <xdr:rowOff>45603</xdr:rowOff>
    </xdr:from>
    <xdr:to>
      <xdr:col>7</xdr:col>
      <xdr:colOff>1973036</xdr:colOff>
      <xdr:row>2</xdr:row>
      <xdr:rowOff>447097</xdr:rowOff>
    </xdr:to>
    <xdr:sp macro="" textlink="">
      <xdr:nvSpPr>
        <xdr:cNvPr id="8" name="Rectangle à coins arrondis 4">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5764318" y="481032"/>
          <a:ext cx="1896504" cy="401494"/>
        </a:xfrm>
        <a:prstGeom prst="roundRect">
          <a:avLst/>
        </a:prstGeom>
        <a:solidFill>
          <a:srgbClr val="92D050"/>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600" b="0" cap="none" spc="0">
              <a:ln w="0"/>
              <a:solidFill>
                <a:sysClr val="windowText" lastClr="000000"/>
              </a:solidFill>
              <a:effectLst>
                <a:outerShdw blurRad="38100" dist="19050" dir="2700000" algn="tl" rotWithShape="0">
                  <a:schemeClr val="dk1">
                    <a:alpha val="40000"/>
                  </a:schemeClr>
                </a:outerShdw>
              </a:effectLst>
            </a:rPr>
            <a:t>Site DJU</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60</xdr:row>
          <xdr:rowOff>19050</xdr:rowOff>
        </xdr:from>
        <xdr:to>
          <xdr:col>4</xdr:col>
          <xdr:colOff>76200</xdr:colOff>
          <xdr:row>61</xdr:row>
          <xdr:rowOff>76200</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111500</xdr:colOff>
      <xdr:row>37</xdr:row>
      <xdr:rowOff>19050</xdr:rowOff>
    </xdr:from>
    <xdr:to>
      <xdr:col>11</xdr:col>
      <xdr:colOff>611842</xdr:colOff>
      <xdr:row>37</xdr:row>
      <xdr:rowOff>317625</xdr:rowOff>
    </xdr:to>
    <xdr:sp macro="" textlink="">
      <xdr:nvSpPr>
        <xdr:cNvPr id="4" name="Rectangle à coins arrondis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8459882" y="6641726"/>
          <a:ext cx="1262342"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1</a:t>
          </a:r>
        </a:p>
      </xdr:txBody>
    </xdr:sp>
    <xdr:clientData/>
  </xdr:twoCellAnchor>
  <xdr:twoCellAnchor>
    <xdr:from>
      <xdr:col>10</xdr:col>
      <xdr:colOff>101975</xdr:colOff>
      <xdr:row>38</xdr:row>
      <xdr:rowOff>28575</xdr:rowOff>
    </xdr:from>
    <xdr:to>
      <xdr:col>11</xdr:col>
      <xdr:colOff>621367</xdr:colOff>
      <xdr:row>38</xdr:row>
      <xdr:rowOff>298575</xdr:rowOff>
    </xdr:to>
    <xdr:sp macro="" textlink="">
      <xdr:nvSpPr>
        <xdr:cNvPr id="8" name="Rectangle à coins arrondis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8450357" y="6998634"/>
          <a:ext cx="128139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2</a:t>
          </a:r>
        </a:p>
      </xdr:txBody>
    </xdr:sp>
    <xdr:clientData/>
  </xdr:twoCellAnchor>
  <xdr:twoCellAnchor>
    <xdr:from>
      <xdr:col>10</xdr:col>
      <xdr:colOff>111500</xdr:colOff>
      <xdr:row>39</xdr:row>
      <xdr:rowOff>47625</xdr:rowOff>
    </xdr:from>
    <xdr:to>
      <xdr:col>11</xdr:col>
      <xdr:colOff>611842</xdr:colOff>
      <xdr:row>39</xdr:row>
      <xdr:rowOff>317625</xdr:rowOff>
    </xdr:to>
    <xdr:sp macro="" textlink="">
      <xdr:nvSpPr>
        <xdr:cNvPr id="9" name="Rectangle à coins arrondis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8459882" y="736506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3</a:t>
          </a:r>
        </a:p>
      </xdr:txBody>
    </xdr:sp>
    <xdr:clientData/>
  </xdr:twoCellAnchor>
  <xdr:twoCellAnchor>
    <xdr:from>
      <xdr:col>10</xdr:col>
      <xdr:colOff>111500</xdr:colOff>
      <xdr:row>40</xdr:row>
      <xdr:rowOff>57150</xdr:rowOff>
    </xdr:from>
    <xdr:to>
      <xdr:col>11</xdr:col>
      <xdr:colOff>611842</xdr:colOff>
      <xdr:row>40</xdr:row>
      <xdr:rowOff>327150</xdr:rowOff>
    </xdr:to>
    <xdr:sp macro="" textlink="">
      <xdr:nvSpPr>
        <xdr:cNvPr id="10" name="Rectangle à coins arrondis 9">
          <a:hlinkClick xmlns:r="http://schemas.openxmlformats.org/officeDocument/2006/relationships" r:id="rId4"/>
          <a:extLst>
            <a:ext uri="{FF2B5EF4-FFF2-40B4-BE49-F238E27FC236}">
              <a16:creationId xmlns:a16="http://schemas.microsoft.com/office/drawing/2014/main" id="{00000000-0008-0000-0500-00000A000000}"/>
            </a:ext>
          </a:extLst>
        </xdr:cNvPr>
        <xdr:cNvSpPr/>
      </xdr:nvSpPr>
      <xdr:spPr>
        <a:xfrm>
          <a:off x="8459882" y="7721974"/>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4</a:t>
          </a:r>
        </a:p>
      </xdr:txBody>
    </xdr:sp>
    <xdr:clientData/>
  </xdr:twoCellAnchor>
  <xdr:twoCellAnchor>
    <xdr:from>
      <xdr:col>10</xdr:col>
      <xdr:colOff>111500</xdr:colOff>
      <xdr:row>41</xdr:row>
      <xdr:rowOff>57150</xdr:rowOff>
    </xdr:from>
    <xdr:to>
      <xdr:col>11</xdr:col>
      <xdr:colOff>611842</xdr:colOff>
      <xdr:row>41</xdr:row>
      <xdr:rowOff>327150</xdr:rowOff>
    </xdr:to>
    <xdr:sp macro="" textlink="">
      <xdr:nvSpPr>
        <xdr:cNvPr id="11" name="Rectangle à coins arrondis 10">
          <a:hlinkClick xmlns:r="http://schemas.openxmlformats.org/officeDocument/2006/relationships" r:id="rId5"/>
          <a:extLst>
            <a:ext uri="{FF2B5EF4-FFF2-40B4-BE49-F238E27FC236}">
              <a16:creationId xmlns:a16="http://schemas.microsoft.com/office/drawing/2014/main" id="{00000000-0008-0000-0500-00000B000000}"/>
            </a:ext>
          </a:extLst>
        </xdr:cNvPr>
        <xdr:cNvSpPr/>
      </xdr:nvSpPr>
      <xdr:spPr>
        <a:xfrm>
          <a:off x="8459882" y="806935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5</a:t>
          </a:r>
        </a:p>
      </xdr:txBody>
    </xdr:sp>
    <xdr:clientData/>
  </xdr:twoCellAnchor>
  <xdr:twoCellAnchor>
    <xdr:from>
      <xdr:col>10</xdr:col>
      <xdr:colOff>111500</xdr:colOff>
      <xdr:row>42</xdr:row>
      <xdr:rowOff>66675</xdr:rowOff>
    </xdr:from>
    <xdr:to>
      <xdr:col>11</xdr:col>
      <xdr:colOff>611842</xdr:colOff>
      <xdr:row>42</xdr:row>
      <xdr:rowOff>336675</xdr:rowOff>
    </xdr:to>
    <xdr:sp macro="" textlink="">
      <xdr:nvSpPr>
        <xdr:cNvPr id="12" name="Rectangle à coins arrondis 11">
          <a:hlinkClick xmlns:r="http://schemas.openxmlformats.org/officeDocument/2006/relationships" r:id="rId6"/>
          <a:extLst>
            <a:ext uri="{FF2B5EF4-FFF2-40B4-BE49-F238E27FC236}">
              <a16:creationId xmlns:a16="http://schemas.microsoft.com/office/drawing/2014/main" id="{00000000-0008-0000-0500-00000C000000}"/>
            </a:ext>
          </a:extLst>
        </xdr:cNvPr>
        <xdr:cNvSpPr/>
      </xdr:nvSpPr>
      <xdr:spPr>
        <a:xfrm>
          <a:off x="8459882" y="8426263"/>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6</a:t>
          </a:r>
        </a:p>
      </xdr:txBody>
    </xdr:sp>
    <xdr:clientData/>
  </xdr:twoCellAnchor>
  <xdr:twoCellAnchor>
    <xdr:from>
      <xdr:col>10</xdr:col>
      <xdr:colOff>111500</xdr:colOff>
      <xdr:row>43</xdr:row>
      <xdr:rowOff>57150</xdr:rowOff>
    </xdr:from>
    <xdr:to>
      <xdr:col>11</xdr:col>
      <xdr:colOff>611842</xdr:colOff>
      <xdr:row>43</xdr:row>
      <xdr:rowOff>327150</xdr:rowOff>
    </xdr:to>
    <xdr:sp macro="" textlink="">
      <xdr:nvSpPr>
        <xdr:cNvPr id="13" name="Rectangle à coins arrondis 12">
          <a:hlinkClick xmlns:r="http://schemas.openxmlformats.org/officeDocument/2006/relationships" r:id="rId7"/>
          <a:extLst>
            <a:ext uri="{FF2B5EF4-FFF2-40B4-BE49-F238E27FC236}">
              <a16:creationId xmlns:a16="http://schemas.microsoft.com/office/drawing/2014/main" id="{00000000-0008-0000-0500-00000D000000}"/>
            </a:ext>
          </a:extLst>
        </xdr:cNvPr>
        <xdr:cNvSpPr/>
      </xdr:nvSpPr>
      <xdr:spPr>
        <a:xfrm>
          <a:off x="8459882" y="8764121"/>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7</a:t>
          </a:r>
        </a:p>
      </xdr:txBody>
    </xdr:sp>
    <xdr:clientData/>
  </xdr:twoCellAnchor>
  <xdr:twoCellAnchor>
    <xdr:from>
      <xdr:col>10</xdr:col>
      <xdr:colOff>111500</xdr:colOff>
      <xdr:row>44</xdr:row>
      <xdr:rowOff>47625</xdr:rowOff>
    </xdr:from>
    <xdr:to>
      <xdr:col>11</xdr:col>
      <xdr:colOff>611842</xdr:colOff>
      <xdr:row>44</xdr:row>
      <xdr:rowOff>317625</xdr:rowOff>
    </xdr:to>
    <xdr:sp macro="" textlink="">
      <xdr:nvSpPr>
        <xdr:cNvPr id="14" name="Rectangle à coins arrondis 13">
          <a:hlinkClick xmlns:r="http://schemas.openxmlformats.org/officeDocument/2006/relationships" r:id="rId8"/>
          <a:extLst>
            <a:ext uri="{FF2B5EF4-FFF2-40B4-BE49-F238E27FC236}">
              <a16:creationId xmlns:a16="http://schemas.microsoft.com/office/drawing/2014/main" id="{00000000-0008-0000-0500-00000E000000}"/>
            </a:ext>
          </a:extLst>
        </xdr:cNvPr>
        <xdr:cNvSpPr/>
      </xdr:nvSpPr>
      <xdr:spPr>
        <a:xfrm>
          <a:off x="8459882" y="9101978"/>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8</a:t>
          </a:r>
        </a:p>
      </xdr:txBody>
    </xdr:sp>
    <xdr:clientData/>
  </xdr:twoCellAnchor>
  <xdr:twoCellAnchor editAs="oneCell">
    <xdr:from>
      <xdr:col>5</xdr:col>
      <xdr:colOff>994396</xdr:colOff>
      <xdr:row>0</xdr:row>
      <xdr:rowOff>67236</xdr:rowOff>
    </xdr:from>
    <xdr:to>
      <xdr:col>8</xdr:col>
      <xdr:colOff>56026</xdr:colOff>
      <xdr:row>2</xdr:row>
      <xdr:rowOff>10471</xdr:rowOff>
    </xdr:to>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4714749" y="67236"/>
          <a:ext cx="2277718" cy="3354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76200</xdr:colOff>
          <xdr:row>28</xdr:row>
          <xdr:rowOff>171450</xdr:rowOff>
        </xdr:from>
        <xdr:to>
          <xdr:col>4</xdr:col>
          <xdr:colOff>361950</xdr:colOff>
          <xdr:row>30</xdr:row>
          <xdr:rowOff>76200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5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64</xdr:row>
          <xdr:rowOff>19050</xdr:rowOff>
        </xdr:from>
        <xdr:to>
          <xdr:col>4</xdr:col>
          <xdr:colOff>57150</xdr:colOff>
          <xdr:row>65</xdr:row>
          <xdr:rowOff>76200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5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331661</xdr:colOff>
      <xdr:row>0</xdr:row>
      <xdr:rowOff>0</xdr:rowOff>
    </xdr:from>
    <xdr:to>
      <xdr:col>9</xdr:col>
      <xdr:colOff>975142</xdr:colOff>
      <xdr:row>3</xdr:row>
      <xdr:rowOff>134470</xdr:rowOff>
    </xdr:to>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602" y="0"/>
          <a:ext cx="1529493"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70</xdr:row>
          <xdr:rowOff>190500</xdr:rowOff>
        </xdr:from>
        <xdr:to>
          <xdr:col>4</xdr:col>
          <xdr:colOff>47625</xdr:colOff>
          <xdr:row>72</xdr:row>
          <xdr:rowOff>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133350</xdr:rowOff>
        </xdr:from>
        <xdr:to>
          <xdr:col>5</xdr:col>
          <xdr:colOff>590550</xdr:colOff>
          <xdr:row>33</xdr:row>
          <xdr:rowOff>76200</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5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58</xdr:row>
          <xdr:rowOff>209550</xdr:rowOff>
        </xdr:from>
        <xdr:to>
          <xdr:col>8</xdr:col>
          <xdr:colOff>457200</xdr:colOff>
          <xdr:row>60</xdr:row>
          <xdr:rowOff>38100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5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459442</xdr:colOff>
      <xdr:row>58</xdr:row>
      <xdr:rowOff>19330</xdr:rowOff>
    </xdr:from>
    <xdr:to>
      <xdr:col>4</xdr:col>
      <xdr:colOff>459442</xdr:colOff>
      <xdr:row>74</xdr:row>
      <xdr:rowOff>219075</xdr:rowOff>
    </xdr:to>
    <xdr:cxnSp macro="">
      <xdr:nvCxnSpPr>
        <xdr:cNvPr id="3" name="Connecteur droit 2">
          <a:extLst>
            <a:ext uri="{FF2B5EF4-FFF2-40B4-BE49-F238E27FC236}">
              <a16:creationId xmlns:a16="http://schemas.microsoft.com/office/drawing/2014/main" id="{00000000-0008-0000-0500-000003000000}"/>
            </a:ext>
          </a:extLst>
        </xdr:cNvPr>
        <xdr:cNvCxnSpPr/>
      </xdr:nvCxnSpPr>
      <xdr:spPr>
        <a:xfrm>
          <a:off x="3588405" y="18035868"/>
          <a:ext cx="0" cy="28143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1057275</xdr:colOff>
          <xdr:row>70</xdr:row>
          <xdr:rowOff>19050</xdr:rowOff>
        </xdr:from>
        <xdr:to>
          <xdr:col>8</xdr:col>
          <xdr:colOff>104775</xdr:colOff>
          <xdr:row>71</xdr:row>
          <xdr:rowOff>47625</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5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257736</xdr:colOff>
      <xdr:row>0</xdr:row>
      <xdr:rowOff>89646</xdr:rowOff>
    </xdr:from>
    <xdr:to>
      <xdr:col>11</xdr:col>
      <xdr:colOff>582705</xdr:colOff>
      <xdr:row>1</xdr:row>
      <xdr:rowOff>190499</xdr:rowOff>
    </xdr:to>
    <xdr:sp macro="" textlink="">
      <xdr:nvSpPr>
        <xdr:cNvPr id="2" name="Rectangle à coins arrondis 1">
          <a:hlinkClick xmlns:r="http://schemas.openxmlformats.org/officeDocument/2006/relationships" r:id="rId11"/>
          <a:extLst>
            <a:ext uri="{FF2B5EF4-FFF2-40B4-BE49-F238E27FC236}">
              <a16:creationId xmlns:a16="http://schemas.microsoft.com/office/drawing/2014/main" id="{00000000-0008-0000-0500-000002000000}"/>
            </a:ext>
          </a:extLst>
        </xdr:cNvPr>
        <xdr:cNvSpPr/>
      </xdr:nvSpPr>
      <xdr:spPr>
        <a:xfrm>
          <a:off x="9188824" y="89646"/>
          <a:ext cx="1086969" cy="291353"/>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100" b="0" cap="none" spc="0">
              <a:ln w="0"/>
              <a:solidFill>
                <a:sysClr val="windowText" lastClr="000000"/>
              </a:solidFill>
              <a:effectLst>
                <a:outerShdw blurRad="38100" dist="19050" dir="2700000" algn="tl" rotWithShape="0">
                  <a:schemeClr val="dk1">
                    <a:alpha val="40000"/>
                  </a:schemeClr>
                </a:outerShdw>
              </a:effectLst>
            </a:rPr>
            <a:t>Tutoriel Vidéo</a:t>
          </a:r>
        </a:p>
      </xdr:txBody>
    </xdr:sp>
    <xdr:clientData/>
  </xdr:twoCellAnchor>
  <xdr:twoCellAnchor>
    <xdr:from>
      <xdr:col>10</xdr:col>
      <xdr:colOff>242048</xdr:colOff>
      <xdr:row>2</xdr:row>
      <xdr:rowOff>51546</xdr:rowOff>
    </xdr:from>
    <xdr:to>
      <xdr:col>11</xdr:col>
      <xdr:colOff>567017</xdr:colOff>
      <xdr:row>4</xdr:row>
      <xdr:rowOff>100853</xdr:rowOff>
    </xdr:to>
    <xdr:sp macro="" textlink="">
      <xdr:nvSpPr>
        <xdr:cNvPr id="24" name="Rectangle à coins arrondis 23">
          <a:hlinkClick xmlns:r="http://schemas.openxmlformats.org/officeDocument/2006/relationships" r:id="rId12"/>
          <a:extLst>
            <a:ext uri="{FF2B5EF4-FFF2-40B4-BE49-F238E27FC236}">
              <a16:creationId xmlns:a16="http://schemas.microsoft.com/office/drawing/2014/main" id="{00000000-0008-0000-0500-000018000000}"/>
            </a:ext>
          </a:extLst>
        </xdr:cNvPr>
        <xdr:cNvSpPr/>
      </xdr:nvSpPr>
      <xdr:spPr>
        <a:xfrm>
          <a:off x="9173136" y="443752"/>
          <a:ext cx="1086969" cy="475130"/>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050" b="0" cap="none" spc="0">
              <a:ln w="0"/>
              <a:solidFill>
                <a:sysClr val="windowText" lastClr="000000"/>
              </a:solidFill>
              <a:effectLst>
                <a:outerShdw blurRad="38100" dist="19050" dir="2700000" algn="tl" rotWithShape="0">
                  <a:schemeClr val="dk1">
                    <a:alpha val="40000"/>
                  </a:schemeClr>
                </a:outerShdw>
              </a:effectLst>
            </a:rPr>
            <a:t>Base Doc MAPES</a:t>
          </a:r>
        </a:p>
      </xdr:txBody>
    </xdr:sp>
    <xdr:clientData/>
  </xdr:twoCellAnchor>
  <xdr:twoCellAnchor>
    <xdr:from>
      <xdr:col>10</xdr:col>
      <xdr:colOff>111500</xdr:colOff>
      <xdr:row>37</xdr:row>
      <xdr:rowOff>19050</xdr:rowOff>
    </xdr:from>
    <xdr:to>
      <xdr:col>11</xdr:col>
      <xdr:colOff>611842</xdr:colOff>
      <xdr:row>37</xdr:row>
      <xdr:rowOff>317625</xdr:rowOff>
    </xdr:to>
    <xdr:sp macro="" textlink="Compteur_1!L1">
      <xdr:nvSpPr>
        <xdr:cNvPr id="25" name="Rectangle à coins arrondis 3">
          <a:hlinkClick xmlns:r="http://schemas.openxmlformats.org/officeDocument/2006/relationships" r:id="rId1"/>
          <a:extLst>
            <a:ext uri="{FF2B5EF4-FFF2-40B4-BE49-F238E27FC236}">
              <a16:creationId xmlns:a16="http://schemas.microsoft.com/office/drawing/2014/main" id="{00000000-0008-0000-0500-000019000000}"/>
            </a:ext>
          </a:extLst>
        </xdr:cNvPr>
        <xdr:cNvSpPr/>
      </xdr:nvSpPr>
      <xdr:spPr>
        <a:xfrm>
          <a:off x="9807950" y="8839200"/>
          <a:ext cx="1300442" cy="295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C8E0DA9C-C659-495E-A44A-EB826599E61D}" type="TxLink">
            <a:rPr lang="en-US" sz="1100" b="0" i="0" u="none" strike="noStrike">
              <a:solidFill>
                <a:srgbClr val="000000"/>
              </a:solidFill>
              <a:latin typeface="Calibri"/>
              <a:cs typeface="Calibri"/>
            </a:rPr>
            <a:pPr algn="l"/>
            <a:t>Elec Générale (Factures)</a:t>
          </a:fld>
          <a:endParaRPr lang="fr-FR" sz="1100">
            <a:solidFill>
              <a:sysClr val="windowText" lastClr="000000"/>
            </a:solidFill>
          </a:endParaRPr>
        </a:p>
      </xdr:txBody>
    </xdr:sp>
    <xdr:clientData/>
  </xdr:twoCellAnchor>
  <xdr:twoCellAnchor>
    <xdr:from>
      <xdr:col>10</xdr:col>
      <xdr:colOff>101975</xdr:colOff>
      <xdr:row>38</xdr:row>
      <xdr:rowOff>28575</xdr:rowOff>
    </xdr:from>
    <xdr:to>
      <xdr:col>11</xdr:col>
      <xdr:colOff>621367</xdr:colOff>
      <xdr:row>38</xdr:row>
      <xdr:rowOff>298575</xdr:rowOff>
    </xdr:to>
    <xdr:sp macro="" textlink="Compteur_2!L1">
      <xdr:nvSpPr>
        <xdr:cNvPr id="26" name="Rectangle à coins arrondis 7">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9801600" y="9188450"/>
          <a:ext cx="13131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5C10FF51-0469-4293-9890-EC79C88941FE}" type="TxLink">
            <a:rPr lang="en-US" sz="1100" b="0" i="0" u="none" strike="noStrike">
              <a:solidFill>
                <a:srgbClr val="000000"/>
              </a:solidFill>
              <a:latin typeface="Calibri"/>
              <a:cs typeface="Calibri"/>
            </a:rPr>
            <a:pPr algn="l"/>
            <a:t>Chaleur Générale (factures)</a:t>
          </a:fld>
          <a:endParaRPr lang="fr-FR" sz="1100">
            <a:solidFill>
              <a:sysClr val="windowText" lastClr="000000"/>
            </a:solidFill>
          </a:endParaRPr>
        </a:p>
      </xdr:txBody>
    </xdr:sp>
    <xdr:clientData/>
  </xdr:twoCellAnchor>
  <xdr:twoCellAnchor>
    <xdr:from>
      <xdr:col>10</xdr:col>
      <xdr:colOff>111500</xdr:colOff>
      <xdr:row>39</xdr:row>
      <xdr:rowOff>47625</xdr:rowOff>
    </xdr:from>
    <xdr:to>
      <xdr:col>11</xdr:col>
      <xdr:colOff>611842</xdr:colOff>
      <xdr:row>39</xdr:row>
      <xdr:rowOff>317625</xdr:rowOff>
    </xdr:to>
    <xdr:sp macro="" textlink="Compteur_3!L1">
      <xdr:nvSpPr>
        <xdr:cNvPr id="27" name="Rectangle à coins arrondis 8">
          <a:hlinkClick xmlns:r="http://schemas.openxmlformats.org/officeDocument/2006/relationships" r:id="rId3"/>
          <a:extLst>
            <a:ext uri="{FF2B5EF4-FFF2-40B4-BE49-F238E27FC236}">
              <a16:creationId xmlns:a16="http://schemas.microsoft.com/office/drawing/2014/main" id="{00000000-0008-0000-0500-00001B000000}"/>
            </a:ext>
          </a:extLst>
        </xdr:cNvPr>
        <xdr:cNvSpPr/>
      </xdr:nvSpPr>
      <xdr:spPr>
        <a:xfrm>
          <a:off x="9807950" y="9550400"/>
          <a:ext cx="13004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F5A2508B-57B7-4482-94FF-E9ED55EE1944}" type="TxLink">
            <a:rPr lang="en-US" sz="1100" b="0" i="0" u="none" strike="noStrike">
              <a:solidFill>
                <a:srgbClr val="000000"/>
              </a:solidFill>
              <a:latin typeface="Calibri"/>
              <a:cs typeface="Calibri"/>
            </a:rPr>
            <a:pPr algn="l"/>
            <a:t>Eau Générale (factures)</a:t>
          </a:fld>
          <a:endParaRPr lang="fr-FR" sz="1100">
            <a:solidFill>
              <a:sysClr val="windowText" lastClr="000000"/>
            </a:solidFill>
          </a:endParaRPr>
        </a:p>
      </xdr:txBody>
    </xdr:sp>
    <xdr:clientData/>
  </xdr:twoCellAnchor>
  <xdr:twoCellAnchor>
    <xdr:from>
      <xdr:col>10</xdr:col>
      <xdr:colOff>111500</xdr:colOff>
      <xdr:row>40</xdr:row>
      <xdr:rowOff>57150</xdr:rowOff>
    </xdr:from>
    <xdr:to>
      <xdr:col>11</xdr:col>
      <xdr:colOff>611842</xdr:colOff>
      <xdr:row>40</xdr:row>
      <xdr:rowOff>327150</xdr:rowOff>
    </xdr:to>
    <xdr:sp macro="" textlink="Compteur_4!L1">
      <xdr:nvSpPr>
        <xdr:cNvPr id="28" name="Rectangle à coins arrondis 9">
          <a:hlinkClick xmlns:r="http://schemas.openxmlformats.org/officeDocument/2006/relationships" r:id="rId4"/>
          <a:extLst>
            <a:ext uri="{FF2B5EF4-FFF2-40B4-BE49-F238E27FC236}">
              <a16:creationId xmlns:a16="http://schemas.microsoft.com/office/drawing/2014/main" id="{00000000-0008-0000-0500-00001C000000}"/>
            </a:ext>
          </a:extLst>
        </xdr:cNvPr>
        <xdr:cNvSpPr/>
      </xdr:nvSpPr>
      <xdr:spPr>
        <a:xfrm>
          <a:off x="9807950" y="9906000"/>
          <a:ext cx="1300442" cy="2731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C736FF6E-51A5-44DE-8C47-C49B7050BAB2}" type="TxLink">
            <a:rPr lang="en-US" sz="1100" b="0" i="0" u="none" strike="noStrike">
              <a:solidFill>
                <a:srgbClr val="000000"/>
              </a:solidFill>
              <a:latin typeface="Calibri"/>
              <a:cs typeface="Calibri"/>
            </a:rPr>
            <a:pPr algn="l"/>
            <a:t>Compteur 4</a:t>
          </a:fld>
          <a:endParaRPr lang="fr-FR" sz="1100">
            <a:solidFill>
              <a:sysClr val="windowText" lastClr="000000"/>
            </a:solidFill>
          </a:endParaRPr>
        </a:p>
      </xdr:txBody>
    </xdr:sp>
    <xdr:clientData/>
  </xdr:twoCellAnchor>
  <xdr:twoCellAnchor>
    <xdr:from>
      <xdr:col>10</xdr:col>
      <xdr:colOff>111500</xdr:colOff>
      <xdr:row>41</xdr:row>
      <xdr:rowOff>57150</xdr:rowOff>
    </xdr:from>
    <xdr:to>
      <xdr:col>11</xdr:col>
      <xdr:colOff>611842</xdr:colOff>
      <xdr:row>41</xdr:row>
      <xdr:rowOff>327150</xdr:rowOff>
    </xdr:to>
    <xdr:sp macro="" textlink="Compteur_5!L1">
      <xdr:nvSpPr>
        <xdr:cNvPr id="29" name="Rectangle à coins arrondis 10">
          <a:hlinkClick xmlns:r="http://schemas.openxmlformats.org/officeDocument/2006/relationships" r:id="rId5"/>
          <a:extLst>
            <a:ext uri="{FF2B5EF4-FFF2-40B4-BE49-F238E27FC236}">
              <a16:creationId xmlns:a16="http://schemas.microsoft.com/office/drawing/2014/main" id="{00000000-0008-0000-0500-00001D000000}"/>
            </a:ext>
          </a:extLst>
        </xdr:cNvPr>
        <xdr:cNvSpPr/>
      </xdr:nvSpPr>
      <xdr:spPr>
        <a:xfrm>
          <a:off x="9807950" y="10248900"/>
          <a:ext cx="1300442" cy="2731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44218B56-636B-497D-B7EE-3D414CC0E299}" type="TxLink">
            <a:rPr lang="en-US" sz="1100" b="0" i="0" u="none" strike="noStrike">
              <a:solidFill>
                <a:srgbClr val="000000"/>
              </a:solidFill>
              <a:latin typeface="Calibri"/>
              <a:cs typeface="Calibri"/>
            </a:rPr>
            <a:pPr algn="l"/>
            <a:t>Compteur 5</a:t>
          </a:fld>
          <a:endParaRPr lang="fr-FR" sz="1100">
            <a:solidFill>
              <a:sysClr val="windowText" lastClr="000000"/>
            </a:solidFill>
          </a:endParaRPr>
        </a:p>
      </xdr:txBody>
    </xdr:sp>
    <xdr:clientData/>
  </xdr:twoCellAnchor>
  <xdr:twoCellAnchor>
    <xdr:from>
      <xdr:col>10</xdr:col>
      <xdr:colOff>111500</xdr:colOff>
      <xdr:row>42</xdr:row>
      <xdr:rowOff>66675</xdr:rowOff>
    </xdr:from>
    <xdr:to>
      <xdr:col>11</xdr:col>
      <xdr:colOff>611842</xdr:colOff>
      <xdr:row>42</xdr:row>
      <xdr:rowOff>336675</xdr:rowOff>
    </xdr:to>
    <xdr:sp macro="" textlink="Compteur_6!L1">
      <xdr:nvSpPr>
        <xdr:cNvPr id="30" name="Rectangle à coins arrondis 11">
          <a:hlinkClick xmlns:r="http://schemas.openxmlformats.org/officeDocument/2006/relationships" r:id="rId6"/>
          <a:extLst>
            <a:ext uri="{FF2B5EF4-FFF2-40B4-BE49-F238E27FC236}">
              <a16:creationId xmlns:a16="http://schemas.microsoft.com/office/drawing/2014/main" id="{00000000-0008-0000-0500-00001E000000}"/>
            </a:ext>
          </a:extLst>
        </xdr:cNvPr>
        <xdr:cNvSpPr/>
      </xdr:nvSpPr>
      <xdr:spPr>
        <a:xfrm>
          <a:off x="9807950" y="10598150"/>
          <a:ext cx="13004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EB3A31DA-6680-4C9A-A3D7-3338D43E88D4}" type="TxLink">
            <a:rPr lang="en-US" sz="1100" b="0" i="0" u="none" strike="noStrike">
              <a:solidFill>
                <a:srgbClr val="000000"/>
              </a:solidFill>
              <a:latin typeface="Calibri"/>
              <a:cs typeface="Calibri"/>
            </a:rPr>
            <a:pPr algn="l"/>
            <a:t>Compteur 6</a:t>
          </a:fld>
          <a:endParaRPr lang="fr-FR" sz="1100">
            <a:solidFill>
              <a:sysClr val="windowText" lastClr="000000"/>
            </a:solidFill>
          </a:endParaRPr>
        </a:p>
      </xdr:txBody>
    </xdr:sp>
    <xdr:clientData/>
  </xdr:twoCellAnchor>
  <xdr:twoCellAnchor>
    <xdr:from>
      <xdr:col>10</xdr:col>
      <xdr:colOff>111500</xdr:colOff>
      <xdr:row>43</xdr:row>
      <xdr:rowOff>57150</xdr:rowOff>
    </xdr:from>
    <xdr:to>
      <xdr:col>11</xdr:col>
      <xdr:colOff>611842</xdr:colOff>
      <xdr:row>43</xdr:row>
      <xdr:rowOff>327150</xdr:rowOff>
    </xdr:to>
    <xdr:sp macro="" textlink="Compteur_7!L1">
      <xdr:nvSpPr>
        <xdr:cNvPr id="31" name="Rectangle à coins arrondis 12">
          <a:hlinkClick xmlns:r="http://schemas.openxmlformats.org/officeDocument/2006/relationships" r:id="rId7"/>
          <a:extLst>
            <a:ext uri="{FF2B5EF4-FFF2-40B4-BE49-F238E27FC236}">
              <a16:creationId xmlns:a16="http://schemas.microsoft.com/office/drawing/2014/main" id="{00000000-0008-0000-0500-00001F000000}"/>
            </a:ext>
          </a:extLst>
        </xdr:cNvPr>
        <xdr:cNvSpPr/>
      </xdr:nvSpPr>
      <xdr:spPr>
        <a:xfrm>
          <a:off x="9807950" y="10934700"/>
          <a:ext cx="1300442" cy="2731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52700E92-2E16-4313-A7DF-959959CBB3EA}" type="TxLink">
            <a:rPr lang="en-US" sz="1100" b="0" i="0" u="none" strike="noStrike">
              <a:solidFill>
                <a:srgbClr val="000000"/>
              </a:solidFill>
              <a:latin typeface="Calibri"/>
              <a:cs typeface="Calibri"/>
            </a:rPr>
            <a:pPr algn="l"/>
            <a:t>Compteur 7</a:t>
          </a:fld>
          <a:endParaRPr lang="fr-FR" sz="1100">
            <a:solidFill>
              <a:sysClr val="windowText" lastClr="000000"/>
            </a:solidFill>
          </a:endParaRPr>
        </a:p>
      </xdr:txBody>
    </xdr:sp>
    <xdr:clientData/>
  </xdr:twoCellAnchor>
  <xdr:twoCellAnchor>
    <xdr:from>
      <xdr:col>10</xdr:col>
      <xdr:colOff>111500</xdr:colOff>
      <xdr:row>44</xdr:row>
      <xdr:rowOff>47625</xdr:rowOff>
    </xdr:from>
    <xdr:to>
      <xdr:col>11</xdr:col>
      <xdr:colOff>611842</xdr:colOff>
      <xdr:row>44</xdr:row>
      <xdr:rowOff>317625</xdr:rowOff>
    </xdr:to>
    <xdr:sp macro="" textlink="Compteur_8!L1">
      <xdr:nvSpPr>
        <xdr:cNvPr id="32" name="Rectangle à coins arrondis 13">
          <a:hlinkClick xmlns:r="http://schemas.openxmlformats.org/officeDocument/2006/relationships" r:id="rId8"/>
          <a:extLst>
            <a:ext uri="{FF2B5EF4-FFF2-40B4-BE49-F238E27FC236}">
              <a16:creationId xmlns:a16="http://schemas.microsoft.com/office/drawing/2014/main" id="{00000000-0008-0000-0500-000020000000}"/>
            </a:ext>
          </a:extLst>
        </xdr:cNvPr>
        <xdr:cNvSpPr/>
      </xdr:nvSpPr>
      <xdr:spPr>
        <a:xfrm>
          <a:off x="9807950" y="11264900"/>
          <a:ext cx="13004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7A862B19-F555-4FA3-820C-6BDE84537386}" type="TxLink">
            <a:rPr lang="en-US" sz="1100" b="0" i="0" u="none" strike="noStrike">
              <a:solidFill>
                <a:srgbClr val="000000"/>
              </a:solidFill>
              <a:latin typeface="Calibri"/>
              <a:cs typeface="Calibri"/>
            </a:rPr>
            <a:pPr algn="l"/>
            <a:t>Compteur 8</a:t>
          </a:fld>
          <a:endParaRPr lang="fr-FR"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47</xdr:row>
          <xdr:rowOff>152400</xdr:rowOff>
        </xdr:from>
        <xdr:to>
          <xdr:col>3</xdr:col>
          <xdr:colOff>323850</xdr:colOff>
          <xdr:row>49</xdr:row>
          <xdr:rowOff>19050</xdr:rowOff>
        </xdr:to>
        <xdr:sp macro="" textlink="">
          <xdr:nvSpPr>
            <xdr:cNvPr id="9256" name="Drop Down 40" hidden="1">
              <a:extLst>
                <a:ext uri="{63B3BB69-23CF-44E3-9099-C40C66FF867C}">
                  <a14:compatExt spid="_x0000_s9256"/>
                </a:ext>
                <a:ext uri="{FF2B5EF4-FFF2-40B4-BE49-F238E27FC236}">
                  <a16:creationId xmlns:a16="http://schemas.microsoft.com/office/drawing/2014/main" id="{00000000-0008-0000-0500-00002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899272</xdr:colOff>
      <xdr:row>53</xdr:row>
      <xdr:rowOff>14568</xdr:rowOff>
    </xdr:from>
    <xdr:to>
      <xdr:col>3</xdr:col>
      <xdr:colOff>526676</xdr:colOff>
      <xdr:row>54</xdr:row>
      <xdr:rowOff>133849</xdr:rowOff>
    </xdr:to>
    <xdr:sp macro="" textlink="">
      <xdr:nvSpPr>
        <xdr:cNvPr id="33" name="Rectangle à coins arrondis 3">
          <a:hlinkClick xmlns:r="http://schemas.openxmlformats.org/officeDocument/2006/relationships" r:id="rId13"/>
          <a:extLst>
            <a:ext uri="{FF2B5EF4-FFF2-40B4-BE49-F238E27FC236}">
              <a16:creationId xmlns:a16="http://schemas.microsoft.com/office/drawing/2014/main" id="{00000000-0008-0000-0500-000021000000}"/>
            </a:ext>
          </a:extLst>
        </xdr:cNvPr>
        <xdr:cNvSpPr/>
      </xdr:nvSpPr>
      <xdr:spPr>
        <a:xfrm>
          <a:off x="1061758" y="13540068"/>
          <a:ext cx="1538006" cy="298575"/>
        </a:xfrm>
        <a:prstGeom prst="roundRect">
          <a:avLst/>
        </a:prstGeom>
        <a:solidFill>
          <a:schemeClr val="accent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200" b="1">
              <a:solidFill>
                <a:schemeClr val="bg1"/>
              </a:solidFill>
            </a:rPr>
            <a:t>Compléter</a:t>
          </a:r>
          <a:r>
            <a:rPr lang="fr-FR" sz="1200" b="1" baseline="0">
              <a:solidFill>
                <a:schemeClr val="bg1"/>
              </a:solidFill>
            </a:rPr>
            <a:t> les DJU</a:t>
          </a:r>
          <a:endParaRPr lang="fr-FR" sz="1200" b="1">
            <a:solidFill>
              <a:schemeClr val="bg1"/>
            </a:solidFill>
          </a:endParaRPr>
        </a:p>
      </xdr:txBody>
    </xdr:sp>
    <xdr:clientData/>
  </xdr:twoCellAnchor>
  <xdr:twoCellAnchor editAs="oneCell">
    <xdr:from>
      <xdr:col>6</xdr:col>
      <xdr:colOff>177800</xdr:colOff>
      <xdr:row>46</xdr:row>
      <xdr:rowOff>189568</xdr:rowOff>
    </xdr:from>
    <xdr:to>
      <xdr:col>7</xdr:col>
      <xdr:colOff>827087</xdr:colOff>
      <xdr:row>56</xdr:row>
      <xdr:rowOff>29322</xdr:rowOff>
    </xdr:to>
    <mc:AlternateContent xmlns:mc="http://schemas.openxmlformats.org/markup-compatibility/2006" xmlns:a14="http://schemas.microsoft.com/office/drawing/2010/main">
      <mc:Choice Requires="a14">
        <xdr:graphicFrame macro="">
          <xdr:nvGraphicFramePr>
            <xdr:cNvPr id="36" name="Département 1">
              <a:extLst>
                <a:ext uri="{FF2B5EF4-FFF2-40B4-BE49-F238E27FC236}">
                  <a16:creationId xmlns:a16="http://schemas.microsoft.com/office/drawing/2014/main" id="{00000000-0008-0000-0500-000024000000}"/>
                </a:ext>
              </a:extLst>
            </xdr:cNvPr>
            <xdr:cNvGraphicFramePr/>
          </xdr:nvGraphicFramePr>
          <xdr:xfrm>
            <a:off x="0" y="0"/>
            <a:ext cx="0" cy="0"/>
          </xdr:xfrm>
          <a:graphic>
            <a:graphicData uri="http://schemas.microsoft.com/office/drawing/2010/slicer">
              <sle:slicer xmlns:sle="http://schemas.microsoft.com/office/drawing/2010/slicer" name="Département 1"/>
            </a:graphicData>
          </a:graphic>
        </xdr:graphicFrame>
      </mc:Choice>
      <mc:Fallback xmlns="">
        <xdr:sp macro="" textlink="">
          <xdr:nvSpPr>
            <xdr:cNvPr id="0" name=""/>
            <xdr:cNvSpPr>
              <a:spLocks noTextEdit="1"/>
            </xdr:cNvSpPr>
          </xdr:nvSpPr>
          <xdr:spPr>
            <a:xfrm>
              <a:off x="5268446" y="16258803"/>
              <a:ext cx="1800317" cy="16887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3</xdr:col>
      <xdr:colOff>904875</xdr:colOff>
      <xdr:row>47</xdr:row>
      <xdr:rowOff>9525</xdr:rowOff>
    </xdr:from>
    <xdr:to>
      <xdr:col>5</xdr:col>
      <xdr:colOff>830262</xdr:colOff>
      <xdr:row>56</xdr:row>
      <xdr:rowOff>7936</xdr:rowOff>
    </xdr:to>
    <mc:AlternateContent xmlns:mc="http://schemas.openxmlformats.org/markup-compatibility/2006" xmlns:a14="http://schemas.microsoft.com/office/drawing/2010/main">
      <mc:Choice Requires="a14">
        <xdr:graphicFrame macro="">
          <xdr:nvGraphicFramePr>
            <xdr:cNvPr id="37" name="Region 1">
              <a:extLst>
                <a:ext uri="{FF2B5EF4-FFF2-40B4-BE49-F238E27FC236}">
                  <a16:creationId xmlns:a16="http://schemas.microsoft.com/office/drawing/2014/main" id="{00000000-0008-0000-0500-000025000000}"/>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981325" y="13754100"/>
              <a:ext cx="1830387" cy="162718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4</xdr:col>
      <xdr:colOff>812706</xdr:colOff>
      <xdr:row>64</xdr:row>
      <xdr:rowOff>49491</xdr:rowOff>
    </xdr:from>
    <xdr:to>
      <xdr:col>8</xdr:col>
      <xdr:colOff>560294</xdr:colOff>
      <xdr:row>69</xdr:row>
      <xdr:rowOff>196849</xdr:rowOff>
    </xdr:to>
    <mc:AlternateContent xmlns:mc="http://schemas.openxmlformats.org/markup-compatibility/2006" xmlns:a14="http://schemas.microsoft.com/office/drawing/2010/main">
      <mc:Choice Requires="a14">
        <xdr:graphicFrame macro="">
          <xdr:nvGraphicFramePr>
            <xdr:cNvPr id="34" name="Dates (mois)">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microsoft.com/office/drawing/2010/slicer">
              <sle:slicer xmlns:sle="http://schemas.microsoft.com/office/drawing/2010/slicer" name="Dates (mois)"/>
            </a:graphicData>
          </a:graphic>
        </xdr:graphicFrame>
      </mc:Choice>
      <mc:Fallback xmlns="">
        <xdr:sp macro="" textlink="">
          <xdr:nvSpPr>
            <xdr:cNvPr id="0" name=""/>
            <xdr:cNvSpPr>
              <a:spLocks noTextEdit="1"/>
            </xdr:cNvSpPr>
          </xdr:nvSpPr>
          <xdr:spPr>
            <a:xfrm>
              <a:off x="3883118" y="19099491"/>
              <a:ext cx="3964175" cy="66320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9</xdr:col>
      <xdr:colOff>277763</xdr:colOff>
      <xdr:row>21</xdr:row>
      <xdr:rowOff>75561</xdr:rowOff>
    </xdr:from>
    <xdr:to>
      <xdr:col>10</xdr:col>
      <xdr:colOff>848188</xdr:colOff>
      <xdr:row>25</xdr:row>
      <xdr:rowOff>10261</xdr:rowOff>
    </xdr:to>
    <xdr:grpSp>
      <xdr:nvGrpSpPr>
        <xdr:cNvPr id="54" name="Groupe 53">
          <a:extLst>
            <a:ext uri="{FF2B5EF4-FFF2-40B4-BE49-F238E27FC236}">
              <a16:creationId xmlns:a16="http://schemas.microsoft.com/office/drawing/2014/main" id="{00000000-0008-0000-0600-000036000000}"/>
            </a:ext>
          </a:extLst>
        </xdr:cNvPr>
        <xdr:cNvGrpSpPr/>
      </xdr:nvGrpSpPr>
      <xdr:grpSpPr>
        <a:xfrm>
          <a:off x="7135763" y="4076061"/>
          <a:ext cx="1427675" cy="696700"/>
          <a:chOff x="9439275" y="295275"/>
          <a:chExt cx="2619374" cy="1228725"/>
        </a:xfrm>
      </xdr:grpSpPr>
      <xdr:sp macro="" textlink="">
        <xdr:nvSpPr>
          <xdr:cNvPr id="55" name="Rectangle à coins arrondis 54">
            <a:extLst>
              <a:ext uri="{FF2B5EF4-FFF2-40B4-BE49-F238E27FC236}">
                <a16:creationId xmlns:a16="http://schemas.microsoft.com/office/drawing/2014/main" id="{00000000-0008-0000-0600-00003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56" name="ZoneTexte 55">
            <a:extLst>
              <a:ext uri="{FF2B5EF4-FFF2-40B4-BE49-F238E27FC236}">
                <a16:creationId xmlns:a16="http://schemas.microsoft.com/office/drawing/2014/main" id="{00000000-0008-0000-0600-000038000000}"/>
              </a:ext>
            </a:extLst>
          </xdr:cNvPr>
          <xdr:cNvSpPr txBox="1"/>
        </xdr:nvSpPr>
        <xdr:spPr>
          <a:xfrm>
            <a:off x="9534523" y="304800"/>
            <a:ext cx="2524126"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Surface</a:t>
            </a:r>
            <a:r>
              <a:rPr lang="fr-FR" sz="1100" b="1" baseline="0"/>
              <a:t> totale</a:t>
            </a:r>
            <a:endParaRPr lang="fr-FR" sz="1100" b="1"/>
          </a:p>
        </xdr:txBody>
      </xdr:sp>
      <xdr:sp macro="" textlink="Calcul_Bilan_Energie!N3">
        <xdr:nvSpPr>
          <xdr:cNvPr id="57" name="ZoneTexte 56">
            <a:extLst>
              <a:ext uri="{FF2B5EF4-FFF2-40B4-BE49-F238E27FC236}">
                <a16:creationId xmlns:a16="http://schemas.microsoft.com/office/drawing/2014/main" id="{00000000-0008-0000-0600-000039000000}"/>
              </a:ext>
            </a:extLst>
          </xdr:cNvPr>
          <xdr:cNvSpPr txBox="1"/>
        </xdr:nvSpPr>
        <xdr:spPr>
          <a:xfrm>
            <a:off x="9969649" y="734607"/>
            <a:ext cx="1781763"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60ACE4-0D3C-4EC9-B977-6C7EDF60EB59}" type="TxLink">
              <a:rPr lang="en-US" sz="1200" b="0" i="0" u="none" strike="noStrike">
                <a:solidFill>
                  <a:srgbClr val="000000"/>
                </a:solidFill>
                <a:latin typeface="Calibri"/>
                <a:cs typeface="Calibri"/>
              </a:rPr>
              <a:pPr algn="ctr"/>
              <a:t>#VALEUR!</a:t>
            </a:fld>
            <a:endParaRPr lang="fr-FR" sz="2800" b="1"/>
          </a:p>
        </xdr:txBody>
      </xdr:sp>
      <xdr:pic>
        <xdr:nvPicPr>
          <xdr:cNvPr id="58" name="Imag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28" y="833127"/>
            <a:ext cx="599464" cy="467760"/>
          </a:xfrm>
          <a:prstGeom prst="rect">
            <a:avLst/>
          </a:prstGeom>
        </xdr:spPr>
      </xdr:pic>
    </xdr:grpSp>
    <xdr:clientData/>
  </xdr:twoCellAnchor>
  <xdr:twoCellAnchor>
    <xdr:from>
      <xdr:col>9</xdr:col>
      <xdr:colOff>277763</xdr:colOff>
      <xdr:row>25</xdr:row>
      <xdr:rowOff>35296</xdr:rowOff>
    </xdr:from>
    <xdr:to>
      <xdr:col>10</xdr:col>
      <xdr:colOff>857713</xdr:colOff>
      <xdr:row>28</xdr:row>
      <xdr:rowOff>154146</xdr:rowOff>
    </xdr:to>
    <xdr:grpSp>
      <xdr:nvGrpSpPr>
        <xdr:cNvPr id="59" name="Groupe 58">
          <a:extLst>
            <a:ext uri="{FF2B5EF4-FFF2-40B4-BE49-F238E27FC236}">
              <a16:creationId xmlns:a16="http://schemas.microsoft.com/office/drawing/2014/main" id="{00000000-0008-0000-0600-00003B000000}"/>
            </a:ext>
          </a:extLst>
        </xdr:cNvPr>
        <xdr:cNvGrpSpPr/>
      </xdr:nvGrpSpPr>
      <xdr:grpSpPr>
        <a:xfrm>
          <a:off x="7135763" y="4797796"/>
          <a:ext cx="1437200" cy="690350"/>
          <a:chOff x="6795052" y="3239740"/>
          <a:chExt cx="2285999" cy="1228724"/>
        </a:xfrm>
      </xdr:grpSpPr>
      <xdr:grpSp>
        <xdr:nvGrpSpPr>
          <xdr:cNvPr id="60" name="Groupe 59">
            <a:extLst>
              <a:ext uri="{FF2B5EF4-FFF2-40B4-BE49-F238E27FC236}">
                <a16:creationId xmlns:a16="http://schemas.microsoft.com/office/drawing/2014/main" id="{00000000-0008-0000-0600-00003C000000}"/>
              </a:ext>
            </a:extLst>
          </xdr:cNvPr>
          <xdr:cNvGrpSpPr/>
        </xdr:nvGrpSpPr>
        <xdr:grpSpPr>
          <a:xfrm>
            <a:off x="6795052" y="3239740"/>
            <a:ext cx="2285999" cy="1228724"/>
            <a:chOff x="9439275" y="295273"/>
            <a:chExt cx="2619374" cy="1228724"/>
          </a:xfrm>
        </xdr:grpSpPr>
        <xdr:sp macro="" textlink="">
          <xdr:nvSpPr>
            <xdr:cNvPr id="62" name="Rectangle à coins arrondis 61">
              <a:extLst>
                <a:ext uri="{FF2B5EF4-FFF2-40B4-BE49-F238E27FC236}">
                  <a16:creationId xmlns:a16="http://schemas.microsoft.com/office/drawing/2014/main" id="{00000000-0008-0000-0600-00003E000000}"/>
                </a:ext>
              </a:extLst>
            </xdr:cNvPr>
            <xdr:cNvSpPr/>
          </xdr:nvSpPr>
          <xdr:spPr>
            <a:xfrm>
              <a:off x="9439275" y="295273"/>
              <a:ext cx="2562224" cy="1228724"/>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3" name="ZoneTexte 62">
              <a:extLst>
                <a:ext uri="{FF2B5EF4-FFF2-40B4-BE49-F238E27FC236}">
                  <a16:creationId xmlns:a16="http://schemas.microsoft.com/office/drawing/2014/main" id="{00000000-0008-0000-0600-00003F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lits</a:t>
              </a:r>
            </a:p>
          </xdr:txBody>
        </xdr:sp>
        <xdr:sp macro="" textlink="Calcul_Bilan_Energie!N6">
          <xdr:nvSpPr>
            <xdr:cNvPr id="64" name="ZoneTexte 63">
              <a:extLst>
                <a:ext uri="{FF2B5EF4-FFF2-40B4-BE49-F238E27FC236}">
                  <a16:creationId xmlns:a16="http://schemas.microsoft.com/office/drawing/2014/main" id="{00000000-0008-0000-0600-000040000000}"/>
                </a:ext>
              </a:extLst>
            </xdr:cNvPr>
            <xdr:cNvSpPr txBox="1"/>
          </xdr:nvSpPr>
          <xdr:spPr>
            <a:xfrm>
              <a:off x="10115550" y="657225"/>
              <a:ext cx="1781762"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E6445C-7ADC-4EC9-BD50-3007AB7C9BF0}" type="TxLink">
                <a:rPr lang="en-US" sz="1200" b="0" i="0" u="none" strike="noStrike">
                  <a:solidFill>
                    <a:srgbClr val="000000"/>
                  </a:solidFill>
                  <a:latin typeface="Calibri"/>
                  <a:cs typeface="Calibri"/>
                </a:rPr>
                <a:pPr algn="ctr"/>
                <a:t>#VALEUR!</a:t>
              </a:fld>
              <a:endParaRPr lang="fr-FR" sz="2800" b="1"/>
            </a:p>
          </xdr:txBody>
        </xdr:sp>
      </xdr:grpSp>
      <xdr:pic>
        <xdr:nvPicPr>
          <xdr:cNvPr id="61" name="Imag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1130" y="3650502"/>
            <a:ext cx="538368" cy="522276"/>
          </a:xfrm>
          <a:prstGeom prst="rect">
            <a:avLst/>
          </a:prstGeom>
        </xdr:spPr>
      </xdr:pic>
    </xdr:grpSp>
    <xdr:clientData/>
  </xdr:twoCellAnchor>
  <xdr:twoCellAnchor>
    <xdr:from>
      <xdr:col>9</xdr:col>
      <xdr:colOff>280193</xdr:colOff>
      <xdr:row>17</xdr:row>
      <xdr:rowOff>145499</xdr:rowOff>
    </xdr:from>
    <xdr:to>
      <xdr:col>10</xdr:col>
      <xdr:colOff>852108</xdr:colOff>
      <xdr:row>21</xdr:row>
      <xdr:rowOff>66401</xdr:rowOff>
    </xdr:to>
    <xdr:grpSp>
      <xdr:nvGrpSpPr>
        <xdr:cNvPr id="2" name="Groupe 1">
          <a:extLst>
            <a:ext uri="{FF2B5EF4-FFF2-40B4-BE49-F238E27FC236}">
              <a16:creationId xmlns:a16="http://schemas.microsoft.com/office/drawing/2014/main" id="{00000000-0008-0000-0600-000002000000}"/>
            </a:ext>
          </a:extLst>
        </xdr:cNvPr>
        <xdr:cNvGrpSpPr/>
      </xdr:nvGrpSpPr>
      <xdr:grpSpPr>
        <a:xfrm>
          <a:off x="7138193" y="3383999"/>
          <a:ext cx="1429165" cy="682902"/>
          <a:chOff x="6634784" y="4309856"/>
          <a:chExt cx="1623391" cy="894522"/>
        </a:xfrm>
      </xdr:grpSpPr>
      <xdr:grpSp>
        <xdr:nvGrpSpPr>
          <xdr:cNvPr id="66" name="Groupe 65">
            <a:extLst>
              <a:ext uri="{FF2B5EF4-FFF2-40B4-BE49-F238E27FC236}">
                <a16:creationId xmlns:a16="http://schemas.microsoft.com/office/drawing/2014/main" id="{00000000-0008-0000-0600-000042000000}"/>
              </a:ext>
            </a:extLst>
          </xdr:cNvPr>
          <xdr:cNvGrpSpPr/>
        </xdr:nvGrpSpPr>
        <xdr:grpSpPr>
          <a:xfrm>
            <a:off x="6634784" y="4309856"/>
            <a:ext cx="1623391" cy="894522"/>
            <a:chOff x="9439275" y="295275"/>
            <a:chExt cx="2619374" cy="1228725"/>
          </a:xfrm>
        </xdr:grpSpPr>
        <xdr:sp macro="" textlink="">
          <xdr:nvSpPr>
            <xdr:cNvPr id="68" name="Rectangle à coins arrondis 67">
              <a:extLst>
                <a:ext uri="{FF2B5EF4-FFF2-40B4-BE49-F238E27FC236}">
                  <a16:creationId xmlns:a16="http://schemas.microsoft.com/office/drawing/2014/main" id="{00000000-0008-0000-0600-000044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9" name="ZoneTexte 68">
              <a:extLst>
                <a:ext uri="{FF2B5EF4-FFF2-40B4-BE49-F238E27FC236}">
                  <a16:creationId xmlns:a16="http://schemas.microsoft.com/office/drawing/2014/main" id="{00000000-0008-0000-0600-000045000000}"/>
                </a:ext>
              </a:extLst>
            </xdr:cNvPr>
            <xdr:cNvSpPr txBox="1"/>
          </xdr:nvSpPr>
          <xdr:spPr>
            <a:xfrm>
              <a:off x="9534524" y="304799"/>
              <a:ext cx="2524125" cy="45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places </a:t>
              </a:r>
            </a:p>
          </xdr:txBody>
        </xdr:sp>
        <xdr:sp macro="" textlink="Calcul_Bilan_Energie!N7">
          <xdr:nvSpPr>
            <xdr:cNvPr id="70" name="ZoneTexte 69">
              <a:extLst>
                <a:ext uri="{FF2B5EF4-FFF2-40B4-BE49-F238E27FC236}">
                  <a16:creationId xmlns:a16="http://schemas.microsoft.com/office/drawing/2014/main" id="{00000000-0008-0000-0600-000046000000}"/>
                </a:ext>
              </a:extLst>
            </xdr:cNvPr>
            <xdr:cNvSpPr txBox="1"/>
          </xdr:nvSpPr>
          <xdr:spPr>
            <a:xfrm>
              <a:off x="10115550" y="657225"/>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3616DF-4F93-4955-B35A-1F06AD275955}" type="TxLink">
                <a:rPr lang="en-US" sz="1400" b="0" i="0" u="none" strike="noStrike">
                  <a:solidFill>
                    <a:srgbClr val="000000"/>
                  </a:solidFill>
                  <a:latin typeface="Calibri"/>
                  <a:cs typeface="Calibri"/>
                </a:rPr>
                <a:pPr algn="ctr"/>
                <a:t>#VALEUR!</a:t>
              </a:fld>
              <a:endParaRPr lang="fr-FR" sz="3200" b="1"/>
            </a:p>
          </xdr:txBody>
        </xdr:sp>
      </xdr:grpSp>
      <xdr:pic>
        <xdr:nvPicPr>
          <xdr:cNvPr id="71" name="Image 70" descr="icône de personne assise 16830905 - Telecharger Vectoriel ...">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7975" y="4572993"/>
            <a:ext cx="609600" cy="5609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753718</xdr:colOff>
      <xdr:row>0</xdr:row>
      <xdr:rowOff>11205</xdr:rowOff>
    </xdr:from>
    <xdr:to>
      <xdr:col>8</xdr:col>
      <xdr:colOff>745435</xdr:colOff>
      <xdr:row>1</xdr:row>
      <xdr:rowOff>162496</xdr:rowOff>
    </xdr:to>
    <xdr:pic>
      <xdr:nvPicPr>
        <xdr:cNvPr id="81" name="Image 80" descr="Une image contenant texte, Police, ligne, typographie&#10;&#10;Description générée automatiquement">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10</xdr:col>
      <xdr:colOff>666750</xdr:colOff>
      <xdr:row>3</xdr:row>
      <xdr:rowOff>145676</xdr:rowOff>
    </xdr:to>
    <xdr:pic>
      <xdr:nvPicPr>
        <xdr:cNvPr id="83" name="Image 82" descr="Une image contenant texte, Police, conception&#10;&#10;Description générée automatiquement">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8269</xdr:colOff>
      <xdr:row>32</xdr:row>
      <xdr:rowOff>116693</xdr:rowOff>
    </xdr:from>
    <xdr:to>
      <xdr:col>7</xdr:col>
      <xdr:colOff>689577</xdr:colOff>
      <xdr:row>33</xdr:row>
      <xdr:rowOff>1448</xdr:rowOff>
    </xdr:to>
    <xdr:sp macro="" textlink="">
      <xdr:nvSpPr>
        <xdr:cNvPr id="65" name="ZoneTexte 64">
          <a:extLst>
            <a:ext uri="{FF2B5EF4-FFF2-40B4-BE49-F238E27FC236}">
              <a16:creationId xmlns:a16="http://schemas.microsoft.com/office/drawing/2014/main" id="{00000000-0008-0000-0600-000041000000}"/>
            </a:ext>
          </a:extLst>
        </xdr:cNvPr>
        <xdr:cNvSpPr txBox="1"/>
      </xdr:nvSpPr>
      <xdr:spPr>
        <a:xfrm>
          <a:off x="8269" y="6212693"/>
          <a:ext cx="6015308" cy="14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800">
              <a:solidFill>
                <a:srgbClr val="FF0000"/>
              </a:solidFill>
            </a:rPr>
            <a:t>Si aucun graphique n'apparaît</a:t>
          </a:r>
          <a:r>
            <a:rPr lang="fr-FR" sz="800" baseline="0">
              <a:solidFill>
                <a:srgbClr val="FF0000"/>
              </a:solidFill>
            </a:rPr>
            <a:t> après avoir actualisé, vérifiez s'ils sont bien sélectionnés dans le filtre "Combustible" de chaque graphique</a:t>
          </a:r>
          <a:endParaRPr lang="fr-FR" sz="800">
            <a:solidFill>
              <a:srgbClr val="FF0000"/>
            </a:solidFill>
          </a:endParaRPr>
        </a:p>
      </xdr:txBody>
    </xdr:sp>
    <xdr:clientData/>
  </xdr:twoCellAnchor>
  <xdr:twoCellAnchor>
    <xdr:from>
      <xdr:col>0</xdr:col>
      <xdr:colOff>54962</xdr:colOff>
      <xdr:row>15</xdr:row>
      <xdr:rowOff>153310</xdr:rowOff>
    </xdr:from>
    <xdr:to>
      <xdr:col>9</xdr:col>
      <xdr:colOff>78960</xdr:colOff>
      <xdr:row>32</xdr:row>
      <xdr:rowOff>115157</xdr:rowOff>
    </xdr:to>
    <xdr:sp macro="" textlink="">
      <xdr:nvSpPr>
        <xdr:cNvPr id="37" name="Rectangle à coins arrondis 36">
          <a:extLst>
            <a:ext uri="{FF2B5EF4-FFF2-40B4-BE49-F238E27FC236}">
              <a16:creationId xmlns:a16="http://schemas.microsoft.com/office/drawing/2014/main" id="{00000000-0008-0000-0600-000025000000}"/>
            </a:ext>
          </a:extLst>
        </xdr:cNvPr>
        <xdr:cNvSpPr/>
      </xdr:nvSpPr>
      <xdr:spPr>
        <a:xfrm>
          <a:off x="54962" y="2867935"/>
          <a:ext cx="7224898" cy="3038422"/>
        </a:xfrm>
        <a:prstGeom prst="roundRect">
          <a:avLst/>
        </a:prstGeom>
        <a:solidFill>
          <a:schemeClr val="bg1"/>
        </a:solidFill>
        <a:ln w="3175">
          <a:solidFill>
            <a:schemeClr val="bg2"/>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15</xdr:row>
      <xdr:rowOff>133553</xdr:rowOff>
    </xdr:from>
    <xdr:to>
      <xdr:col>5</xdr:col>
      <xdr:colOff>504445</xdr:colOff>
      <xdr:row>17</xdr:row>
      <xdr:rowOff>84325</xdr:rowOff>
    </xdr:to>
    <xdr:sp macro="" textlink="">
      <xdr:nvSpPr>
        <xdr:cNvPr id="38" name="ZoneTexte 37">
          <a:extLst>
            <a:ext uri="{FF2B5EF4-FFF2-40B4-BE49-F238E27FC236}">
              <a16:creationId xmlns:a16="http://schemas.microsoft.com/office/drawing/2014/main" id="{00000000-0008-0000-0600-000026000000}"/>
            </a:ext>
          </a:extLst>
        </xdr:cNvPr>
        <xdr:cNvSpPr txBox="1"/>
      </xdr:nvSpPr>
      <xdr:spPr>
        <a:xfrm>
          <a:off x="0" y="2991053"/>
          <a:ext cx="4314445" cy="331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t>Distribution des consommations d'énergie : </a:t>
          </a:r>
          <a:endParaRPr lang="fr-FR" sz="1400" b="1"/>
        </a:p>
      </xdr:txBody>
    </xdr:sp>
    <xdr:clientData/>
  </xdr:twoCellAnchor>
  <xdr:twoCellAnchor>
    <xdr:from>
      <xdr:col>3</xdr:col>
      <xdr:colOff>314603</xdr:colOff>
      <xdr:row>16</xdr:row>
      <xdr:rowOff>164893</xdr:rowOff>
    </xdr:from>
    <xdr:to>
      <xdr:col>5</xdr:col>
      <xdr:colOff>5727</xdr:colOff>
      <xdr:row>19</xdr:row>
      <xdr:rowOff>110655</xdr:rowOff>
    </xdr:to>
    <xdr:sp macro="" textlink="Calcul_Bilan_Energie!M11">
      <xdr:nvSpPr>
        <xdr:cNvPr id="76" name="ZoneTexte 75">
          <a:extLst>
            <a:ext uri="{FF2B5EF4-FFF2-40B4-BE49-F238E27FC236}">
              <a16:creationId xmlns:a16="http://schemas.microsoft.com/office/drawing/2014/main" id="{00000000-0008-0000-0600-00004C000000}"/>
            </a:ext>
          </a:extLst>
        </xdr:cNvPr>
        <xdr:cNvSpPr txBox="1"/>
      </xdr:nvSpPr>
      <xdr:spPr>
        <a:xfrm>
          <a:off x="2600603" y="3212893"/>
          <a:ext cx="1215124" cy="51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18A9D30-6550-4D17-A38C-FA36157E26BE}" type="TxLink">
            <a:rPr lang="en-US" sz="1200" b="0" i="0" u="none" strike="noStrike">
              <a:solidFill>
                <a:srgbClr val="000000"/>
              </a:solidFill>
              <a:latin typeface="Calibri"/>
              <a:cs typeface="Calibri"/>
            </a:rPr>
            <a:pPr algn="ctr"/>
            <a:t> -   € </a:t>
          </a:fld>
          <a:endParaRPr lang="fr-FR" sz="1200" b="1"/>
        </a:p>
      </xdr:txBody>
    </xdr:sp>
    <xdr:clientData/>
  </xdr:twoCellAnchor>
  <xdr:twoCellAnchor>
    <xdr:from>
      <xdr:col>3</xdr:col>
      <xdr:colOff>503311</xdr:colOff>
      <xdr:row>16</xdr:row>
      <xdr:rowOff>143794</xdr:rowOff>
    </xdr:from>
    <xdr:to>
      <xdr:col>4</xdr:col>
      <xdr:colOff>613987</xdr:colOff>
      <xdr:row>18</xdr:row>
      <xdr:rowOff>984</xdr:rowOff>
    </xdr:to>
    <xdr:grpSp>
      <xdr:nvGrpSpPr>
        <xdr:cNvPr id="17" name="Groupe 16">
          <a:extLst>
            <a:ext uri="{FF2B5EF4-FFF2-40B4-BE49-F238E27FC236}">
              <a16:creationId xmlns:a16="http://schemas.microsoft.com/office/drawing/2014/main" id="{00000000-0008-0000-0600-000011000000}"/>
            </a:ext>
          </a:extLst>
        </xdr:cNvPr>
        <xdr:cNvGrpSpPr/>
      </xdr:nvGrpSpPr>
      <xdr:grpSpPr>
        <a:xfrm>
          <a:off x="2789311" y="3191794"/>
          <a:ext cx="872676" cy="238190"/>
          <a:chOff x="2898913" y="795133"/>
          <a:chExt cx="865532" cy="240196"/>
        </a:xfrm>
      </xdr:grpSpPr>
      <xdr:sp macro="" textlink="">
        <xdr:nvSpPr>
          <xdr:cNvPr id="74" name="ZoneTexte 73">
            <a:extLst>
              <a:ext uri="{FF2B5EF4-FFF2-40B4-BE49-F238E27FC236}">
                <a16:creationId xmlns:a16="http://schemas.microsoft.com/office/drawing/2014/main" id="{00000000-0008-0000-0600-00004A000000}"/>
              </a:ext>
            </a:extLst>
          </xdr:cNvPr>
          <xdr:cNvSpPr txBox="1"/>
        </xdr:nvSpPr>
        <xdr:spPr>
          <a:xfrm>
            <a:off x="2898913" y="844415"/>
            <a:ext cx="596348"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baseline="0"/>
              <a:t>Coût</a:t>
            </a:r>
            <a:endParaRPr lang="fr-FR" sz="1200" b="1"/>
          </a:p>
        </xdr:txBody>
      </xdr:sp>
      <xdr:sp macro="" textlink="Controle_des_données!A40">
        <xdr:nvSpPr>
          <xdr:cNvPr id="8" name="ZoneTexte 7">
            <a:extLst>
              <a:ext uri="{FF2B5EF4-FFF2-40B4-BE49-F238E27FC236}">
                <a16:creationId xmlns:a16="http://schemas.microsoft.com/office/drawing/2014/main" id="{00000000-0008-0000-0600-000008000000}"/>
              </a:ext>
            </a:extLst>
          </xdr:cNvPr>
          <xdr:cNvSpPr txBox="1"/>
        </xdr:nvSpPr>
        <xdr:spPr>
          <a:xfrm>
            <a:off x="3296478" y="795133"/>
            <a:ext cx="467967"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A43E666-33C1-4E45-BD87-463BCC38F753}" type="TxLink">
              <a:rPr lang="en-US" sz="1200" b="1" baseline="0">
                <a:solidFill>
                  <a:schemeClr val="dk1"/>
                </a:solidFill>
                <a:latin typeface="+mn-lt"/>
                <a:ea typeface="+mn-ea"/>
                <a:cs typeface="+mn-cs"/>
              </a:rPr>
              <a:pPr marL="0" indent="0" algn="l"/>
              <a:t>TTC</a:t>
            </a:fld>
            <a:endParaRPr lang="fr-FR" sz="1200" b="1" baseline="0">
              <a:solidFill>
                <a:schemeClr val="dk1"/>
              </a:solidFill>
              <a:latin typeface="+mn-lt"/>
              <a:ea typeface="+mn-ea"/>
              <a:cs typeface="+mn-cs"/>
            </a:endParaRPr>
          </a:p>
        </xdr:txBody>
      </xdr:sp>
    </xdr:grpSp>
    <xdr:clientData/>
  </xdr:twoCellAnchor>
  <xdr:twoCellAnchor>
    <xdr:from>
      <xdr:col>7</xdr:col>
      <xdr:colOff>285750</xdr:colOff>
      <xdr:row>2</xdr:row>
      <xdr:rowOff>178498</xdr:rowOff>
    </xdr:from>
    <xdr:to>
      <xdr:col>11</xdr:col>
      <xdr:colOff>0</xdr:colOff>
      <xdr:row>18</xdr:row>
      <xdr:rowOff>28575</xdr:rowOff>
    </xdr:to>
    <xdr:grpSp>
      <xdr:nvGrpSpPr>
        <xdr:cNvPr id="12" name="Groupe 11">
          <a:extLst>
            <a:ext uri="{FF2B5EF4-FFF2-40B4-BE49-F238E27FC236}">
              <a16:creationId xmlns:a16="http://schemas.microsoft.com/office/drawing/2014/main" id="{00000000-0008-0000-0600-00000C000000}"/>
            </a:ext>
          </a:extLst>
        </xdr:cNvPr>
        <xdr:cNvGrpSpPr/>
      </xdr:nvGrpSpPr>
      <xdr:grpSpPr>
        <a:xfrm>
          <a:off x="5619750" y="559498"/>
          <a:ext cx="3048000" cy="2898077"/>
          <a:chOff x="5329238" y="2919049"/>
          <a:chExt cx="3086310" cy="2845640"/>
        </a:xfrm>
      </xdr:grpSpPr>
      <xdr:graphicFrame macro="">
        <xdr:nvGraphicFramePr>
          <xdr:cNvPr id="67" name="Graphique 66">
            <a:extLst>
              <a:ext uri="{FF2B5EF4-FFF2-40B4-BE49-F238E27FC236}">
                <a16:creationId xmlns:a16="http://schemas.microsoft.com/office/drawing/2014/main" id="{00000000-0008-0000-0600-000043000000}"/>
              </a:ext>
            </a:extLst>
          </xdr:cNvPr>
          <xdr:cNvGraphicFramePr>
            <a:graphicFrameLocks/>
          </xdr:cNvGraphicFramePr>
        </xdr:nvGraphicFramePr>
        <xdr:xfrm>
          <a:off x="5329238" y="3021489"/>
          <a:ext cx="3052762" cy="2743200"/>
        </xdr:xfrm>
        <a:graphic>
          <a:graphicData uri="http://schemas.openxmlformats.org/drawingml/2006/chart">
            <c:chart xmlns:c="http://schemas.openxmlformats.org/drawingml/2006/chart" xmlns:r="http://schemas.openxmlformats.org/officeDocument/2006/relationships" r:id="rId6"/>
          </a:graphicData>
        </a:graphic>
      </xdr:graphicFrame>
      <xdr:sp macro="" textlink="Calcul_Bilan_Energie!S16">
        <xdr:nvSpPr>
          <xdr:cNvPr id="5" name="ZoneTexte 4">
            <a:extLst>
              <a:ext uri="{FF2B5EF4-FFF2-40B4-BE49-F238E27FC236}">
                <a16:creationId xmlns:a16="http://schemas.microsoft.com/office/drawing/2014/main" id="{00000000-0008-0000-0600-000005000000}"/>
              </a:ext>
            </a:extLst>
          </xdr:cNvPr>
          <xdr:cNvSpPr txBox="1"/>
        </xdr:nvSpPr>
        <xdr:spPr>
          <a:xfrm>
            <a:off x="5654641" y="4696232"/>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AEAA9A5-2E99-4CD5-A5C1-60B8A2DA51FF}" type="TxLink">
              <a:rPr lang="en-US" sz="1000" b="0" i="1" u="none" strike="noStrike">
                <a:solidFill>
                  <a:srgbClr val="000000"/>
                </a:solidFill>
                <a:latin typeface="Calibri"/>
                <a:cs typeface="Calibri"/>
              </a:rPr>
              <a:pPr algn="ctr"/>
              <a:t>Bâtiment à usage de bureau ou d'administration</a:t>
            </a:fld>
            <a:endParaRPr lang="fr-FR" sz="1000" i="1"/>
          </a:p>
        </xdr:txBody>
      </xdr:sp>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5584023" y="4837030"/>
            <a:ext cx="2831525" cy="48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rgbClr val="FF0000"/>
                </a:solidFill>
              </a:rPr>
              <a:t>Indicateur</a:t>
            </a:r>
            <a:r>
              <a:rPr lang="fr-FR" sz="800" baseline="0">
                <a:solidFill>
                  <a:srgbClr val="FF0000"/>
                </a:solidFill>
              </a:rPr>
              <a:t> de type DPE à titre à indicatif (en aucun cas  a une valeur de DPE) calculé en équivalent </a:t>
            </a:r>
            <a:r>
              <a:rPr lang="fr-FR" sz="800" u="sng" baseline="0">
                <a:solidFill>
                  <a:srgbClr val="FF0000"/>
                </a:solidFill>
              </a:rPr>
              <a:t>énergie primaire </a:t>
            </a:r>
            <a:endParaRPr lang="fr-FR" sz="800">
              <a:solidFill>
                <a:srgbClr val="FF0000"/>
              </a:solidFill>
            </a:endParaRPr>
          </a:p>
        </xdr:txBody>
      </xdr:sp>
      <xdr:sp macro="" textlink="">
        <xdr:nvSpPr>
          <xdr:cNvPr id="82" name="ZoneTexte 81">
            <a:extLst>
              <a:ext uri="{FF2B5EF4-FFF2-40B4-BE49-F238E27FC236}">
                <a16:creationId xmlns:a16="http://schemas.microsoft.com/office/drawing/2014/main" id="{00000000-0008-0000-0600-000052000000}"/>
              </a:ext>
            </a:extLst>
          </xdr:cNvPr>
          <xdr:cNvSpPr txBox="1"/>
        </xdr:nvSpPr>
        <xdr:spPr>
          <a:xfrm>
            <a:off x="5797967" y="2919049"/>
            <a:ext cx="212456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t>Etiquette énergétique</a:t>
            </a:r>
          </a:p>
        </xdr:txBody>
      </xdr:sp>
      <xdr:sp macro="" textlink="">
        <xdr:nvSpPr>
          <xdr:cNvPr id="85" name="ZoneTexte 84">
            <a:extLst>
              <a:ext uri="{FF2B5EF4-FFF2-40B4-BE49-F238E27FC236}">
                <a16:creationId xmlns:a16="http://schemas.microsoft.com/office/drawing/2014/main" id="{00000000-0008-0000-0600-000055000000}"/>
              </a:ext>
            </a:extLst>
          </xdr:cNvPr>
          <xdr:cNvSpPr txBox="1"/>
        </xdr:nvSpPr>
        <xdr:spPr>
          <a:xfrm>
            <a:off x="5654641" y="4547150"/>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u="none" strike="noStrike">
                <a:solidFill>
                  <a:srgbClr val="000000"/>
                </a:solidFill>
                <a:latin typeface="Calibri"/>
                <a:cs typeface="Calibri"/>
              </a:rPr>
              <a:t>corrigés</a:t>
            </a:r>
            <a:r>
              <a:rPr lang="en-US" sz="1100" b="1" i="0" u="none" strike="noStrike" baseline="0">
                <a:solidFill>
                  <a:srgbClr val="000000"/>
                </a:solidFill>
                <a:latin typeface="Calibri"/>
                <a:cs typeface="Calibri"/>
              </a:rPr>
              <a:t> DJU</a:t>
            </a:r>
            <a:endParaRPr lang="en-US" sz="1100" b="1" i="0" u="none" strike="noStrike">
              <a:solidFill>
                <a:srgbClr val="000000"/>
              </a:solidFill>
              <a:latin typeface="Calibri"/>
              <a:cs typeface="Calibri"/>
            </a:endParaRPr>
          </a:p>
        </xdr:txBody>
      </xdr:sp>
    </xdr:grpSp>
    <xdr:clientData/>
  </xdr:twoCellAnchor>
  <xdr:twoCellAnchor>
    <xdr:from>
      <xdr:col>9</xdr:col>
      <xdr:colOff>277763</xdr:colOff>
      <xdr:row>29</xdr:row>
      <xdr:rowOff>1381</xdr:rowOff>
    </xdr:from>
    <xdr:to>
      <xdr:col>10</xdr:col>
      <xdr:colOff>854538</xdr:colOff>
      <xdr:row>32</xdr:row>
      <xdr:rowOff>104356</xdr:rowOff>
    </xdr:to>
    <xdr:grpSp>
      <xdr:nvGrpSpPr>
        <xdr:cNvPr id="23" name="Groupe 22">
          <a:extLst>
            <a:ext uri="{FF2B5EF4-FFF2-40B4-BE49-F238E27FC236}">
              <a16:creationId xmlns:a16="http://schemas.microsoft.com/office/drawing/2014/main" id="{00000000-0008-0000-0600-000017000000}"/>
            </a:ext>
          </a:extLst>
        </xdr:cNvPr>
        <xdr:cNvGrpSpPr/>
      </xdr:nvGrpSpPr>
      <xdr:grpSpPr>
        <a:xfrm>
          <a:off x="7135763" y="5525881"/>
          <a:ext cx="1434025" cy="674475"/>
          <a:chOff x="7026964" y="5610640"/>
          <a:chExt cx="1242391" cy="646044"/>
        </a:xfrm>
      </xdr:grpSpPr>
      <xdr:grpSp>
        <xdr:nvGrpSpPr>
          <xdr:cNvPr id="86" name="Groupe 85">
            <a:extLst>
              <a:ext uri="{FF2B5EF4-FFF2-40B4-BE49-F238E27FC236}">
                <a16:creationId xmlns:a16="http://schemas.microsoft.com/office/drawing/2014/main" id="{00000000-0008-0000-0600-000056000000}"/>
              </a:ext>
            </a:extLst>
          </xdr:cNvPr>
          <xdr:cNvGrpSpPr/>
        </xdr:nvGrpSpPr>
        <xdr:grpSpPr>
          <a:xfrm>
            <a:off x="7026964" y="5610640"/>
            <a:ext cx="1242391" cy="646044"/>
            <a:chOff x="9439275" y="295275"/>
            <a:chExt cx="2619376" cy="1228725"/>
          </a:xfrm>
        </xdr:grpSpPr>
        <xdr:sp macro="" textlink="">
          <xdr:nvSpPr>
            <xdr:cNvPr id="87" name="Rectangle à coins arrondis 86">
              <a:extLst>
                <a:ext uri="{FF2B5EF4-FFF2-40B4-BE49-F238E27FC236}">
                  <a16:creationId xmlns:a16="http://schemas.microsoft.com/office/drawing/2014/main" id="{00000000-0008-0000-0600-00005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88" name="ZoneTexte 87">
              <a:extLst>
                <a:ext uri="{FF2B5EF4-FFF2-40B4-BE49-F238E27FC236}">
                  <a16:creationId xmlns:a16="http://schemas.microsoft.com/office/drawing/2014/main" id="{00000000-0008-0000-0600-000058000000}"/>
                </a:ext>
              </a:extLst>
            </xdr:cNvPr>
            <xdr:cNvSpPr txBox="1"/>
          </xdr:nvSpPr>
          <xdr:spPr>
            <a:xfrm>
              <a:off x="9534524" y="304800"/>
              <a:ext cx="2524127"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Places de parking</a:t>
              </a:r>
            </a:p>
          </xdr:txBody>
        </xdr:sp>
        <xdr:sp macro="" textlink="Site!I33">
          <xdr:nvSpPr>
            <xdr:cNvPr id="89" name="ZoneTexte 88">
              <a:extLst>
                <a:ext uri="{FF2B5EF4-FFF2-40B4-BE49-F238E27FC236}">
                  <a16:creationId xmlns:a16="http://schemas.microsoft.com/office/drawing/2014/main" id="{00000000-0008-0000-0600-000059000000}"/>
                </a:ext>
              </a:extLst>
            </xdr:cNvPr>
            <xdr:cNvSpPr txBox="1"/>
          </xdr:nvSpPr>
          <xdr:spPr>
            <a:xfrm>
              <a:off x="10249048" y="734609"/>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8AA7-7E60-4BEA-9543-83F280E8AF81}" type="TxLink">
                <a:rPr lang="en-US" sz="1100" b="0" i="0" u="none" strike="noStrike">
                  <a:solidFill>
                    <a:srgbClr val="000000"/>
                  </a:solidFill>
                  <a:latin typeface="Calibri"/>
                  <a:cs typeface="Calibri"/>
                </a:rPr>
                <a:pPr algn="ctr"/>
                <a:t> </a:t>
              </a:fld>
              <a:endParaRPr lang="fr-FR" sz="2800" b="1"/>
            </a:p>
          </xdr:txBody>
        </xdr:sp>
      </xdr:grpSp>
      <xdr:pic>
        <xdr:nvPicPr>
          <xdr:cNvPr id="19" name="Imag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47891" y="5822673"/>
            <a:ext cx="389283" cy="389283"/>
          </a:xfrm>
          <a:prstGeom prst="rect">
            <a:avLst/>
          </a:prstGeom>
        </xdr:spPr>
      </xdr:pic>
    </xdr:grpSp>
    <xdr:clientData/>
  </xdr:twoCellAnchor>
  <xdr:twoCellAnchor>
    <xdr:from>
      <xdr:col>0</xdr:col>
      <xdr:colOff>503998</xdr:colOff>
      <xdr:row>16</xdr:row>
      <xdr:rowOff>114718</xdr:rowOff>
    </xdr:from>
    <xdr:to>
      <xdr:col>2</xdr:col>
      <xdr:colOff>401086</xdr:colOff>
      <xdr:row>17</xdr:row>
      <xdr:rowOff>171450</xdr:rowOff>
    </xdr:to>
    <xdr:sp macro="" textlink="">
      <xdr:nvSpPr>
        <xdr:cNvPr id="73" name="ZoneTexte 72">
          <a:extLst>
            <a:ext uri="{FF2B5EF4-FFF2-40B4-BE49-F238E27FC236}">
              <a16:creationId xmlns:a16="http://schemas.microsoft.com/office/drawing/2014/main" id="{00000000-0008-0000-0600-000049000000}"/>
            </a:ext>
          </a:extLst>
        </xdr:cNvPr>
        <xdr:cNvSpPr txBox="1"/>
      </xdr:nvSpPr>
      <xdr:spPr>
        <a:xfrm>
          <a:off x="503998" y="3162718"/>
          <a:ext cx="1421088" cy="247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Consommations</a:t>
          </a:r>
          <a:endParaRPr lang="fr-FR" sz="1200" b="1"/>
        </a:p>
      </xdr:txBody>
    </xdr:sp>
    <xdr:clientData/>
  </xdr:twoCellAnchor>
  <xdr:twoCellAnchor>
    <xdr:from>
      <xdr:col>1</xdr:col>
      <xdr:colOff>377274</xdr:colOff>
      <xdr:row>1</xdr:row>
      <xdr:rowOff>114300</xdr:rowOff>
    </xdr:from>
    <xdr:to>
      <xdr:col>7</xdr:col>
      <xdr:colOff>419100</xdr:colOff>
      <xdr:row>15</xdr:row>
      <xdr:rowOff>123825</xdr:rowOff>
    </xdr:to>
    <xdr:sp macro="" textlink="">
      <xdr:nvSpPr>
        <xdr:cNvPr id="95" name="Rectangle à coins arrondis 94">
          <a:extLst>
            <a:ext uri="{FF2B5EF4-FFF2-40B4-BE49-F238E27FC236}">
              <a16:creationId xmlns:a16="http://schemas.microsoft.com/office/drawing/2014/main" id="{00000000-0008-0000-0600-00005F000000}"/>
            </a:ext>
          </a:extLst>
        </xdr:cNvPr>
        <xdr:cNvSpPr/>
      </xdr:nvSpPr>
      <xdr:spPr>
        <a:xfrm>
          <a:off x="1139274" y="304800"/>
          <a:ext cx="4613826" cy="2676525"/>
        </a:xfrm>
        <a:prstGeom prst="roundRect">
          <a:avLst/>
        </a:prstGeom>
        <a:solidFill>
          <a:schemeClr val="bg1"/>
        </a:solidFill>
        <a:ln w="3175">
          <a:solidFill>
            <a:schemeClr val="bg2"/>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449815</xdr:colOff>
      <xdr:row>1</xdr:row>
      <xdr:rowOff>139753</xdr:rowOff>
    </xdr:from>
    <xdr:to>
      <xdr:col>5</xdr:col>
      <xdr:colOff>143145</xdr:colOff>
      <xdr:row>3</xdr:row>
      <xdr:rowOff>61922</xdr:rowOff>
    </xdr:to>
    <xdr:sp macro="" textlink="">
      <xdr:nvSpPr>
        <xdr:cNvPr id="97" name="ZoneTexte 96">
          <a:extLst>
            <a:ext uri="{FF2B5EF4-FFF2-40B4-BE49-F238E27FC236}">
              <a16:creationId xmlns:a16="http://schemas.microsoft.com/office/drawing/2014/main" id="{00000000-0008-0000-0600-000061000000}"/>
            </a:ext>
          </a:extLst>
        </xdr:cNvPr>
        <xdr:cNvSpPr txBox="1"/>
      </xdr:nvSpPr>
      <xdr:spPr>
        <a:xfrm>
          <a:off x="1973815" y="330253"/>
          <a:ext cx="1979330"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Vos</a:t>
          </a:r>
          <a:r>
            <a:rPr lang="fr-FR" sz="1200" b="1" baseline="0"/>
            <a:t> indicateurs</a:t>
          </a:r>
          <a:endParaRPr lang="fr-FR" sz="1200" b="1"/>
        </a:p>
      </xdr:txBody>
    </xdr:sp>
    <xdr:clientData/>
  </xdr:twoCellAnchor>
  <xdr:twoCellAnchor>
    <xdr:from>
      <xdr:col>3</xdr:col>
      <xdr:colOff>28575</xdr:colOff>
      <xdr:row>6</xdr:row>
      <xdr:rowOff>177864</xdr:rowOff>
    </xdr:from>
    <xdr:to>
      <xdr:col>4</xdr:col>
      <xdr:colOff>507233</xdr:colOff>
      <xdr:row>8</xdr:row>
      <xdr:rowOff>78698</xdr:rowOff>
    </xdr:to>
    <xdr:sp macro="" textlink="Calcul_Bilan_Energie!N27">
      <xdr:nvSpPr>
        <xdr:cNvPr id="112" name="ZoneTexte 111">
          <a:extLst>
            <a:ext uri="{FF2B5EF4-FFF2-40B4-BE49-F238E27FC236}">
              <a16:creationId xmlns:a16="http://schemas.microsoft.com/office/drawing/2014/main" id="{00000000-0008-0000-0600-000070000000}"/>
            </a:ext>
          </a:extLst>
        </xdr:cNvPr>
        <xdr:cNvSpPr txBox="1"/>
      </xdr:nvSpPr>
      <xdr:spPr>
        <a:xfrm>
          <a:off x="2314575" y="1320864"/>
          <a:ext cx="1240658"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0EDC6A4-A895-45F9-ADFB-33162705AF34}" type="TxLink">
            <a:rPr lang="en-US" sz="1100" b="0" i="0" u="none" strike="noStrike">
              <a:solidFill>
                <a:srgbClr val="000000"/>
              </a:solidFill>
              <a:latin typeface="Calibri"/>
              <a:cs typeface="Calibri"/>
            </a:rPr>
            <a:pPr algn="ctr"/>
            <a:t>#REF!</a:t>
          </a:fld>
          <a:endParaRPr lang="fr-FR" sz="7200" b="1"/>
        </a:p>
      </xdr:txBody>
    </xdr:sp>
    <xdr:clientData/>
  </xdr:twoCellAnchor>
  <xdr:twoCellAnchor>
    <xdr:from>
      <xdr:col>1</xdr:col>
      <xdr:colOff>504825</xdr:colOff>
      <xdr:row>6</xdr:row>
      <xdr:rowOff>167197</xdr:rowOff>
    </xdr:from>
    <xdr:to>
      <xdr:col>2</xdr:col>
      <xdr:colOff>732024</xdr:colOff>
      <xdr:row>8</xdr:row>
      <xdr:rowOff>89366</xdr:rowOff>
    </xdr:to>
    <xdr:sp macro="" textlink="">
      <xdr:nvSpPr>
        <xdr:cNvPr id="113" name="ZoneTexte 112">
          <a:extLst>
            <a:ext uri="{FF2B5EF4-FFF2-40B4-BE49-F238E27FC236}">
              <a16:creationId xmlns:a16="http://schemas.microsoft.com/office/drawing/2014/main" id="{00000000-0008-0000-0600-000071000000}"/>
            </a:ext>
          </a:extLst>
        </xdr:cNvPr>
        <xdr:cNvSpPr txBox="1"/>
      </xdr:nvSpPr>
      <xdr:spPr>
        <a:xfrm>
          <a:off x="1266825" y="1310197"/>
          <a:ext cx="98919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Electricité</a:t>
          </a:r>
        </a:p>
      </xdr:txBody>
    </xdr:sp>
    <xdr:clientData/>
  </xdr:twoCellAnchor>
  <xdr:twoCellAnchor>
    <xdr:from>
      <xdr:col>5</xdr:col>
      <xdr:colOff>85725</xdr:colOff>
      <xdr:row>7</xdr:row>
      <xdr:rowOff>8292</xdr:rowOff>
    </xdr:from>
    <xdr:to>
      <xdr:col>6</xdr:col>
      <xdr:colOff>510287</xdr:colOff>
      <xdr:row>8</xdr:row>
      <xdr:rowOff>57770</xdr:rowOff>
    </xdr:to>
    <xdr:sp macro="" textlink="Controle_des_données!B19">
      <xdr:nvSpPr>
        <xdr:cNvPr id="114" name="ZoneTexte 113">
          <a:extLst>
            <a:ext uri="{FF2B5EF4-FFF2-40B4-BE49-F238E27FC236}">
              <a16:creationId xmlns:a16="http://schemas.microsoft.com/office/drawing/2014/main" id="{00000000-0008-0000-0600-000072000000}"/>
            </a:ext>
          </a:extLst>
        </xdr:cNvPr>
        <xdr:cNvSpPr txBox="1"/>
      </xdr:nvSpPr>
      <xdr:spPr>
        <a:xfrm>
          <a:off x="3895725" y="1341792"/>
          <a:ext cx="1186562" cy="239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D9B805-14ED-447A-B37B-84C854AB57E8}" type="TxLink">
            <a:rPr lang="en-US" sz="1100" b="0" i="0" u="none" strike="noStrike">
              <a:solidFill>
                <a:srgbClr val="000000"/>
              </a:solidFill>
              <a:latin typeface="Calibri"/>
              <a:cs typeface="Calibri"/>
            </a:rPr>
            <a:pPr algn="ctr"/>
            <a:t>53,4 kWh/m².an</a:t>
          </a:fld>
          <a:endParaRPr lang="fr-FR" sz="7200" b="1"/>
        </a:p>
      </xdr:txBody>
    </xdr:sp>
    <xdr:clientData/>
  </xdr:twoCellAnchor>
  <xdr:twoCellAnchor>
    <xdr:from>
      <xdr:col>3</xdr:col>
      <xdr:colOff>40508</xdr:colOff>
      <xdr:row>3</xdr:row>
      <xdr:rowOff>164790</xdr:rowOff>
    </xdr:from>
    <xdr:to>
      <xdr:col>4</xdr:col>
      <xdr:colOff>495300</xdr:colOff>
      <xdr:row>5</xdr:row>
      <xdr:rowOff>65624</xdr:rowOff>
    </xdr:to>
    <xdr:sp macro="" textlink="Calcul_Bilan_Energie!N22">
      <xdr:nvSpPr>
        <xdr:cNvPr id="109" name="ZoneTexte 108">
          <a:extLst>
            <a:ext uri="{FF2B5EF4-FFF2-40B4-BE49-F238E27FC236}">
              <a16:creationId xmlns:a16="http://schemas.microsoft.com/office/drawing/2014/main" id="{00000000-0008-0000-0600-00006D000000}"/>
            </a:ext>
          </a:extLst>
        </xdr:cNvPr>
        <xdr:cNvSpPr txBox="1"/>
      </xdr:nvSpPr>
      <xdr:spPr>
        <a:xfrm>
          <a:off x="2326508" y="736290"/>
          <a:ext cx="1216792"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8754189-361C-4BD3-9C50-128B04FBFD70}" type="TxLink">
            <a:rPr lang="en-US" sz="1100" b="0" i="0" u="none" strike="noStrike">
              <a:solidFill>
                <a:srgbClr val="000000"/>
              </a:solidFill>
              <a:latin typeface="Calibri"/>
              <a:cs typeface="Calibri"/>
            </a:rPr>
            <a:pPr algn="ctr"/>
            <a:t>#VALEUR!</a:t>
          </a:fld>
          <a:endParaRPr lang="fr-FR" sz="7200" b="1"/>
        </a:p>
      </xdr:txBody>
    </xdr:sp>
    <xdr:clientData/>
  </xdr:twoCellAnchor>
  <xdr:twoCellAnchor>
    <xdr:from>
      <xdr:col>4</xdr:col>
      <xdr:colOff>531272</xdr:colOff>
      <xdr:row>3</xdr:row>
      <xdr:rowOff>164790</xdr:rowOff>
    </xdr:from>
    <xdr:to>
      <xdr:col>7</xdr:col>
      <xdr:colOff>64741</xdr:colOff>
      <xdr:row>5</xdr:row>
      <xdr:rowOff>65624</xdr:rowOff>
    </xdr:to>
    <xdr:sp macro="" textlink="Controle_des_données!B18">
      <xdr:nvSpPr>
        <xdr:cNvPr id="110" name="ZoneTexte 109">
          <a:extLst>
            <a:ext uri="{FF2B5EF4-FFF2-40B4-BE49-F238E27FC236}">
              <a16:creationId xmlns:a16="http://schemas.microsoft.com/office/drawing/2014/main" id="{00000000-0008-0000-0600-00006E000000}"/>
            </a:ext>
          </a:extLst>
        </xdr:cNvPr>
        <xdr:cNvSpPr txBox="1"/>
      </xdr:nvSpPr>
      <xdr:spPr>
        <a:xfrm>
          <a:off x="3579272" y="736290"/>
          <a:ext cx="1819469"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9ACB5FE-0082-46E3-83C8-00D026C47735}" type="TxLink">
            <a:rPr lang="en-US" sz="1100" b="0" i="0" u="none" strike="noStrike">
              <a:solidFill>
                <a:srgbClr val="000000"/>
              </a:solidFill>
              <a:latin typeface="Calibri"/>
              <a:cs typeface="Calibri"/>
            </a:rPr>
            <a:pPr algn="ctr"/>
            <a:t>134,4 kWh/m².an</a:t>
          </a:fld>
          <a:endParaRPr lang="fr-FR" sz="7200" b="1"/>
        </a:p>
      </xdr:txBody>
    </xdr:sp>
    <xdr:clientData/>
  </xdr:twoCellAnchor>
  <xdr:twoCellAnchor>
    <xdr:from>
      <xdr:col>1</xdr:col>
      <xdr:colOff>561975</xdr:colOff>
      <xdr:row>3</xdr:row>
      <xdr:rowOff>154123</xdr:rowOff>
    </xdr:from>
    <xdr:to>
      <xdr:col>2</xdr:col>
      <xdr:colOff>732024</xdr:colOff>
      <xdr:row>5</xdr:row>
      <xdr:rowOff>76292</xdr:rowOff>
    </xdr:to>
    <xdr:sp macro="" textlink="">
      <xdr:nvSpPr>
        <xdr:cNvPr id="111" name="ZoneTexte 110">
          <a:extLst>
            <a:ext uri="{FF2B5EF4-FFF2-40B4-BE49-F238E27FC236}">
              <a16:creationId xmlns:a16="http://schemas.microsoft.com/office/drawing/2014/main" id="{00000000-0008-0000-0600-00006F000000}"/>
            </a:ext>
          </a:extLst>
        </xdr:cNvPr>
        <xdr:cNvSpPr txBox="1"/>
      </xdr:nvSpPr>
      <xdr:spPr>
        <a:xfrm>
          <a:off x="1323975" y="725623"/>
          <a:ext cx="93204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Thermique</a:t>
          </a:r>
        </a:p>
      </xdr:txBody>
    </xdr:sp>
    <xdr:clientData/>
  </xdr:twoCellAnchor>
  <xdr:twoCellAnchor>
    <xdr:from>
      <xdr:col>3</xdr:col>
      <xdr:colOff>57149</xdr:colOff>
      <xdr:row>9</xdr:row>
      <xdr:rowOff>85591</xdr:rowOff>
    </xdr:from>
    <xdr:to>
      <xdr:col>4</xdr:col>
      <xdr:colOff>478659</xdr:colOff>
      <xdr:row>10</xdr:row>
      <xdr:rowOff>176925</xdr:rowOff>
    </xdr:to>
    <xdr:sp macro="" textlink="Calcul_Bilan_Energie!N28">
      <xdr:nvSpPr>
        <xdr:cNvPr id="106" name="ZoneTexte 105">
          <a:extLst>
            <a:ext uri="{FF2B5EF4-FFF2-40B4-BE49-F238E27FC236}">
              <a16:creationId xmlns:a16="http://schemas.microsoft.com/office/drawing/2014/main" id="{00000000-0008-0000-0600-00006A000000}"/>
            </a:ext>
          </a:extLst>
        </xdr:cNvPr>
        <xdr:cNvSpPr txBox="1"/>
      </xdr:nvSpPr>
      <xdr:spPr>
        <a:xfrm>
          <a:off x="2343149" y="1800091"/>
          <a:ext cx="1183510"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5AE0728-A897-494D-B314-75A49E40A50E}" type="TxLink">
            <a:rPr lang="en-US" sz="1100" b="0" i="0" u="none" strike="noStrike">
              <a:solidFill>
                <a:srgbClr val="000000"/>
              </a:solidFill>
              <a:latin typeface="Calibri"/>
              <a:cs typeface="Calibri"/>
            </a:rPr>
            <a:pPr algn="ctr"/>
            <a:t>#REF!</a:t>
          </a:fld>
          <a:endParaRPr lang="fr-FR" sz="7200" b="1"/>
        </a:p>
      </xdr:txBody>
    </xdr:sp>
    <xdr:clientData/>
  </xdr:twoCellAnchor>
  <xdr:twoCellAnchor>
    <xdr:from>
      <xdr:col>5</xdr:col>
      <xdr:colOff>0</xdr:colOff>
      <xdr:row>9</xdr:row>
      <xdr:rowOff>85591</xdr:rowOff>
    </xdr:from>
    <xdr:to>
      <xdr:col>6</xdr:col>
      <xdr:colOff>596012</xdr:colOff>
      <xdr:row>10</xdr:row>
      <xdr:rowOff>176925</xdr:rowOff>
    </xdr:to>
    <xdr:sp macro="" textlink="Controle_des_données!B20">
      <xdr:nvSpPr>
        <xdr:cNvPr id="107" name="ZoneTexte 106">
          <a:extLst>
            <a:ext uri="{FF2B5EF4-FFF2-40B4-BE49-F238E27FC236}">
              <a16:creationId xmlns:a16="http://schemas.microsoft.com/office/drawing/2014/main" id="{00000000-0008-0000-0600-00006B000000}"/>
            </a:ext>
          </a:extLst>
        </xdr:cNvPr>
        <xdr:cNvSpPr txBox="1"/>
      </xdr:nvSpPr>
      <xdr:spPr>
        <a:xfrm>
          <a:off x="3810000" y="1800091"/>
          <a:ext cx="1358012"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3823111-8461-413D-9301-C9F8E5BE0381}" type="TxLink">
            <a:rPr lang="en-US" sz="1100" b="0" i="0" u="none" strike="noStrike">
              <a:solidFill>
                <a:srgbClr val="000000"/>
              </a:solidFill>
              <a:latin typeface="Calibri"/>
              <a:cs typeface="Calibri"/>
            </a:rPr>
            <a:pPr algn="ctr"/>
            <a:t>187,8 kWh/m².an</a:t>
          </a:fld>
          <a:endParaRPr lang="fr-FR" sz="7200" b="1"/>
        </a:p>
      </xdr:txBody>
    </xdr:sp>
    <xdr:clientData/>
  </xdr:twoCellAnchor>
  <xdr:twoCellAnchor>
    <xdr:from>
      <xdr:col>1</xdr:col>
      <xdr:colOff>457200</xdr:colOff>
      <xdr:row>9</xdr:row>
      <xdr:rowOff>74924</xdr:rowOff>
    </xdr:from>
    <xdr:to>
      <xdr:col>2</xdr:col>
      <xdr:colOff>732023</xdr:colOff>
      <xdr:row>10</xdr:row>
      <xdr:rowOff>187593</xdr:rowOff>
    </xdr:to>
    <xdr:sp macro="" textlink="">
      <xdr:nvSpPr>
        <xdr:cNvPr id="108" name="ZoneTexte 107">
          <a:extLst>
            <a:ext uri="{FF2B5EF4-FFF2-40B4-BE49-F238E27FC236}">
              <a16:creationId xmlns:a16="http://schemas.microsoft.com/office/drawing/2014/main" id="{00000000-0008-0000-0600-00006C000000}"/>
            </a:ext>
          </a:extLst>
        </xdr:cNvPr>
        <xdr:cNvSpPr txBox="1"/>
      </xdr:nvSpPr>
      <xdr:spPr>
        <a:xfrm>
          <a:off x="1219200" y="1789424"/>
          <a:ext cx="1036823"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Total Energie</a:t>
          </a:r>
        </a:p>
      </xdr:txBody>
    </xdr:sp>
    <xdr:clientData/>
  </xdr:twoCellAnchor>
  <xdr:twoCellAnchor>
    <xdr:from>
      <xdr:col>4</xdr:col>
      <xdr:colOff>619150</xdr:colOff>
      <xdr:row>3</xdr:row>
      <xdr:rowOff>142875</xdr:rowOff>
    </xdr:from>
    <xdr:to>
      <xdr:col>4</xdr:col>
      <xdr:colOff>619150</xdr:colOff>
      <xdr:row>13</xdr:row>
      <xdr:rowOff>152400</xdr:rowOff>
    </xdr:to>
    <xdr:cxnSp macro="">
      <xdr:nvCxnSpPr>
        <xdr:cNvPr id="101" name="Connecteur droit 100">
          <a:extLst>
            <a:ext uri="{FF2B5EF4-FFF2-40B4-BE49-F238E27FC236}">
              <a16:creationId xmlns:a16="http://schemas.microsoft.com/office/drawing/2014/main" id="{00000000-0008-0000-0600-000065000000}"/>
            </a:ext>
          </a:extLst>
        </xdr:cNvPr>
        <xdr:cNvCxnSpPr/>
      </xdr:nvCxnSpPr>
      <xdr:spPr>
        <a:xfrm>
          <a:off x="3667150" y="714375"/>
          <a:ext cx="0" cy="1914525"/>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2542</xdr:colOff>
      <xdr:row>11</xdr:row>
      <xdr:rowOff>17703</xdr:rowOff>
    </xdr:from>
    <xdr:to>
      <xdr:col>4</xdr:col>
      <xdr:colOff>533266</xdr:colOff>
      <xdr:row>12</xdr:row>
      <xdr:rowOff>109037</xdr:rowOff>
    </xdr:to>
    <xdr:sp macro="" textlink="Calcul_Bilan_Energie!N32">
      <xdr:nvSpPr>
        <xdr:cNvPr id="103" name="ZoneTexte 102">
          <a:extLst>
            <a:ext uri="{FF2B5EF4-FFF2-40B4-BE49-F238E27FC236}">
              <a16:creationId xmlns:a16="http://schemas.microsoft.com/office/drawing/2014/main" id="{00000000-0008-0000-0600-000067000000}"/>
            </a:ext>
          </a:extLst>
        </xdr:cNvPr>
        <xdr:cNvSpPr txBox="1"/>
      </xdr:nvSpPr>
      <xdr:spPr>
        <a:xfrm>
          <a:off x="2288542" y="2113203"/>
          <a:ext cx="1292724"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F8ECF3-F354-44F8-A0DA-0B763141314A}" type="TxLink">
            <a:rPr lang="en-US" sz="1100" b="0" i="0" u="none" strike="noStrike">
              <a:solidFill>
                <a:srgbClr val="000000"/>
              </a:solidFill>
              <a:latin typeface="Calibri"/>
              <a:cs typeface="Calibri"/>
            </a:rPr>
            <a:pPr algn="ctr"/>
            <a:t>N/A</a:t>
          </a:fld>
          <a:endParaRPr lang="fr-FR" sz="7200" b="1"/>
        </a:p>
      </xdr:txBody>
    </xdr:sp>
    <xdr:clientData/>
  </xdr:twoCellAnchor>
  <xdr:twoCellAnchor>
    <xdr:from>
      <xdr:col>4</xdr:col>
      <xdr:colOff>647567</xdr:colOff>
      <xdr:row>11</xdr:row>
      <xdr:rowOff>17703</xdr:rowOff>
    </xdr:from>
    <xdr:to>
      <xdr:col>6</xdr:col>
      <xdr:colOff>710445</xdr:colOff>
      <xdr:row>12</xdr:row>
      <xdr:rowOff>109037</xdr:rowOff>
    </xdr:to>
    <xdr:sp macro="" textlink="Controle_des_données!B23">
      <xdr:nvSpPr>
        <xdr:cNvPr id="104" name="ZoneTexte 103">
          <a:extLst>
            <a:ext uri="{FF2B5EF4-FFF2-40B4-BE49-F238E27FC236}">
              <a16:creationId xmlns:a16="http://schemas.microsoft.com/office/drawing/2014/main" id="{00000000-0008-0000-0600-000068000000}"/>
            </a:ext>
          </a:extLst>
        </xdr:cNvPr>
        <xdr:cNvSpPr txBox="1"/>
      </xdr:nvSpPr>
      <xdr:spPr>
        <a:xfrm>
          <a:off x="3695567" y="2113203"/>
          <a:ext cx="1586878"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F40CCD-A993-441E-873B-037106EEE113}" type="TxLink">
            <a:rPr lang="en-US" sz="1100" b="0" i="0" u="none" strike="noStrike">
              <a:solidFill>
                <a:srgbClr val="000000"/>
              </a:solidFill>
              <a:latin typeface="Calibri"/>
              <a:cs typeface="Calibri"/>
            </a:rPr>
            <a:pPr algn="ctr"/>
            <a:t>144,2 l/j.Usager</a:t>
          </a:fld>
          <a:endParaRPr lang="fr-FR" sz="7200" b="1"/>
        </a:p>
      </xdr:txBody>
    </xdr:sp>
    <xdr:clientData/>
  </xdr:twoCellAnchor>
  <xdr:twoCellAnchor>
    <xdr:from>
      <xdr:col>1</xdr:col>
      <xdr:colOff>322500</xdr:colOff>
      <xdr:row>11</xdr:row>
      <xdr:rowOff>7036</xdr:rowOff>
    </xdr:from>
    <xdr:to>
      <xdr:col>2</xdr:col>
      <xdr:colOff>732024</xdr:colOff>
      <xdr:row>12</xdr:row>
      <xdr:rowOff>119705</xdr:rowOff>
    </xdr:to>
    <xdr:sp macro="" textlink="">
      <xdr:nvSpPr>
        <xdr:cNvPr id="105" name="ZoneTexte 104">
          <a:extLst>
            <a:ext uri="{FF2B5EF4-FFF2-40B4-BE49-F238E27FC236}">
              <a16:creationId xmlns:a16="http://schemas.microsoft.com/office/drawing/2014/main" id="{00000000-0008-0000-0600-000069000000}"/>
            </a:ext>
          </a:extLst>
        </xdr:cNvPr>
        <xdr:cNvSpPr txBox="1"/>
      </xdr:nvSpPr>
      <xdr:spPr>
        <a:xfrm>
          <a:off x="1084500" y="2102536"/>
          <a:ext cx="1171524"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Eau</a:t>
          </a:r>
        </a:p>
      </xdr:txBody>
    </xdr:sp>
    <xdr:clientData/>
  </xdr:twoCellAnchor>
  <xdr:twoCellAnchor>
    <xdr:from>
      <xdr:col>1</xdr:col>
      <xdr:colOff>718359</xdr:colOff>
      <xdr:row>14</xdr:row>
      <xdr:rowOff>68331</xdr:rowOff>
    </xdr:from>
    <xdr:to>
      <xdr:col>7</xdr:col>
      <xdr:colOff>245131</xdr:colOff>
      <xdr:row>15</xdr:row>
      <xdr:rowOff>89037</xdr:rowOff>
    </xdr:to>
    <xdr:sp macro="" textlink="">
      <xdr:nvSpPr>
        <xdr:cNvPr id="94" name="ZoneTexte 93">
          <a:extLst>
            <a:ext uri="{FF2B5EF4-FFF2-40B4-BE49-F238E27FC236}">
              <a16:creationId xmlns:a16="http://schemas.microsoft.com/office/drawing/2014/main" id="{00000000-0008-0000-0600-00005E000000}"/>
            </a:ext>
          </a:extLst>
        </xdr:cNvPr>
        <xdr:cNvSpPr txBox="1"/>
      </xdr:nvSpPr>
      <xdr:spPr>
        <a:xfrm>
          <a:off x="1480359" y="2735331"/>
          <a:ext cx="4098772"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Chaleur en kWh EF PCI corrigée au DJU  et calculée par</a:t>
          </a:r>
          <a:r>
            <a:rPr lang="fr-FR" sz="800" baseline="0"/>
            <a:t>  m² de plancher chauffé </a:t>
          </a:r>
          <a:endParaRPr lang="fr-FR" sz="800"/>
        </a:p>
      </xdr:txBody>
    </xdr:sp>
    <xdr:clientData/>
  </xdr:twoCellAnchor>
  <xdr:twoCellAnchor>
    <xdr:from>
      <xdr:col>4</xdr:col>
      <xdr:colOff>384714</xdr:colOff>
      <xdr:row>1</xdr:row>
      <xdr:rowOff>99698</xdr:rowOff>
    </xdr:from>
    <xdr:to>
      <xdr:col>7</xdr:col>
      <xdr:colOff>343077</xdr:colOff>
      <xdr:row>4</xdr:row>
      <xdr:rowOff>35201</xdr:rowOff>
    </xdr:to>
    <xdr:sp macro="" textlink="">
      <xdr:nvSpPr>
        <xdr:cNvPr id="93" name="ZoneTexte 92">
          <a:extLst>
            <a:ext uri="{FF2B5EF4-FFF2-40B4-BE49-F238E27FC236}">
              <a16:creationId xmlns:a16="http://schemas.microsoft.com/office/drawing/2014/main" id="{00000000-0008-0000-0600-00005D000000}"/>
            </a:ext>
          </a:extLst>
        </xdr:cNvPr>
        <xdr:cNvSpPr txBox="1"/>
      </xdr:nvSpPr>
      <xdr:spPr>
        <a:xfrm>
          <a:off x="3432714" y="290198"/>
          <a:ext cx="2244363" cy="507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Moyenne régionale</a:t>
          </a:r>
          <a:endParaRPr lang="fr-FR" sz="1200" b="0" i="0" u="none" strike="noStrike">
            <a:solidFill>
              <a:schemeClr val="dk1"/>
            </a:solidFill>
            <a:effectLst/>
            <a:latin typeface="+mn-lt"/>
            <a:ea typeface="+mn-ea"/>
            <a:cs typeface="+mn-cs"/>
          </a:endParaRPr>
        </a:p>
        <a:p>
          <a:pPr algn="ctr"/>
          <a:r>
            <a:rPr lang="fr-FR" sz="800" b="0" i="0" u="none" strike="noStrike">
              <a:solidFill>
                <a:schemeClr val="dk1"/>
              </a:solidFill>
              <a:effectLst/>
              <a:latin typeface="+mn-lt"/>
              <a:ea typeface="+mn-ea"/>
              <a:cs typeface="+mn-cs"/>
            </a:rPr>
            <a:t>(Pays</a:t>
          </a:r>
          <a:r>
            <a:rPr lang="fr-FR" sz="800" b="0" i="0" u="none" strike="noStrike" baseline="0">
              <a:solidFill>
                <a:schemeClr val="dk1"/>
              </a:solidFill>
              <a:effectLst/>
              <a:latin typeface="+mn-lt"/>
              <a:ea typeface="+mn-ea"/>
              <a:cs typeface="+mn-cs"/>
            </a:rPr>
            <a:t> de la Loire)</a:t>
          </a:r>
          <a:endParaRPr lang="fr-FR" sz="1000" b="1"/>
        </a:p>
      </xdr:txBody>
    </xdr:sp>
    <xdr:clientData/>
  </xdr:twoCellAnchor>
  <xdr:twoCellAnchor>
    <xdr:from>
      <xdr:col>5</xdr:col>
      <xdr:colOff>457201</xdr:colOff>
      <xdr:row>17</xdr:row>
      <xdr:rowOff>84172</xdr:rowOff>
    </xdr:from>
    <xdr:to>
      <xdr:col>9</xdr:col>
      <xdr:colOff>173937</xdr:colOff>
      <xdr:row>30</xdr:row>
      <xdr:rowOff>0</xdr:rowOff>
    </xdr:to>
    <xdr:graphicFrame macro="">
      <xdr:nvGraphicFramePr>
        <xdr:cNvPr id="115" name="Graphique 114">
          <a:extLst>
            <a:ext uri="{FF2B5EF4-FFF2-40B4-BE49-F238E27FC236}">
              <a16:creationId xmlns:a16="http://schemas.microsoft.com/office/drawing/2014/main" id="{00000000-0008-0000-06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752064</xdr:colOff>
      <xdr:row>16</xdr:row>
      <xdr:rowOff>166898</xdr:rowOff>
    </xdr:from>
    <xdr:to>
      <xdr:col>8</xdr:col>
      <xdr:colOff>488674</xdr:colOff>
      <xdr:row>18</xdr:row>
      <xdr:rowOff>124394</xdr:rowOff>
    </xdr:to>
    <xdr:sp macro="" textlink="">
      <xdr:nvSpPr>
        <xdr:cNvPr id="116" name="ZoneTexte 115">
          <a:extLst>
            <a:ext uri="{FF2B5EF4-FFF2-40B4-BE49-F238E27FC236}">
              <a16:creationId xmlns:a16="http://schemas.microsoft.com/office/drawing/2014/main" id="{00000000-0008-0000-0600-000074000000}"/>
            </a:ext>
          </a:extLst>
        </xdr:cNvPr>
        <xdr:cNvSpPr txBox="1"/>
      </xdr:nvSpPr>
      <xdr:spPr>
        <a:xfrm>
          <a:off x="4562064" y="3214898"/>
          <a:ext cx="20226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Distribution des usages</a:t>
          </a:r>
          <a:endParaRPr lang="fr-FR" sz="1200" b="1"/>
        </a:p>
      </xdr:txBody>
    </xdr:sp>
    <xdr:clientData/>
  </xdr:twoCellAnchor>
  <xdr:twoCellAnchor>
    <xdr:from>
      <xdr:col>1</xdr:col>
      <xdr:colOff>390525</xdr:colOff>
      <xdr:row>12</xdr:row>
      <xdr:rowOff>64685</xdr:rowOff>
    </xdr:from>
    <xdr:to>
      <xdr:col>3</xdr:col>
      <xdr:colOff>17649</xdr:colOff>
      <xdr:row>13</xdr:row>
      <xdr:rowOff>177354</xdr:rowOff>
    </xdr:to>
    <xdr:sp macro="" textlink="">
      <xdr:nvSpPr>
        <xdr:cNvPr id="79" name="ZoneTexte 78">
          <a:extLst>
            <a:ext uri="{FF2B5EF4-FFF2-40B4-BE49-F238E27FC236}">
              <a16:creationId xmlns:a16="http://schemas.microsoft.com/office/drawing/2014/main" id="{00000000-0008-0000-0600-00004F000000}"/>
            </a:ext>
          </a:extLst>
        </xdr:cNvPr>
        <xdr:cNvSpPr txBox="1"/>
      </xdr:nvSpPr>
      <xdr:spPr>
        <a:xfrm>
          <a:off x="1152525" y="2350685"/>
          <a:ext cx="1151124"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Surface/usager</a:t>
          </a:r>
        </a:p>
      </xdr:txBody>
    </xdr:sp>
    <xdr:clientData/>
  </xdr:twoCellAnchor>
  <xdr:twoCellAnchor>
    <xdr:from>
      <xdr:col>3</xdr:col>
      <xdr:colOff>108701</xdr:colOff>
      <xdr:row>12</xdr:row>
      <xdr:rowOff>75352</xdr:rowOff>
    </xdr:from>
    <xdr:to>
      <xdr:col>4</xdr:col>
      <xdr:colOff>427107</xdr:colOff>
      <xdr:row>13</xdr:row>
      <xdr:rowOff>166686</xdr:rowOff>
    </xdr:to>
    <xdr:sp macro="" textlink="Calcul_Bilan_Energie!N8">
      <xdr:nvSpPr>
        <xdr:cNvPr id="80" name="ZoneTexte 79">
          <a:extLst>
            <a:ext uri="{FF2B5EF4-FFF2-40B4-BE49-F238E27FC236}">
              <a16:creationId xmlns:a16="http://schemas.microsoft.com/office/drawing/2014/main" id="{00000000-0008-0000-0600-000050000000}"/>
            </a:ext>
          </a:extLst>
        </xdr:cNvPr>
        <xdr:cNvSpPr txBox="1"/>
      </xdr:nvSpPr>
      <xdr:spPr>
        <a:xfrm>
          <a:off x="2394701" y="2361352"/>
          <a:ext cx="1080406"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BEB7D7-F2F3-4A86-BED7-CE91396D80B2}" type="TxLink">
            <a:rPr lang="en-US" sz="1100" b="0" i="0" u="none" strike="noStrike">
              <a:solidFill>
                <a:srgbClr val="000000"/>
              </a:solidFill>
              <a:latin typeface="Calibri"/>
              <a:cs typeface="Calibri"/>
            </a:rPr>
            <a:pPr algn="ctr"/>
            <a:t>0 m²/usager</a:t>
          </a:fld>
          <a:endParaRPr lang="fr-FR" sz="7200" b="1"/>
        </a:p>
      </xdr:txBody>
    </xdr:sp>
    <xdr:clientData/>
  </xdr:twoCellAnchor>
  <xdr:twoCellAnchor>
    <xdr:from>
      <xdr:col>5</xdr:col>
      <xdr:colOff>75671</xdr:colOff>
      <xdr:row>12</xdr:row>
      <xdr:rowOff>75352</xdr:rowOff>
    </xdr:from>
    <xdr:to>
      <xdr:col>6</xdr:col>
      <xdr:colOff>520341</xdr:colOff>
      <xdr:row>13</xdr:row>
      <xdr:rowOff>166686</xdr:rowOff>
    </xdr:to>
    <xdr:sp macro="" textlink="Controle_des_données!B27">
      <xdr:nvSpPr>
        <xdr:cNvPr id="84" name="ZoneTexte 83">
          <a:extLst>
            <a:ext uri="{FF2B5EF4-FFF2-40B4-BE49-F238E27FC236}">
              <a16:creationId xmlns:a16="http://schemas.microsoft.com/office/drawing/2014/main" id="{00000000-0008-0000-0600-000054000000}"/>
            </a:ext>
          </a:extLst>
        </xdr:cNvPr>
        <xdr:cNvSpPr txBox="1"/>
      </xdr:nvSpPr>
      <xdr:spPr>
        <a:xfrm>
          <a:off x="3885671" y="2361352"/>
          <a:ext cx="1206670"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810883-5447-4C37-8274-B244F27C5228}" type="TxLink">
            <a:rPr lang="en-US" sz="1100" b="0" i="0" u="none" strike="noStrike">
              <a:solidFill>
                <a:srgbClr val="000000"/>
              </a:solidFill>
              <a:latin typeface="Calibri"/>
              <a:cs typeface="Calibri"/>
            </a:rPr>
            <a:pPr algn="ctr"/>
            <a:t>58 m²/usager</a:t>
          </a:fld>
          <a:endParaRPr lang="fr-FR" sz="7200" b="1"/>
        </a:p>
      </xdr:txBody>
    </xdr:sp>
    <xdr:clientData/>
  </xdr:twoCellAnchor>
  <xdr:twoCellAnchor>
    <xdr:from>
      <xdr:col>0</xdr:col>
      <xdr:colOff>494057</xdr:colOff>
      <xdr:row>31</xdr:row>
      <xdr:rowOff>114711</xdr:rowOff>
    </xdr:from>
    <xdr:to>
      <xdr:col>5</xdr:col>
      <xdr:colOff>444361</xdr:colOff>
      <xdr:row>32</xdr:row>
      <xdr:rowOff>135417</xdr:rowOff>
    </xdr:to>
    <xdr:sp macro="" textlink="">
      <xdr:nvSpPr>
        <xdr:cNvPr id="90" name="ZoneTexte 89">
          <a:extLst>
            <a:ext uri="{FF2B5EF4-FFF2-40B4-BE49-F238E27FC236}">
              <a16:creationId xmlns:a16="http://schemas.microsoft.com/office/drawing/2014/main" id="{00000000-0008-0000-0600-00005A000000}"/>
            </a:ext>
          </a:extLst>
        </xdr:cNvPr>
        <xdr:cNvSpPr txBox="1"/>
      </xdr:nvSpPr>
      <xdr:spPr>
        <a:xfrm>
          <a:off x="494057" y="6020211"/>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Données brutes, non corrigées</a:t>
          </a:r>
          <a:r>
            <a:rPr lang="fr-FR" sz="800" baseline="0"/>
            <a:t> du DJU</a:t>
          </a:r>
          <a:endParaRPr lang="fr-FR" sz="800"/>
        </a:p>
      </xdr:txBody>
    </xdr:sp>
    <xdr:clientData/>
  </xdr:twoCellAnchor>
  <xdr:twoCellAnchor editAs="oneCell">
    <xdr:from>
      <xdr:col>0</xdr:col>
      <xdr:colOff>28574</xdr:colOff>
      <xdr:row>1</xdr:row>
      <xdr:rowOff>114301</xdr:rowOff>
    </xdr:from>
    <xdr:to>
      <xdr:col>1</xdr:col>
      <xdr:colOff>342899</xdr:colOff>
      <xdr:row>15</xdr:row>
      <xdr:rowOff>95251</xdr:rowOff>
    </xdr:to>
    <mc:AlternateContent xmlns:mc="http://schemas.openxmlformats.org/markup-compatibility/2006" xmlns:a14="http://schemas.microsoft.com/office/drawing/2010/main">
      <mc:Choice Requires="a14">
        <xdr:graphicFrame macro="">
          <xdr:nvGraphicFramePr>
            <xdr:cNvPr id="117" name="Annee 1">
              <a:extLst>
                <a:ext uri="{FF2B5EF4-FFF2-40B4-BE49-F238E27FC236}">
                  <a16:creationId xmlns:a16="http://schemas.microsoft.com/office/drawing/2014/main" id="{00000000-0008-0000-0600-000075000000}"/>
                </a:ext>
              </a:extLst>
            </xdr:cNvPr>
            <xdr:cNvGraphicFramePr/>
          </xdr:nvGraphicFramePr>
          <xdr:xfrm>
            <a:off x="0" y="0"/>
            <a:ext cx="0" cy="0"/>
          </xdr:xfrm>
          <a:graphic>
            <a:graphicData uri="http://schemas.microsoft.com/office/drawing/2010/slicer">
              <sle:slicer xmlns:sle="http://schemas.microsoft.com/office/drawing/2010/slicer" name="Annee 1"/>
            </a:graphicData>
          </a:graphic>
        </xdr:graphicFrame>
      </mc:Choice>
      <mc:Fallback xmlns="">
        <xdr:sp macro="" textlink="">
          <xdr:nvSpPr>
            <xdr:cNvPr id="0" name=""/>
            <xdr:cNvSpPr>
              <a:spLocks noTextEdit="1"/>
            </xdr:cNvSpPr>
          </xdr:nvSpPr>
          <xdr:spPr>
            <a:xfrm>
              <a:off x="28574" y="600076"/>
              <a:ext cx="1133475" cy="20574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xdr:from>
      <xdr:col>0</xdr:col>
      <xdr:colOff>0</xdr:colOff>
      <xdr:row>17</xdr:row>
      <xdr:rowOff>117474</xdr:rowOff>
    </xdr:from>
    <xdr:to>
      <xdr:col>3</xdr:col>
      <xdr:colOff>247650</xdr:colOff>
      <xdr:row>32</xdr:row>
      <xdr:rowOff>231774</xdr:rowOff>
    </xdr:to>
    <xdr:graphicFrame macro="">
      <xdr:nvGraphicFramePr>
        <xdr:cNvPr id="118" name="Graphique 117">
          <a:extLst>
            <a:ext uri="{FF2B5EF4-FFF2-40B4-BE49-F238E27FC236}">
              <a16:creationId xmlns:a16="http://schemas.microsoft.com/office/drawing/2014/main" id="{00000000-0008-0000-06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790575</xdr:colOff>
      <xdr:row>17</xdr:row>
      <xdr:rowOff>180974</xdr:rowOff>
    </xdr:from>
    <xdr:to>
      <xdr:col>6</xdr:col>
      <xdr:colOff>273051</xdr:colOff>
      <xdr:row>32</xdr:row>
      <xdr:rowOff>84138</xdr:rowOff>
    </xdr:to>
    <xdr:graphicFrame macro="">
      <xdr:nvGraphicFramePr>
        <xdr:cNvPr id="77" name="Graphique 76">
          <a:extLst>
            <a:ext uri="{FF2B5EF4-FFF2-40B4-BE49-F238E27FC236}">
              <a16:creationId xmlns:a16="http://schemas.microsoft.com/office/drawing/2014/main" id="{00000000-0008-0000-06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239729</xdr:colOff>
      <xdr:row>17</xdr:row>
      <xdr:rowOff>147327</xdr:rowOff>
    </xdr:from>
    <xdr:to>
      <xdr:col>2</xdr:col>
      <xdr:colOff>630654</xdr:colOff>
      <xdr:row>18</xdr:row>
      <xdr:rowOff>170391</xdr:rowOff>
    </xdr:to>
    <xdr:sp macro="" textlink="Calcul_Bilan_Energie!M10">
      <xdr:nvSpPr>
        <xdr:cNvPr id="75" name="ZoneTexte 74">
          <a:extLst>
            <a:ext uri="{FF2B5EF4-FFF2-40B4-BE49-F238E27FC236}">
              <a16:creationId xmlns:a16="http://schemas.microsoft.com/office/drawing/2014/main" id="{00000000-0008-0000-0600-00004B000000}"/>
            </a:ext>
          </a:extLst>
        </xdr:cNvPr>
        <xdr:cNvSpPr txBox="1"/>
      </xdr:nvSpPr>
      <xdr:spPr>
        <a:xfrm>
          <a:off x="239729" y="3385827"/>
          <a:ext cx="1914925" cy="213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67C93F0-BB11-449A-A860-74ED8E75E500}" type="TxLink">
            <a:rPr lang="en-US" sz="1200" b="0" i="0" u="none" strike="noStrike">
              <a:solidFill>
                <a:srgbClr val="000000"/>
              </a:solidFill>
              <a:latin typeface="Calibri"/>
              <a:cs typeface="Calibri"/>
            </a:rPr>
            <a:pPr algn="ctr"/>
            <a:t>0,00 MWh [EF PCI]</a:t>
          </a:fld>
          <a:endParaRPr lang="fr-FR" sz="1200" b="1"/>
        </a:p>
      </xdr:txBody>
    </xdr:sp>
    <xdr:clientData/>
  </xdr:twoCellAnchor>
  <xdr:twoCellAnchor>
    <xdr:from>
      <xdr:col>1</xdr:col>
      <xdr:colOff>542925</xdr:colOff>
      <xdr:row>4</xdr:row>
      <xdr:rowOff>170059</xdr:rowOff>
    </xdr:from>
    <xdr:to>
      <xdr:col>2</xdr:col>
      <xdr:colOff>732024</xdr:colOff>
      <xdr:row>6</xdr:row>
      <xdr:rowOff>92228</xdr:rowOff>
    </xdr:to>
    <xdr:sp macro="" textlink="">
      <xdr:nvSpPr>
        <xdr:cNvPr id="119" name="ZoneTexte 118" descr="Le Talon thermique est déduit de votre consommation estivale">
          <a:hlinkClick xmlns:r="http://schemas.openxmlformats.org/officeDocument/2006/relationships" r:id="rId11" tooltip="Le Talon thermique est déduit de votre consommation estivale"/>
          <a:extLst>
            <a:ext uri="{FF2B5EF4-FFF2-40B4-BE49-F238E27FC236}">
              <a16:creationId xmlns:a16="http://schemas.microsoft.com/office/drawing/2014/main" id="{00000000-0008-0000-0600-000077000000}"/>
            </a:ext>
          </a:extLst>
        </xdr:cNvPr>
        <xdr:cNvSpPr txBox="1"/>
      </xdr:nvSpPr>
      <xdr:spPr>
        <a:xfrm>
          <a:off x="1304925" y="932059"/>
          <a:ext cx="95109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i="1"/>
            <a:t>Talon</a:t>
          </a:r>
          <a:r>
            <a:rPr lang="fr-FR" sz="1200" b="1" i="0" baseline="30000"/>
            <a:t>ℹ️</a:t>
          </a:r>
        </a:p>
      </xdr:txBody>
    </xdr:sp>
    <xdr:clientData/>
  </xdr:twoCellAnchor>
  <xdr:twoCellAnchor>
    <xdr:from>
      <xdr:col>2</xdr:col>
      <xdr:colOff>133350</xdr:colOff>
      <xdr:row>6</xdr:row>
      <xdr:rowOff>95303</xdr:rowOff>
    </xdr:from>
    <xdr:to>
      <xdr:col>6</xdr:col>
      <xdr:colOff>504825</xdr:colOff>
      <xdr:row>6</xdr:row>
      <xdr:rowOff>95303</xdr:rowOff>
    </xdr:to>
    <xdr:cxnSp macro="">
      <xdr:nvCxnSpPr>
        <xdr:cNvPr id="120" name="Connecteur droit 119">
          <a:extLst>
            <a:ext uri="{FF2B5EF4-FFF2-40B4-BE49-F238E27FC236}">
              <a16:creationId xmlns:a16="http://schemas.microsoft.com/office/drawing/2014/main" id="{00000000-0008-0000-0600-000078000000}"/>
            </a:ext>
          </a:extLst>
        </xdr:cNvPr>
        <xdr:cNvCxnSpPr/>
      </xdr:nvCxnSpPr>
      <xdr:spPr>
        <a:xfrm flipH="1" flipV="1">
          <a:off x="1657350" y="1238303"/>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142875</xdr:colOff>
      <xdr:row>9</xdr:row>
      <xdr:rowOff>85778</xdr:rowOff>
    </xdr:from>
    <xdr:to>
      <xdr:col>6</xdr:col>
      <xdr:colOff>514350</xdr:colOff>
      <xdr:row>9</xdr:row>
      <xdr:rowOff>85778</xdr:rowOff>
    </xdr:to>
    <xdr:cxnSp macro="">
      <xdr:nvCxnSpPr>
        <xdr:cNvPr id="121" name="Connecteur droit 120">
          <a:extLst>
            <a:ext uri="{FF2B5EF4-FFF2-40B4-BE49-F238E27FC236}">
              <a16:creationId xmlns:a16="http://schemas.microsoft.com/office/drawing/2014/main" id="{00000000-0008-0000-0600-000079000000}"/>
            </a:ext>
          </a:extLst>
        </xdr:cNvPr>
        <xdr:cNvCxnSpPr/>
      </xdr:nvCxnSpPr>
      <xdr:spPr>
        <a:xfrm flipH="1" flipV="1">
          <a:off x="1666875" y="1800278"/>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95250</xdr:colOff>
      <xdr:row>11</xdr:row>
      <xdr:rowOff>19103</xdr:rowOff>
    </xdr:from>
    <xdr:to>
      <xdr:col>6</xdr:col>
      <xdr:colOff>466725</xdr:colOff>
      <xdr:row>11</xdr:row>
      <xdr:rowOff>19103</xdr:rowOff>
    </xdr:to>
    <xdr:cxnSp macro="">
      <xdr:nvCxnSpPr>
        <xdr:cNvPr id="122" name="Connecteur droit 121">
          <a:extLst>
            <a:ext uri="{FF2B5EF4-FFF2-40B4-BE49-F238E27FC236}">
              <a16:creationId xmlns:a16="http://schemas.microsoft.com/office/drawing/2014/main" id="{00000000-0008-0000-0600-00007A000000}"/>
            </a:ext>
          </a:extLst>
        </xdr:cNvPr>
        <xdr:cNvCxnSpPr/>
      </xdr:nvCxnSpPr>
      <xdr:spPr>
        <a:xfrm flipH="1" flipV="1">
          <a:off x="1619250" y="2114603"/>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1</xdr:col>
      <xdr:colOff>561975</xdr:colOff>
      <xdr:row>8</xdr:row>
      <xdr:rowOff>8134</xdr:rowOff>
    </xdr:from>
    <xdr:to>
      <xdr:col>2</xdr:col>
      <xdr:colOff>732024</xdr:colOff>
      <xdr:row>9</xdr:row>
      <xdr:rowOff>120803</xdr:rowOff>
    </xdr:to>
    <xdr:sp macro="" textlink="">
      <xdr:nvSpPr>
        <xdr:cNvPr id="123" name="ZoneTexte 122">
          <a:extLst>
            <a:ext uri="{FF2B5EF4-FFF2-40B4-BE49-F238E27FC236}">
              <a16:creationId xmlns:a16="http://schemas.microsoft.com/office/drawing/2014/main" id="{00000000-0008-0000-0600-00007B000000}"/>
            </a:ext>
          </a:extLst>
        </xdr:cNvPr>
        <xdr:cNvSpPr txBox="1"/>
      </xdr:nvSpPr>
      <xdr:spPr>
        <a:xfrm>
          <a:off x="1323975" y="1532134"/>
          <a:ext cx="93204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i="1"/>
            <a:t>Talon</a:t>
          </a:r>
          <a:r>
            <a:rPr lang="fr-FR" sz="1200" b="1" i="0" baseline="30000"/>
            <a:t>ℹ️</a:t>
          </a:r>
        </a:p>
      </xdr:txBody>
    </xdr:sp>
    <xdr:clientData/>
  </xdr:twoCellAnchor>
  <xdr:twoCellAnchor>
    <xdr:from>
      <xdr:col>2</xdr:col>
      <xdr:colOff>123825</xdr:colOff>
      <xdr:row>13</xdr:row>
      <xdr:rowOff>161978</xdr:rowOff>
    </xdr:from>
    <xdr:to>
      <xdr:col>6</xdr:col>
      <xdr:colOff>495300</xdr:colOff>
      <xdr:row>13</xdr:row>
      <xdr:rowOff>161978</xdr:rowOff>
    </xdr:to>
    <xdr:cxnSp macro="">
      <xdr:nvCxnSpPr>
        <xdr:cNvPr id="124" name="Connecteur droit 123">
          <a:extLst>
            <a:ext uri="{FF2B5EF4-FFF2-40B4-BE49-F238E27FC236}">
              <a16:creationId xmlns:a16="http://schemas.microsoft.com/office/drawing/2014/main" id="{00000000-0008-0000-0600-00007C000000}"/>
            </a:ext>
          </a:extLst>
        </xdr:cNvPr>
        <xdr:cNvCxnSpPr/>
      </xdr:nvCxnSpPr>
      <xdr:spPr>
        <a:xfrm flipH="1" flipV="1">
          <a:off x="1647825" y="2638478"/>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30983</xdr:colOff>
      <xdr:row>4</xdr:row>
      <xdr:rowOff>180726</xdr:rowOff>
    </xdr:from>
    <xdr:to>
      <xdr:col>4</xdr:col>
      <xdr:colOff>504825</xdr:colOff>
      <xdr:row>6</xdr:row>
      <xdr:rowOff>81560</xdr:rowOff>
    </xdr:to>
    <xdr:sp macro="" textlink="Calcul_Bilan_Energie!P22">
      <xdr:nvSpPr>
        <xdr:cNvPr id="125" name="ZoneTexte 124">
          <a:extLst>
            <a:ext uri="{FF2B5EF4-FFF2-40B4-BE49-F238E27FC236}">
              <a16:creationId xmlns:a16="http://schemas.microsoft.com/office/drawing/2014/main" id="{00000000-0008-0000-0600-00007D000000}"/>
            </a:ext>
          </a:extLst>
        </xdr:cNvPr>
        <xdr:cNvSpPr txBox="1"/>
      </xdr:nvSpPr>
      <xdr:spPr>
        <a:xfrm>
          <a:off x="2316983" y="942726"/>
          <a:ext cx="1235842"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42EFEE5-4EEB-4EAB-810F-37CE48160693}" type="TxLink">
            <a:rPr lang="en-US" sz="1100" b="0" i="0" u="none" strike="noStrike">
              <a:solidFill>
                <a:srgbClr val="000000"/>
              </a:solidFill>
              <a:latin typeface="Calibri"/>
              <a:ea typeface="Calibri"/>
              <a:cs typeface="Calibri"/>
            </a:rPr>
            <a:pPr algn="ctr"/>
            <a:t>N/A</a:t>
          </a:fld>
          <a:endParaRPr lang="fr-FR" sz="7200" b="1"/>
        </a:p>
      </xdr:txBody>
    </xdr:sp>
    <xdr:clientData/>
  </xdr:twoCellAnchor>
  <xdr:twoCellAnchor>
    <xdr:from>
      <xdr:col>3</xdr:col>
      <xdr:colOff>145283</xdr:colOff>
      <xdr:row>8</xdr:row>
      <xdr:rowOff>18801</xdr:rowOff>
    </xdr:from>
    <xdr:to>
      <xdr:col>4</xdr:col>
      <xdr:colOff>390525</xdr:colOff>
      <xdr:row>9</xdr:row>
      <xdr:rowOff>110135</xdr:rowOff>
    </xdr:to>
    <xdr:sp macro="" textlink="Calcul_Bilan_Energie!P27">
      <xdr:nvSpPr>
        <xdr:cNvPr id="126" name="ZoneTexte 125">
          <a:extLst>
            <a:ext uri="{FF2B5EF4-FFF2-40B4-BE49-F238E27FC236}">
              <a16:creationId xmlns:a16="http://schemas.microsoft.com/office/drawing/2014/main" id="{00000000-0008-0000-0600-00007E000000}"/>
            </a:ext>
          </a:extLst>
        </xdr:cNvPr>
        <xdr:cNvSpPr txBox="1"/>
      </xdr:nvSpPr>
      <xdr:spPr>
        <a:xfrm>
          <a:off x="2431283" y="1542801"/>
          <a:ext cx="1007242"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827FEEE-1CB7-45AA-B943-85426DC1DDAA}" type="TxLink">
            <a:rPr lang="en-US" sz="1100" b="0" i="0" u="none" strike="noStrike">
              <a:solidFill>
                <a:srgbClr val="000000"/>
              </a:solidFill>
              <a:latin typeface="Calibri"/>
              <a:ea typeface="Calibri"/>
              <a:cs typeface="Calibri"/>
            </a:rPr>
            <a:pPr algn="ctr"/>
            <a:t>#VALEUR!</a:t>
          </a:fld>
          <a:endParaRPr lang="fr-FR" sz="7200" b="1"/>
        </a:p>
      </xdr:txBody>
    </xdr:sp>
    <xdr:clientData/>
  </xdr:twoCellAnchor>
  <xdr:twoCellAnchor>
    <xdr:from>
      <xdr:col>5</xdr:col>
      <xdr:colOff>39627</xdr:colOff>
      <xdr:row>4</xdr:row>
      <xdr:rowOff>180726</xdr:rowOff>
    </xdr:from>
    <xdr:to>
      <xdr:col>6</xdr:col>
      <xdr:colOff>556385</xdr:colOff>
      <xdr:row>6</xdr:row>
      <xdr:rowOff>81560</xdr:rowOff>
    </xdr:to>
    <xdr:sp macro="" textlink="Controle_des_données!B29">
      <xdr:nvSpPr>
        <xdr:cNvPr id="127" name="ZoneTexte 126">
          <a:extLst>
            <a:ext uri="{FF2B5EF4-FFF2-40B4-BE49-F238E27FC236}">
              <a16:creationId xmlns:a16="http://schemas.microsoft.com/office/drawing/2014/main" id="{00000000-0008-0000-0600-00007F000000}"/>
            </a:ext>
          </a:extLst>
        </xdr:cNvPr>
        <xdr:cNvSpPr txBox="1"/>
      </xdr:nvSpPr>
      <xdr:spPr>
        <a:xfrm>
          <a:off x="3849627" y="942726"/>
          <a:ext cx="1278758"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920AF9-6DB4-4EAC-B74A-701CA254F8A8}" type="TxLink">
            <a:rPr lang="en-US" sz="1100" b="0" i="0" u="none" strike="noStrike">
              <a:solidFill>
                <a:srgbClr val="000000"/>
              </a:solidFill>
              <a:latin typeface="Calibri"/>
              <a:ea typeface="Calibri"/>
              <a:cs typeface="Calibri"/>
            </a:rPr>
            <a:pPr algn="ctr"/>
            <a:t>3,6 kWh/mois.m²</a:t>
          </a:fld>
          <a:endParaRPr lang="fr-FR" sz="7200" b="1"/>
        </a:p>
      </xdr:txBody>
    </xdr:sp>
    <xdr:clientData/>
  </xdr:twoCellAnchor>
  <xdr:twoCellAnchor>
    <xdr:from>
      <xdr:col>5</xdr:col>
      <xdr:colOff>230127</xdr:colOff>
      <xdr:row>8</xdr:row>
      <xdr:rowOff>18801</xdr:rowOff>
    </xdr:from>
    <xdr:to>
      <xdr:col>6</xdr:col>
      <xdr:colOff>365885</xdr:colOff>
      <xdr:row>9</xdr:row>
      <xdr:rowOff>110135</xdr:rowOff>
    </xdr:to>
    <xdr:sp macro="" textlink="Controle_des_données!B28">
      <xdr:nvSpPr>
        <xdr:cNvPr id="128" name="ZoneTexte 127">
          <a:extLst>
            <a:ext uri="{FF2B5EF4-FFF2-40B4-BE49-F238E27FC236}">
              <a16:creationId xmlns:a16="http://schemas.microsoft.com/office/drawing/2014/main" id="{00000000-0008-0000-0600-000080000000}"/>
            </a:ext>
          </a:extLst>
        </xdr:cNvPr>
        <xdr:cNvSpPr txBox="1"/>
      </xdr:nvSpPr>
      <xdr:spPr>
        <a:xfrm>
          <a:off x="4040127" y="1542801"/>
          <a:ext cx="897758"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C3453D-A28D-429A-9BA1-BA6857A2E95E}" type="TxLink">
            <a:rPr lang="en-US" sz="1100" b="0" i="0" u="none" strike="noStrike">
              <a:solidFill>
                <a:srgbClr val="000000"/>
              </a:solidFill>
              <a:latin typeface="Calibri"/>
              <a:ea typeface="Calibri"/>
              <a:cs typeface="Calibri"/>
            </a:rPr>
            <a:pPr algn="ctr"/>
            <a:t>3,7 W/m²</a:t>
          </a:fld>
          <a:endParaRPr lang="fr-FR" sz="7200" b="1"/>
        </a:p>
      </xdr:txBody>
    </xdr:sp>
    <xdr:clientData/>
  </xdr:twoCellAnchor>
</xdr:wsDr>
</file>

<file path=xl/drawings/drawing6.xml><?xml version="1.0" encoding="utf-8"?>
<c:userShapes xmlns:c="http://schemas.openxmlformats.org/drawingml/2006/chart">
  <cdr:relSizeAnchor xmlns:cdr="http://schemas.openxmlformats.org/drawingml/2006/chartDrawing">
    <cdr:from>
      <cdr:x>0.13837</cdr:x>
      <cdr:y>0.50181</cdr:y>
    </cdr:from>
    <cdr:to>
      <cdr:x>0.88991</cdr:x>
      <cdr:y>0.59541</cdr:y>
    </cdr:to>
    <cdr:sp macro="" textlink="Calcul_Bilan_Energie!$S$23">
      <cdr:nvSpPr>
        <cdr:cNvPr id="2" name="ZoneTexte 1"/>
        <cdr:cNvSpPr txBox="1"/>
      </cdr:nvSpPr>
      <cdr:spPr>
        <a:xfrm xmlns:a="http://schemas.openxmlformats.org/drawingml/2006/main">
          <a:off x="422415" y="1376570"/>
          <a:ext cx="2294283"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DE4084-1D68-4A35-B15D-DA702F44FDC6}" type="TxLink">
            <a:rPr lang="en-US" sz="1100" b="1" i="0" u="none" strike="noStrike">
              <a:solidFill>
                <a:srgbClr val="000000"/>
              </a:solidFill>
              <a:latin typeface="Calibri"/>
              <a:cs typeface="Calibri"/>
            </a:rPr>
            <a:pPr algn="ctr"/>
            <a:t>#REF!</a:t>
          </a:fld>
          <a:endParaRPr lang="fr-FR"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36858</xdr:rowOff>
    </xdr:from>
    <xdr:to>
      <xdr:col>6</xdr:col>
      <xdr:colOff>41413</xdr:colOff>
      <xdr:row>1</xdr:row>
      <xdr:rowOff>102800</xdr:rowOff>
    </xdr:to>
    <xdr:sp macro="" textlink="">
      <xdr:nvSpPr>
        <xdr:cNvPr id="31" name="ZoneTexte 30">
          <a:extLst>
            <a:ext uri="{FF2B5EF4-FFF2-40B4-BE49-F238E27FC236}">
              <a16:creationId xmlns:a16="http://schemas.microsoft.com/office/drawing/2014/main" id="{00000000-0008-0000-0800-00001F000000}"/>
            </a:ext>
          </a:extLst>
        </xdr:cNvPr>
        <xdr:cNvSpPr txBox="1"/>
      </xdr:nvSpPr>
      <xdr:spPr>
        <a:xfrm>
          <a:off x="0" y="36858"/>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Choix de l'année de référence </a:t>
          </a:r>
        </a:p>
      </xdr:txBody>
    </xdr:sp>
    <xdr:clientData/>
  </xdr:twoCellAnchor>
  <xdr:twoCellAnchor>
    <xdr:from>
      <xdr:col>0</xdr:col>
      <xdr:colOff>115542</xdr:colOff>
      <xdr:row>5</xdr:row>
      <xdr:rowOff>75373</xdr:rowOff>
    </xdr:from>
    <xdr:to>
      <xdr:col>10</xdr:col>
      <xdr:colOff>334617</xdr:colOff>
      <xdr:row>21</xdr:row>
      <xdr:rowOff>115957</xdr:rowOff>
    </xdr:to>
    <xdr:graphicFrame macro="">
      <xdr:nvGraphicFramePr>
        <xdr:cNvPr id="32" name="Graphique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0</xdr:row>
      <xdr:rowOff>11205</xdr:rowOff>
    </xdr:from>
    <xdr:to>
      <xdr:col>8</xdr:col>
      <xdr:colOff>750542</xdr:colOff>
      <xdr:row>1</xdr:row>
      <xdr:rowOff>159321</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142501</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twoCellAnchor>
    <xdr:from>
      <xdr:col>0</xdr:col>
      <xdr:colOff>289892</xdr:colOff>
      <xdr:row>21</xdr:row>
      <xdr:rowOff>66260</xdr:rowOff>
    </xdr:from>
    <xdr:to>
      <xdr:col>10</xdr:col>
      <xdr:colOff>182217</xdr:colOff>
      <xdr:row>31</xdr:row>
      <xdr:rowOff>151985</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132522</xdr:colOff>
      <xdr:row>4</xdr:row>
      <xdr:rowOff>16564</xdr:rowOff>
    </xdr:from>
    <xdr:to>
      <xdr:col>8</xdr:col>
      <xdr:colOff>49696</xdr:colOff>
      <xdr:row>22</xdr:row>
      <xdr:rowOff>16564</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82404</xdr:colOff>
      <xdr:row>17</xdr:row>
      <xdr:rowOff>28950</xdr:rowOff>
    </xdr:from>
    <xdr:to>
      <xdr:col>8</xdr:col>
      <xdr:colOff>425847</xdr:colOff>
      <xdr:row>19</xdr:row>
      <xdr:rowOff>78046</xdr:rowOff>
    </xdr:to>
    <xdr:pic>
      <xdr:nvPicPr>
        <xdr:cNvPr id="4" name="char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6178404" y="3267450"/>
          <a:ext cx="343443" cy="430096"/>
        </a:xfrm>
        <a:prstGeom prst="rect">
          <a:avLst/>
        </a:prstGeom>
      </xdr:spPr>
    </xdr:pic>
    <xdr:clientData/>
  </xdr:twoCellAnchor>
  <xdr:twoCellAnchor editAs="oneCell">
    <xdr:from>
      <xdr:col>8</xdr:col>
      <xdr:colOff>8026</xdr:colOff>
      <xdr:row>22</xdr:row>
      <xdr:rowOff>157526</xdr:rowOff>
    </xdr:from>
    <xdr:to>
      <xdr:col>8</xdr:col>
      <xdr:colOff>408795</xdr:colOff>
      <xdr:row>25</xdr:row>
      <xdr:rowOff>40004</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rot="21335024">
          <a:off x="6104026" y="4348526"/>
          <a:ext cx="400769" cy="453978"/>
        </a:xfrm>
        <a:prstGeom prst="rect">
          <a:avLst/>
        </a:prstGeom>
      </xdr:spPr>
    </xdr:pic>
    <xdr:clientData/>
  </xdr:twoCellAnchor>
  <xdr:twoCellAnchor editAs="oneCell">
    <xdr:from>
      <xdr:col>8</xdr:col>
      <xdr:colOff>39305</xdr:colOff>
      <xdr:row>25</xdr:row>
      <xdr:rowOff>128210</xdr:rowOff>
    </xdr:from>
    <xdr:to>
      <xdr:col>8</xdr:col>
      <xdr:colOff>363007</xdr:colOff>
      <xdr:row>27</xdr:row>
      <xdr:rowOff>154815</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6135305" y="4890710"/>
          <a:ext cx="323702" cy="407605"/>
        </a:xfrm>
        <a:prstGeom prst="rect">
          <a:avLst/>
        </a:prstGeom>
      </xdr:spPr>
    </xdr:pic>
    <xdr:clientData/>
  </xdr:twoCellAnchor>
  <xdr:twoCellAnchor editAs="oneCell">
    <xdr:from>
      <xdr:col>8</xdr:col>
      <xdr:colOff>11627</xdr:colOff>
      <xdr:row>19</xdr:row>
      <xdr:rowOff>148673</xdr:rowOff>
    </xdr:from>
    <xdr:to>
      <xdr:col>8</xdr:col>
      <xdr:colOff>411168</xdr:colOff>
      <xdr:row>22</xdr:row>
      <xdr:rowOff>66104</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6107627" y="3768173"/>
          <a:ext cx="399541" cy="495281"/>
        </a:xfrm>
        <a:prstGeom prst="rect">
          <a:avLst/>
        </a:prstGeom>
      </xdr:spPr>
    </xdr:pic>
    <xdr:clientData/>
  </xdr:twoCellAnchor>
  <xdr:twoCellAnchor editAs="oneCell">
    <xdr:from>
      <xdr:col>8</xdr:col>
      <xdr:colOff>2240</xdr:colOff>
      <xdr:row>29</xdr:row>
      <xdr:rowOff>4780</xdr:rowOff>
    </xdr:from>
    <xdr:to>
      <xdr:col>8</xdr:col>
      <xdr:colOff>440935</xdr:colOff>
      <xdr:row>31</xdr:row>
      <xdr:rowOff>114684</xdr:rowOff>
    </xdr:to>
    <xdr:pic>
      <xdr:nvPicPr>
        <xdr:cNvPr id="8" name="chart">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6"/>
        <a:stretch>
          <a:fillRect/>
        </a:stretch>
      </xdr:blipFill>
      <xdr:spPr>
        <a:xfrm>
          <a:off x="6098240" y="5529280"/>
          <a:ext cx="438695" cy="490904"/>
        </a:xfrm>
        <a:prstGeom prst="rect">
          <a:avLst/>
        </a:prstGeom>
      </xdr:spPr>
    </xdr:pic>
    <xdr:clientData/>
  </xdr:twoCellAnchor>
  <xdr:twoCellAnchor>
    <xdr:from>
      <xdr:col>8</xdr:col>
      <xdr:colOff>420442</xdr:colOff>
      <xdr:row>16</xdr:row>
      <xdr:rowOff>33131</xdr:rowOff>
    </xdr:from>
    <xdr:to>
      <xdr:col>11</xdr:col>
      <xdr:colOff>0</xdr:colOff>
      <xdr:row>33</xdr:row>
      <xdr:rowOff>0</xdr:rowOff>
    </xdr:to>
    <xdr:sp macro="" textlink="">
      <xdr:nvSpPr>
        <xdr:cNvPr id="9" name="ZoneTexte 8">
          <a:extLst>
            <a:ext uri="{FF2B5EF4-FFF2-40B4-BE49-F238E27FC236}">
              <a16:creationId xmlns:a16="http://schemas.microsoft.com/office/drawing/2014/main" id="{00000000-0008-0000-0900-000009000000}"/>
            </a:ext>
          </a:extLst>
        </xdr:cNvPr>
        <xdr:cNvSpPr txBox="1"/>
      </xdr:nvSpPr>
      <xdr:spPr>
        <a:xfrm>
          <a:off x="6516442" y="3081131"/>
          <a:ext cx="1865558" cy="3205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t>Feuille grise : </a:t>
          </a:r>
          <a:r>
            <a:rPr lang="fr-FR" sz="1050"/>
            <a:t>Le niveau de consommation énergétique est en augmentation</a:t>
          </a:r>
        </a:p>
        <a:p>
          <a:r>
            <a:rPr lang="fr-FR" sz="1050" b="1"/>
            <a:t>Feuille Orange : </a:t>
          </a:r>
          <a:r>
            <a:rPr lang="fr-FR" sz="1050"/>
            <a:t>Le niveau de consommation énergétique est en diminution mais au-dessus des objectifs annuels</a:t>
          </a:r>
        </a:p>
        <a:p>
          <a:r>
            <a:rPr lang="fr-FR" sz="1050" b="1"/>
            <a:t>1 Feuille verte : </a:t>
          </a:r>
          <a:r>
            <a:rPr lang="fr-FR" sz="1050"/>
            <a:t>Le niveau de consommation énergétique est en diminution dans le fuseau  +/- 10%</a:t>
          </a:r>
        </a:p>
        <a:p>
          <a:r>
            <a:rPr lang="fr-FR" sz="1050" b="1"/>
            <a:t>2 Feuilles vertes : </a:t>
          </a:r>
          <a:r>
            <a:rPr lang="fr-FR" sz="1050"/>
            <a:t>Le niveau de consommation énergétique est en diminution et en-dessous du fuseau +/- 10%</a:t>
          </a:r>
        </a:p>
        <a:p>
          <a:r>
            <a:rPr lang="fr-FR" sz="1050" b="1"/>
            <a:t>3 Feuilles vertes : </a:t>
          </a:r>
          <a:r>
            <a:rPr lang="fr-FR" sz="1050"/>
            <a:t>Le niveau de consommation énergétique annuelle est en dessous de l'objectif relatif 2030</a:t>
          </a:r>
        </a:p>
      </xdr:txBody>
    </xdr:sp>
    <xdr:clientData/>
  </xdr:twoCellAnchor>
  <xdr:twoCellAnchor>
    <xdr:from>
      <xdr:col>7</xdr:col>
      <xdr:colOff>753716</xdr:colOff>
      <xdr:row>8</xdr:row>
      <xdr:rowOff>16565</xdr:rowOff>
    </xdr:from>
    <xdr:to>
      <xdr:col>10</xdr:col>
      <xdr:colOff>761999</xdr:colOff>
      <xdr:row>12</xdr:row>
      <xdr:rowOff>8282</xdr:rowOff>
    </xdr:to>
    <xdr:grpSp>
      <xdr:nvGrpSpPr>
        <xdr:cNvPr id="11" name="Groupe 10">
          <a:extLst>
            <a:ext uri="{FF2B5EF4-FFF2-40B4-BE49-F238E27FC236}">
              <a16:creationId xmlns:a16="http://schemas.microsoft.com/office/drawing/2014/main" id="{00000000-0008-0000-0900-00000B000000}"/>
            </a:ext>
          </a:extLst>
        </xdr:cNvPr>
        <xdr:cNvGrpSpPr/>
      </xdr:nvGrpSpPr>
      <xdr:grpSpPr>
        <a:xfrm>
          <a:off x="6021455" y="1540565"/>
          <a:ext cx="2368827" cy="753717"/>
          <a:chOff x="9410594" y="295275"/>
          <a:chExt cx="2648055" cy="753717"/>
        </a:xfrm>
      </xdr:grpSpPr>
      <xdr:sp macro="" textlink="">
        <xdr:nvSpPr>
          <xdr:cNvPr id="12" name="Rectangle à coins arrondis 11">
            <a:extLst>
              <a:ext uri="{FF2B5EF4-FFF2-40B4-BE49-F238E27FC236}">
                <a16:creationId xmlns:a16="http://schemas.microsoft.com/office/drawing/2014/main" id="{00000000-0008-0000-0900-00000C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3" name="ZoneTexte 12">
            <a:extLst>
              <a:ext uri="{FF2B5EF4-FFF2-40B4-BE49-F238E27FC236}">
                <a16:creationId xmlns:a16="http://schemas.microsoft.com/office/drawing/2014/main" id="{00000000-0008-0000-0900-00000D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 </a:t>
            </a:r>
            <a:r>
              <a:rPr lang="fr-FR" sz="1100" b="1" baseline="0"/>
              <a:t>de référence *</a:t>
            </a:r>
            <a:endParaRPr lang="fr-FR" sz="1100" b="1"/>
          </a:p>
        </xdr:txBody>
      </xdr:sp>
      <xdr:sp macro="" textlink="'CALCUL DEET'!R8">
        <xdr:nvSpPr>
          <xdr:cNvPr id="14" name="ZoneTexte 13">
            <a:extLst>
              <a:ext uri="{FF2B5EF4-FFF2-40B4-BE49-F238E27FC236}">
                <a16:creationId xmlns:a16="http://schemas.microsoft.com/office/drawing/2014/main" id="{00000000-0008-0000-0900-00000E000000}"/>
              </a:ext>
            </a:extLst>
          </xdr:cNvPr>
          <xdr:cNvSpPr txBox="1"/>
        </xdr:nvSpPr>
        <xdr:spPr>
          <a:xfrm>
            <a:off x="9410594" y="428210"/>
            <a:ext cx="264805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982C15-93DB-41F5-A7E8-AB9D17F6B8CA}" type="TxLink">
              <a:rPr lang="en-US" sz="1400" b="0" i="0" u="none" strike="noStrike">
                <a:solidFill>
                  <a:srgbClr val="000000"/>
                </a:solidFill>
                <a:latin typeface="Calibri"/>
                <a:cs typeface="Calibri"/>
              </a:rPr>
              <a:pPr algn="ctr"/>
              <a:t>0,0 kWh [EF PCI]/m².an</a:t>
            </a:fld>
            <a:endParaRPr lang="fr-FR" sz="1400" b="1"/>
          </a:p>
        </xdr:txBody>
      </xdr:sp>
    </xdr:grpSp>
    <xdr:clientData/>
  </xdr:twoCellAnchor>
  <xdr:twoCellAnchor>
    <xdr:from>
      <xdr:col>8</xdr:col>
      <xdr:colOff>49694</xdr:colOff>
      <xdr:row>3</xdr:row>
      <xdr:rowOff>128795</xdr:rowOff>
    </xdr:from>
    <xdr:to>
      <xdr:col>10</xdr:col>
      <xdr:colOff>704020</xdr:colOff>
      <xdr:row>7</xdr:row>
      <xdr:rowOff>120512</xdr:rowOff>
    </xdr:to>
    <xdr:grpSp>
      <xdr:nvGrpSpPr>
        <xdr:cNvPr id="15" name="Groupe 14">
          <a:extLst>
            <a:ext uri="{FF2B5EF4-FFF2-40B4-BE49-F238E27FC236}">
              <a16:creationId xmlns:a16="http://schemas.microsoft.com/office/drawing/2014/main" id="{00000000-0008-0000-0900-00000F000000}"/>
            </a:ext>
          </a:extLst>
        </xdr:cNvPr>
        <xdr:cNvGrpSpPr/>
      </xdr:nvGrpSpPr>
      <xdr:grpSpPr>
        <a:xfrm>
          <a:off x="6079433" y="700295"/>
          <a:ext cx="2252870" cy="753717"/>
          <a:chOff x="9434831" y="295275"/>
          <a:chExt cx="2623818" cy="753717"/>
        </a:xfrm>
      </xdr:grpSpPr>
      <xdr:sp macro="" textlink="">
        <xdr:nvSpPr>
          <xdr:cNvPr id="16" name="Rectangle à coins arrondis 15">
            <a:extLst>
              <a:ext uri="{FF2B5EF4-FFF2-40B4-BE49-F238E27FC236}">
                <a16:creationId xmlns:a16="http://schemas.microsoft.com/office/drawing/2014/main" id="{00000000-0008-0000-0900-000010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7" name="ZoneTexte 16">
            <a:extLst>
              <a:ext uri="{FF2B5EF4-FFF2-40B4-BE49-F238E27FC236}">
                <a16:creationId xmlns:a16="http://schemas.microsoft.com/office/drawing/2014/main" id="{00000000-0008-0000-0900-000011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a:t>
            </a:r>
            <a:r>
              <a:rPr lang="fr-FR" sz="1100" b="1" baseline="0"/>
              <a:t> pour l'année déclarée *</a:t>
            </a:r>
            <a:endParaRPr lang="fr-FR" sz="1100" b="1"/>
          </a:p>
        </xdr:txBody>
      </xdr:sp>
      <xdr:sp macro="" textlink="'CALCUL DEET'!R20">
        <xdr:nvSpPr>
          <xdr:cNvPr id="18" name="ZoneTexte 17">
            <a:extLst>
              <a:ext uri="{FF2B5EF4-FFF2-40B4-BE49-F238E27FC236}">
                <a16:creationId xmlns:a16="http://schemas.microsoft.com/office/drawing/2014/main" id="{00000000-0008-0000-0900-000012000000}"/>
              </a:ext>
            </a:extLst>
          </xdr:cNvPr>
          <xdr:cNvSpPr txBox="1"/>
        </xdr:nvSpPr>
        <xdr:spPr>
          <a:xfrm>
            <a:off x="9434831" y="428210"/>
            <a:ext cx="2623818"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DB62-2E9A-4BC9-A233-128689AEF61E}"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454713</xdr:colOff>
      <xdr:row>12</xdr:row>
      <xdr:rowOff>70812</xdr:rowOff>
    </xdr:from>
    <xdr:to>
      <xdr:col>10</xdr:col>
      <xdr:colOff>552449</xdr:colOff>
      <xdr:row>16</xdr:row>
      <xdr:rowOff>62529</xdr:rowOff>
    </xdr:to>
    <xdr:grpSp>
      <xdr:nvGrpSpPr>
        <xdr:cNvPr id="19" name="Groupe 18">
          <a:extLst>
            <a:ext uri="{FF2B5EF4-FFF2-40B4-BE49-F238E27FC236}">
              <a16:creationId xmlns:a16="http://schemas.microsoft.com/office/drawing/2014/main" id="{00000000-0008-0000-0900-000013000000}"/>
            </a:ext>
          </a:extLst>
        </xdr:cNvPr>
        <xdr:cNvGrpSpPr/>
      </xdr:nvGrpSpPr>
      <xdr:grpSpPr>
        <a:xfrm>
          <a:off x="6484452" y="2356812"/>
          <a:ext cx="1696280" cy="753717"/>
          <a:chOff x="9439275" y="295275"/>
          <a:chExt cx="3104559" cy="753717"/>
        </a:xfrm>
      </xdr:grpSpPr>
      <xdr:sp macro="" textlink="">
        <xdr:nvSpPr>
          <xdr:cNvPr id="20" name="Rectangle à coins arrondis 19">
            <a:extLst>
              <a:ext uri="{FF2B5EF4-FFF2-40B4-BE49-F238E27FC236}">
                <a16:creationId xmlns:a16="http://schemas.microsoft.com/office/drawing/2014/main" id="{00000000-0008-0000-0900-000014000000}"/>
              </a:ext>
            </a:extLst>
          </xdr:cNvPr>
          <xdr:cNvSpPr/>
        </xdr:nvSpPr>
        <xdr:spPr>
          <a:xfrm>
            <a:off x="9439275" y="295275"/>
            <a:ext cx="3104559"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1" name="ZoneTexte 20">
            <a:extLst>
              <a:ext uri="{FF2B5EF4-FFF2-40B4-BE49-F238E27FC236}">
                <a16:creationId xmlns:a16="http://schemas.microsoft.com/office/drawing/2014/main" id="{00000000-0008-0000-0900-000015000000}"/>
              </a:ext>
            </a:extLst>
          </xdr:cNvPr>
          <xdr:cNvSpPr txBox="1"/>
        </xdr:nvSpPr>
        <xdr:spPr>
          <a:xfrm>
            <a:off x="9534522" y="304800"/>
            <a:ext cx="3009312"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Variation vs Ref **</a:t>
            </a:r>
          </a:p>
        </xdr:txBody>
      </xdr:sp>
      <xdr:sp macro="" textlink="'CALCUL DEET'!R21">
        <xdr:nvSpPr>
          <xdr:cNvPr id="22" name="ZoneTexte 21">
            <a:extLst>
              <a:ext uri="{FF2B5EF4-FFF2-40B4-BE49-F238E27FC236}">
                <a16:creationId xmlns:a16="http://schemas.microsoft.com/office/drawing/2014/main" id="{00000000-0008-0000-0900-000016000000}"/>
              </a:ext>
            </a:extLst>
          </xdr:cNvPr>
          <xdr:cNvSpPr txBox="1"/>
        </xdr:nvSpPr>
        <xdr:spPr>
          <a:xfrm>
            <a:off x="9855572" y="428210"/>
            <a:ext cx="1971574"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CEAF35-E612-457E-8061-3B6736EED27C}" type="TxLink">
              <a:rPr lang="en-US" sz="1800" b="0" i="0" u="none" strike="noStrike">
                <a:solidFill>
                  <a:srgbClr val="000000"/>
                </a:solidFill>
                <a:latin typeface="Calibri"/>
                <a:cs typeface="Calibri"/>
              </a:rPr>
              <a:pPr algn="ctr"/>
              <a:t>#DIV/0!</a:t>
            </a:fld>
            <a:endParaRPr lang="fr-FR" sz="1800" b="1"/>
          </a:p>
        </xdr:txBody>
      </xdr:sp>
    </xdr:grpSp>
    <xdr:clientData/>
  </xdr:twoCellAnchor>
  <xdr:twoCellAnchor>
    <xdr:from>
      <xdr:col>0</xdr:col>
      <xdr:colOff>33130</xdr:colOff>
      <xdr:row>32</xdr:row>
      <xdr:rowOff>16565</xdr:rowOff>
    </xdr:from>
    <xdr:to>
      <xdr:col>8</xdr:col>
      <xdr:colOff>265043</xdr:colOff>
      <xdr:row>33</xdr:row>
      <xdr:rowOff>0</xdr:rowOff>
    </xdr:to>
    <xdr:sp macro="" textlink="">
      <xdr:nvSpPr>
        <xdr:cNvPr id="28" name="ZoneTexte 27">
          <a:extLst>
            <a:ext uri="{FF2B5EF4-FFF2-40B4-BE49-F238E27FC236}">
              <a16:creationId xmlns:a16="http://schemas.microsoft.com/office/drawing/2014/main" id="{00000000-0008-0000-0900-00001C000000}"/>
            </a:ext>
          </a:extLst>
        </xdr:cNvPr>
        <xdr:cNvSpPr txBox="1"/>
      </xdr:nvSpPr>
      <xdr:spPr>
        <a:xfrm>
          <a:off x="33130" y="6112565"/>
          <a:ext cx="6327913" cy="173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Le calcul prend en compte la méthode d'ajustement d'ajustement climatique                                       ** Valeur informative,</a:t>
          </a:r>
          <a:r>
            <a:rPr lang="fr-FR" sz="800" baseline="0"/>
            <a:t> non contractuelle</a:t>
          </a:r>
          <a:endParaRPr lang="fr-FR" sz="800"/>
        </a:p>
      </xdr:txBody>
    </xdr:sp>
    <xdr:clientData/>
  </xdr:twoCellAnchor>
  <xdr:twoCellAnchor>
    <xdr:from>
      <xdr:col>0</xdr:col>
      <xdr:colOff>16565</xdr:colOff>
      <xdr:row>0</xdr:row>
      <xdr:rowOff>16566</xdr:rowOff>
    </xdr:from>
    <xdr:to>
      <xdr:col>6</xdr:col>
      <xdr:colOff>33130</xdr:colOff>
      <xdr:row>1</xdr:row>
      <xdr:rowOff>82508</xdr:rowOff>
    </xdr:to>
    <xdr:sp macro="" textlink="">
      <xdr:nvSpPr>
        <xdr:cNvPr id="32" name="ZoneTexte 31">
          <a:extLst>
            <a:ext uri="{FF2B5EF4-FFF2-40B4-BE49-F238E27FC236}">
              <a16:creationId xmlns:a16="http://schemas.microsoft.com/office/drawing/2014/main" id="{00000000-0008-0000-0900-000020000000}"/>
            </a:ext>
          </a:extLst>
        </xdr:cNvPr>
        <xdr:cNvSpPr txBox="1"/>
      </xdr:nvSpPr>
      <xdr:spPr>
        <a:xfrm>
          <a:off x="16565"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des objectifs</a:t>
          </a:r>
          <a:r>
            <a:rPr lang="fr-FR" sz="1600" b="1" baseline="0"/>
            <a:t> du Dispositif Eco Energie Tertiaire</a:t>
          </a:r>
          <a:endParaRPr lang="fr-FR" sz="1600" b="1"/>
        </a:p>
      </xdr:txBody>
    </xdr:sp>
    <xdr:clientData/>
  </xdr:twoCellAnchor>
  <xdr:twoCellAnchor editAs="oneCell">
    <xdr:from>
      <xdr:col>5</xdr:col>
      <xdr:colOff>753718</xdr:colOff>
      <xdr:row>0</xdr:row>
      <xdr:rowOff>11205</xdr:rowOff>
    </xdr:from>
    <xdr:to>
      <xdr:col>8</xdr:col>
      <xdr:colOff>754960</xdr:colOff>
      <xdr:row>1</xdr:row>
      <xdr:rowOff>162496</xdr:rowOff>
    </xdr:to>
    <xdr:pic>
      <xdr:nvPicPr>
        <xdr:cNvPr id="29" name="Imag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10</xdr:col>
      <xdr:colOff>797063</xdr:colOff>
      <xdr:row>3</xdr:row>
      <xdr:rowOff>145676</xdr:rowOff>
    </xdr:to>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107673</xdr:colOff>
      <xdr:row>21</xdr:row>
      <xdr:rowOff>99392</xdr:rowOff>
    </xdr:from>
    <xdr:to>
      <xdr:col>7</xdr:col>
      <xdr:colOff>596348</xdr:colOff>
      <xdr:row>31</xdr:row>
      <xdr:rowOff>182217</xdr:rowOff>
    </xdr:to>
    <xdr:graphicFrame macro="">
      <xdr:nvGraphicFramePr>
        <xdr:cNvPr id="35" name="Graphique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16566</xdr:rowOff>
    </xdr:from>
    <xdr:to>
      <xdr:col>5</xdr:col>
      <xdr:colOff>190500</xdr:colOff>
      <xdr:row>1</xdr:row>
      <xdr:rowOff>82508</xdr:rowOff>
    </xdr:to>
    <xdr:sp macro="" textlink="">
      <xdr:nvSpPr>
        <xdr:cNvPr id="26" name="ZoneTexte 25">
          <a:extLst>
            <a:ext uri="{FF2B5EF4-FFF2-40B4-BE49-F238E27FC236}">
              <a16:creationId xmlns:a16="http://schemas.microsoft.com/office/drawing/2014/main" id="{00000000-0008-0000-0C00-00001A000000}"/>
            </a:ext>
          </a:extLst>
        </xdr:cNvPr>
        <xdr:cNvSpPr txBox="1"/>
      </xdr:nvSpPr>
      <xdr:spPr>
        <a:xfrm>
          <a:off x="0"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Données à déclarer sur OPERAT</a:t>
          </a:r>
        </a:p>
      </xdr:txBody>
    </xdr:sp>
    <xdr:clientData/>
  </xdr:twoCellAnchor>
  <xdr:twoCellAnchor editAs="oneCell">
    <xdr:from>
      <xdr:col>5</xdr:col>
      <xdr:colOff>33126</xdr:colOff>
      <xdr:row>0</xdr:row>
      <xdr:rowOff>11205</xdr:rowOff>
    </xdr:from>
    <xdr:to>
      <xdr:col>8</xdr:col>
      <xdr:colOff>755024</xdr:colOff>
      <xdr:row>3</xdr:row>
      <xdr:rowOff>144941</xdr:rowOff>
    </xdr:to>
    <xdr:pic>
      <xdr:nvPicPr>
        <xdr:cNvPr id="27" name="Image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431191" y="11205"/>
          <a:ext cx="2277717" cy="335441"/>
        </a:xfrm>
        <a:prstGeom prst="rect">
          <a:avLst/>
        </a:prstGeom>
      </xdr:spPr>
    </xdr:pic>
    <xdr:clientData/>
  </xdr:twoCellAnchor>
  <xdr:twoCellAnchor editAs="oneCell">
    <xdr:from>
      <xdr:col>8</xdr:col>
      <xdr:colOff>24324</xdr:colOff>
      <xdr:row>0</xdr:row>
      <xdr:rowOff>0</xdr:rowOff>
    </xdr:from>
    <xdr:to>
      <xdr:col>9</xdr:col>
      <xdr:colOff>753717</xdr:colOff>
      <xdr:row>5</xdr:row>
      <xdr:rowOff>150438</xdr:rowOff>
    </xdr:to>
    <xdr:pic>
      <xdr:nvPicPr>
        <xdr:cNvPr id="28" name="Image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389" y="0"/>
          <a:ext cx="1491393" cy="717176"/>
        </a:xfrm>
        <a:prstGeom prst="rect">
          <a:avLst/>
        </a:prstGeom>
      </xdr:spPr>
    </xdr:pic>
    <xdr:clientData/>
  </xdr:twoCellAnchor>
  <xdr:twoCellAnchor editAs="oneCell">
    <xdr:from>
      <xdr:col>7</xdr:col>
      <xdr:colOff>273050</xdr:colOff>
      <xdr:row>7</xdr:row>
      <xdr:rowOff>66676</xdr:rowOff>
    </xdr:from>
    <xdr:to>
      <xdr:col>9</xdr:col>
      <xdr:colOff>589376</xdr:colOff>
      <xdr:row>24</xdr:row>
      <xdr:rowOff>180976</xdr:rowOff>
    </xdr:to>
    <mc:AlternateContent xmlns:mc="http://schemas.openxmlformats.org/markup-compatibility/2006" xmlns:a14="http://schemas.microsoft.com/office/drawing/2010/main">
      <mc:Choice Requires="a14">
        <xdr:graphicFrame macro="">
          <xdr:nvGraphicFramePr>
            <xdr:cNvPr id="2" name="Dates (année)">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0/slicer">
              <sle:slicer xmlns:sle="http://schemas.microsoft.com/office/drawing/2010/slicer" name="Dates (année)"/>
            </a:graphicData>
          </a:graphic>
        </xdr:graphicFrame>
      </mc:Choice>
      <mc:Fallback xmlns="">
        <xdr:sp macro="" textlink="">
          <xdr:nvSpPr>
            <xdr:cNvPr id="0" name=""/>
            <xdr:cNvSpPr>
              <a:spLocks noTextEdit="1"/>
            </xdr:cNvSpPr>
          </xdr:nvSpPr>
          <xdr:spPr>
            <a:xfrm>
              <a:off x="6156877" y="974588"/>
              <a:ext cx="1795738" cy="343880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wsDr>
</file>

<file path=xl/persons/person.xml><?xml version="1.0" encoding="utf-8"?>
<personList xmlns="http://schemas.microsoft.com/office/spreadsheetml/2018/threadedcomments" xmlns:x="http://schemas.openxmlformats.org/spreadsheetml/2006/main">
  <person displayName="Fabien ROUAULT" id="{60167206-CCD6-4093-AFD2-6704D86DD72F}" userId="S::f.rouault@fondation-sjd.fr::7585273b-4853-4e10-be7c-dfbdd39ff5fd" providerId="AD"/>
</personList>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1157411" backgroundQuery="1" createdVersion="3" refreshedVersion="7" minRefreshableVersion="3" recordCount="0" tupleCache="1" xr:uid="{250544DD-62B7-4274-BE2F-05B6481C07EE}">
  <cacheSource type="external" connectionId="11"/>
  <cacheFields count="0"/>
  <cacheHierarchies count="50">
    <cacheHierarchy uniqueName="[Measures]" caption="Measures" attribute="1" keyAttribute="1" defaultMemberUniqueName="[Measures].[__Aucune mesure définie]" dimensionUniqueName="[Measures]" displayFolder="" measures="1" count="1" memberValueDatatype="130" unbalanced="0"/>
    <cacheHierarchy uniqueName="[Tab_concat].[Compteur]" caption="Compteur" attribute="1" defaultMemberUniqueName="[Tab_concat].[Compteur].[All]" allUniqueName="[Tab_concat].[Compteur].[All]" dimensionUniqueName="[Tab_concat]" displayFolder="" count="2" memberValueDatatype="130" unbalanced="0"/>
    <cacheHierarchy uniqueName="[Tab_concat].[Dates]" caption="Dates" attribute="1" time="1" defaultMemberUniqueName="[Tab_concat].[Dates].[All]" allUniqueName="[Tab_concat].[Dates].[All]" dimensionUniqueName="[Tab_concat]" displayFolder="" count="2" memberValueDatatype="7" unbalanced="0"/>
    <cacheHierarchy uniqueName="[Tab_concat].[Demande_jour]" caption="Demande_jour" attribute="1" defaultMemberUniqueName="[Tab_concat].[Demande_jour].[All]" allUniqueName="[Tab_concat].[Demande_jour].[All]" dimensionUniqueName="[Tab_concat]" displayFolder="" count="2" memberValueDatatype="5" unbalanced="0"/>
    <cacheHierarchy uniqueName="[Tab_concat].[Cout_jour]" caption="Cout_jour" attribute="1" defaultMemberUniqueName="[Tab_concat].[Cout_jour].[All]" allUniqueName="[Tab_concat].[Cout_jour].[All]" dimensionUniqueName="[Tab_concat]" displayFolder="" count="2" memberValueDatatype="5" unbalanced="0"/>
    <cacheHierarchy uniqueName="[Tab_concat].[DJU_chauffagiste]" caption="DJU_chauffagiste" attribute="1" defaultMemberUniqueName="[Tab_concat].[DJU_chauffagiste].[All]" allUniqueName="[Tab_concat].[DJU_chauffagiste].[All]" dimensionUniqueName="[Tab_concat]" displayFolder="" count="2" memberValueDatatype="20" unbalanced="0"/>
    <cacheHierarchy uniqueName="[Tab_concat].[DJU_climaticien]" caption="DJU_climaticien" attribute="1" defaultMemberUniqueName="[Tab_concat].[DJU_climaticien].[All]" allUniqueName="[Tab_concat].[DJU_climaticien].[All]" dimensionUniqueName="[Tab_concat]" displayFolder="" count="2" memberValueDatatype="20" unbalanced="0"/>
    <cacheHierarchy uniqueName="[Tab_concat].[Colonne2]" caption="Colonne2" attribute="1" defaultMemberUniqueName="[Tab_concat].[Colonne2].[All]" allUniqueName="[Tab_concat].[Colonne2].[All]" dimensionUniqueName="[Tab_concat]" displayFolder="" count="2" memberValueDatatype="130" unbalanced="0"/>
    <cacheHierarchy uniqueName="[Tab_concat].[Type]" caption="Type" attribute="1" defaultMemberUniqueName="[Tab_concat].[Type].[All]" allUniqueName="[Tab_concat].[Type].[All]" dimensionUniqueName="[Tab_concat]" displayFolder="" count="2" memberValueDatatype="130" unbalanced="0"/>
    <cacheHierarchy uniqueName="[Tab_concat].[Source]" caption="Source" attribute="1" defaultMemberUniqueName="[Tab_concat].[Source].[All]" allUniqueName="[Tab_concat].[Source].[All]" dimensionUniqueName="[Tab_concat]" displayFolder="" count="2"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cacheHierarchy uniqueName="[Tab_concat].[Conso_kWh_PCI]" caption="Conso_kWh_PCI" attribute="1" defaultMemberUniqueName="[Tab_concat].[Conso_kWh_PCI].[All]" allUniqueName="[Tab_concat].[Conso_kWh_PCI].[All]" dimensionUniqueName="[Tab_concat]" displayFolder="" count="2" memberValueDatatype="5" unbalanced="0"/>
    <cacheHierarchy uniqueName="[Tab_concat].[Conso_kWh_DEET]" caption="Conso_kWh_DEET" attribute="1" defaultMemberUniqueName="[Tab_concat].[Conso_kWh_DEET].[All]" allUniqueName="[Tab_concat].[Conso_kWh_DEET].[All]" dimensionUniqueName="[Tab_concat]" displayFolder="" count="2" memberValueDatatype="5" unbalanced="0"/>
    <cacheHierarchy uniqueName="[Tab_concat].[Nom]" caption="Nom" attribute="1" defaultMemberUniqueName="[Tab_concat].[Nom].[All]" allUniqueName="[Tab_concat].[Nom].[All]" allCaption="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cacheHierarchy uniqueName="[Tab_concat].[Conso_kWhEP]" caption="Conso_kWhEP" attribute="1" defaultMemberUniqueName="[Tab_concat].[Conso_kWhEP].[All]" allUniqueName="[Tab_concat].[Conso_kWhEP].[All]" dimensionUniqueName="[Tab_concat]" displayFolder="" count="2" memberValueDatatype="5" unbalanced="0"/>
    <cacheHierarchy uniqueName="[Tab_concat].[Annee]" caption="Annee" attribute="1" defaultMemberUniqueName="[Tab_concat].[Annee].[All]" allUniqueName="[Tab_concat].[Annee].[All]" dimensionUniqueName="[Tab_concat]" displayFolder="" count="2" memberValueDatatype="20" unbalanced="0"/>
    <cacheHierarchy uniqueName="[Tab_concat].[Mois]" caption="Mois" attribute="1" defaultMemberUniqueName="[Tab_concat].[Mois].[All]" allUniqueName="[Tab_concat].[Mois].[All]" dimensionUniqueName="[Tab_concat]" displayFolder="" count="2" memberValueDatatype="20" unbalanced="0"/>
    <cacheHierarchy uniqueName="[Tab_concat].[Cout_unitaire]" caption="Cout_unitaire" attribute="1" defaultMemberUniqueName="[Tab_concat].[Cout_unitaire].[All]" allUniqueName="[Tab_concat].[Cout_unitaire].[All]" dimensionUniqueName="[Tab_concat]" displayFolder="" count="2"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cacheHierarchy uniqueName="[Tab_concat].[Dates (trimestre)]" caption="Dates (trimestre)" attribute="1" defaultMemberUniqueName="[Tab_concat].[Dates (trimestre)].[All]" allUniqueName="[Tab_concat].[Dates (trimestre)].[All]" dimensionUniqueName="[Tab_concat]" displayFolder="" count="2"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2"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2" memberValueDatatype="5" unbalanced="0"/>
    <cacheHierarchy uniqueName="[Tableau16].[Compteur/Livraison]" caption="Compteur/Livraison" attribute="1" defaultMemberUniqueName="[Tableau16].[Compteur/Livraison].[All]" allUniqueName="[Tableau16].[Compteur/Livraison].[All]" dimensionUniqueName="[Tableau16]" displayFolder="" count="2" memberValueDatatype="130" unbalanced="0"/>
    <cacheHierarchy uniqueName="[Tableau16].[Type]" caption="Type" attribute="1" defaultMemberUniqueName="[Tableau16].[Type].[All]" allUniqueName="[Tableau16].[Type].[All]" dimensionUniqueName="[Tableau16]" displayFolder="" count="2" memberValueDatatype="130" unbalanced="0"/>
    <cacheHierarchy uniqueName="[Tableau16].[Source]" caption="Source" attribute="1" defaultMemberUniqueName="[Tableau16].[Source].[All]" allUniqueName="[Tableau16].[Source].[All]" dimensionUniqueName="[Tableau16]" displayFolder="" count="2" memberValueDatatype="130" unbalanced="0"/>
    <cacheHierarchy uniqueName="[Tableau16].[Detail usage]" caption="Detail usage" attribute="1" defaultMemberUniqueName="[Tableau16].[Detail usage].[All]" allUniqueName="[Tableau16].[Detail usage].[All]" dimensionUniqueName="[Tableau16]" displayFolder="" count="2" memberValueDatatype="130" unbalanced="0"/>
    <cacheHierarchy uniqueName="[Tableau16].[Combustible]" caption="Combustible" attribute="1" defaultMemberUniqueName="[Tableau16].[Combustible].[All]" allUniqueName="[Tableau16].[Combustible].[All]" dimensionUniqueName="[Tableau16]" displayFolder="" count="2" memberValueDatatype="130" unbalanced="0"/>
    <cacheHierarchy uniqueName="[Tableau16].[PCI]" caption="PCI" attribute="1" defaultMemberUniqueName="[Tableau16].[PCI].[All]" allUniqueName="[Tableau16].[PCI].[All]" dimensionUniqueName="[Tableau16]" displayFolder="" count="2" memberValueDatatype="5" unbalanced="0"/>
    <cacheHierarchy uniqueName="[Tableau16].[PCI_DEET]" caption="PCI_DEET" attribute="1" defaultMemberUniqueName="[Tableau16].[PCI_DEET].[All]" allUniqueName="[Tableau16].[PCI_DEET].[All]" dimensionUniqueName="[Tableau16]" displayFolder="" count="2" memberValueDatatype="5" unbalanced="0"/>
    <cacheHierarchy uniqueName="[Tableau16].[Nom]" caption="Nom" attribute="1" defaultMemberUniqueName="[Tableau16].[Nom].[All]" allUniqueName="[Tableau16].[Nom].[All]" dimensionUniqueName="[Tableau16]" displayFolder="" count="2" memberValueDatatype="130" unbalanced="0"/>
    <cacheHierarchy uniqueName="[Tableau16].[PCI_EP]" caption="PCI_EP" attribute="1" defaultMemberUniqueName="[Tableau16].[PCI_EP].[All]" allUniqueName="[Tableau16].[PCI_EP].[All]" dimensionUniqueName="[Tableau16]" displayFolder="" count="2"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2"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1"/>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2"/>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4"/>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5"/>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3"/>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1"/>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2"/>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8"/>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2"/>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8"/>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8"/>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tupleCache>
    <sets count="1">
      <set count="1" maxRank="1" setDefinition="{[Tab_concat].[Nom].[All]}">
        <tpls c="1">
          <tpl hier="13" item="4294967295"/>
        </tpls>
      </set>
    </se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25578704" backgroundQuery="1" createdVersion="7" refreshedVersion="7" minRefreshableVersion="3" recordCount="0" supportSubquery="1" supportAdvancedDrill="1" xr:uid="{DEBCCAA4-0CFD-4FF4-84AA-B009A166F659}">
  <cacheSource type="external" connectionId="11"/>
  <cacheFields count="5">
    <cacheField name="[Tab_concat].[Combustible].[Combustible]" caption="Combustible" numFmtId="0" hierarchy="9" level="1">
      <sharedItems count="1">
        <s v="Electricité (kWh)"/>
      </sharedItems>
    </cacheField>
    <cacheField name="[Tab_concat].[Annee].[Annee]" caption="Annee" numFmtId="0" hierarchy="15" level="1">
      <sharedItems containsSemiMixedTypes="0" containsNonDate="0" containsString="0"/>
    </cacheField>
    <cacheField name="[Tab_concat].[Type].[Type]" caption="Type" numFmtId="0" hierarchy="7" level="1">
      <sharedItems containsSemiMixedTypes="0" containsNonDate="0" containsString="0"/>
    </cacheField>
    <cacheField name="[Tab_concat].[Source].[Source]" caption="Source" numFmtId="0" hierarchy="8" level="1">
      <sharedItems containsSemiMixedTypes="0" containsNonDate="0" containsString="0"/>
    </cacheField>
    <cacheField name="[Measures].[Somme de Demande_jour]" caption="Somme de Demande_jour" numFmtId="0" hierarchy="37" level="32767"/>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2"/>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3"/>
      </fieldsUsage>
    </cacheHierarchy>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1"/>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oneField="1">
      <fieldsUsage count="1">
        <fieldUsage x="4"/>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27430559" backgroundQuery="1" createdVersion="7" refreshedVersion="7" minRefreshableVersion="3" recordCount="0" supportSubquery="1" supportAdvancedDrill="1" xr:uid="{4D3E9501-382B-43CD-91C1-C0AA6930546A}">
  <cacheSource type="external" connectionId="11"/>
  <cacheFields count="7">
    <cacheField name="[Tab_concat].[Annee].[Annee]" caption="Annee" numFmtId="0" hierarchy="15" level="1">
      <sharedItems containsSemiMixedTypes="0" containsNonDate="0" containsString="0"/>
    </cacheField>
    <cacheField name="[Tab_concat].[Type].[Type]" caption="Type" numFmtId="0" hierarchy="7" level="1">
      <sharedItems containsSemiMixedTypes="0" containsNonDate="0" containsString="0"/>
    </cacheField>
    <cacheField name="[Tab_concat].[Source].[Source]" caption="Source" numFmtId="0" hierarchy="8" level="1">
      <sharedItems containsSemiMixedTypes="0" containsNonDate="0" containsString="0"/>
    </cacheField>
    <cacheField name="[Tab_concat].[Mois].[Mois]" caption="Mois" numFmtId="0" hierarchy="16" level="1">
      <sharedItems containsSemiMixedTypes="0" containsNonDate="0" containsString="0"/>
    </cacheField>
    <cacheField name="[Tab_concat].[Detail usage].[Detail usage]" caption="Detail usage" numFmtId="0" hierarchy="13" level="1">
      <sharedItems count="1">
        <s v="Elec_Général"/>
      </sharedItems>
    </cacheField>
    <cacheField name="[Measures].[Moyenne de Conso_kWh_PCI]" caption="Moyenne de Conso_kWh_PCI" numFmtId="0" hierarchy="38" level="32767"/>
    <cacheField name="[Tab_concat].[Nom].[Nom]" caption="Nom" numFmtId="0" hierarchy="12"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1"/>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2"/>
      </fieldsUsage>
    </cacheHierarchy>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6"/>
      </fieldsUsage>
    </cacheHierarchy>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4"/>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0"/>
      </fieldsUsage>
    </cacheHierarchy>
    <cacheHierarchy uniqueName="[Tab_concat].[Mois]" caption="Mois" attribute="1" defaultMemberUniqueName="[Tab_concat].[Mois].[All]" allUniqueName="[Tab_concat].[Mois].[All]" dimensionUniqueName="[Tab_concat]" displayFolder="" count="2" memberValueDatatype="20" unbalanced="0">
      <fieldsUsage count="2">
        <fieldUsage x="-1"/>
        <fieldUsage x="3"/>
      </fieldsUsage>
    </cacheHierarchy>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oneField="1">
      <fieldsUsage count="1">
        <fieldUsage x="5"/>
      </fieldsUsage>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28935183" backgroundQuery="1" createdVersion="7" refreshedVersion="7" minRefreshableVersion="3" recordCount="0" supportSubquery="1" supportAdvancedDrill="1" xr:uid="{0C31DAF8-3C47-4FD0-8BF5-EC8ED0D34D41}">
  <cacheSource type="external" connectionId="11"/>
  <cacheFields count="5">
    <cacheField name="[Tab_concat].[Combustible].[Combustible]" caption="Combustible" numFmtId="0" hierarchy="9" level="1">
      <sharedItems count="1">
        <s v="Electricité (kWh)"/>
      </sharedItems>
    </cacheField>
    <cacheField name="[Tab_concat].[Annee].[Annee]" caption="Annee" numFmtId="0" hierarchy="15" level="1">
      <sharedItems containsSemiMixedTypes="0" containsNonDate="0" containsString="0"/>
    </cacheField>
    <cacheField name="[Tab_concat].[Type].[Type]" caption="Type" numFmtId="0" hierarchy="7" level="1">
      <sharedItems containsSemiMixedTypes="0" containsNonDate="0" containsString="0"/>
    </cacheField>
    <cacheField name="[Tab_concat].[Source].[Source]" caption="Source" numFmtId="0" hierarchy="8" level="1">
      <sharedItems containsSemiMixedTypes="0" containsNonDate="0" containsString="0"/>
    </cacheField>
    <cacheField name="[Measures].[Somme de Cout_jour]" caption="Somme de Cout_jour" numFmtId="0" hierarchy="35" level="32767"/>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2"/>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3"/>
      </fieldsUsage>
    </cacheHierarchy>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1"/>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oneField="1">
      <fieldsUsage count="1">
        <fieldUsage x="4"/>
      </fieldsUsage>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VERAIS Laurent" refreshedDate="46105.435430902777" createdVersion="6" refreshedVersion="7" minRefreshableVersion="3" recordCount="644" xr:uid="{00000000-000A-0000-FFFF-FFFF27000000}">
  <cacheSource type="worksheet">
    <worksheetSource name="Tableau9"/>
  </cacheSource>
  <cacheFields count="6">
    <cacheField name="Station Météo" numFmtId="0">
      <sharedItems containsBlank="1"/>
    </cacheField>
    <cacheField name="annee" numFmtId="0">
      <sharedItems containsString="0" containsBlank="1" containsNumber="1" containsInteger="1" minValue="2001" maxValue="2026" count="27">
        <n v="2001"/>
        <n v="2002"/>
        <n v="2003"/>
        <n v="2004"/>
        <n v="2005"/>
        <n v="2006"/>
        <n v="2007"/>
        <n v="2008"/>
        <n v="2009"/>
        <n v="2010"/>
        <n v="2011"/>
        <n v="2012"/>
        <n v="2013"/>
        <n v="2014"/>
        <n v="2015"/>
        <n v="2016"/>
        <n v="2017"/>
        <n v="2018"/>
        <n v="2019"/>
        <n v="2020"/>
        <n v="2021"/>
        <n v="2022"/>
        <n v="2023"/>
        <n v="2024"/>
        <n v="2025"/>
        <n v="2026"/>
        <m/>
      </sharedItems>
    </cacheField>
    <cacheField name="mois" numFmtId="0">
      <sharedItems containsBlank="1" count="17">
        <s v="janv"/>
        <s v="fev"/>
        <s v="mars"/>
        <s v="avr"/>
        <s v="mai"/>
        <s v="juin"/>
        <s v="juil"/>
        <s v="aout"/>
        <s v="sept"/>
        <s v="oct"/>
        <s v="nov"/>
        <s v="dec"/>
        <s v="septembre"/>
        <s v="octobre"/>
        <s v="novembre"/>
        <s v="décembre"/>
        <m/>
      </sharedItems>
    </cacheField>
    <cacheField name="mois_numero" numFmtId="0">
      <sharedItems containsString="0" containsBlank="1" containsNumber="1" containsInteger="1" minValue="1" maxValue="12" count="13">
        <n v="1"/>
        <n v="2"/>
        <n v="3"/>
        <n v="4"/>
        <n v="5"/>
        <n v="6"/>
        <n v="7"/>
        <n v="8"/>
        <n v="9"/>
        <n v="10"/>
        <n v="11"/>
        <n v="12"/>
        <m/>
      </sharedItems>
    </cacheField>
    <cacheField name="DJU(chauffagiste)" numFmtId="0">
      <sharedItems containsString="0" containsBlank="1" containsNumber="1" minValue="5" maxValue="501"/>
    </cacheField>
    <cacheField name="DJU(climaticien)" numFmtId="0">
      <sharedItems containsString="0" containsBlank="1" containsNumber="1" minValue="0" maxValue="205"/>
    </cacheField>
  </cacheFields>
  <extLst>
    <ext xmlns:x14="http://schemas.microsoft.com/office/spreadsheetml/2009/9/main" uri="{725AE2AE-9491-48be-B2B4-4EB974FC3084}">
      <x14:pivotCacheDefinition pivotCacheId="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VERAIS Laurent" refreshedDate="46105.435431712962" createdVersion="7" refreshedVersion="7" minRefreshableVersion="3" recordCount="100" xr:uid="{00000000-000A-0000-FFFF-FFFF1C000000}">
  <cacheSource type="worksheet">
    <worksheetSource name="Tableau13"/>
  </cacheSource>
  <cacheFields count="4">
    <cacheField name="Numéro" numFmtId="0">
      <sharedItems containsString="0" containsBlank="1" containsNumber="1" containsInteger="1" minValue="1" maxValue="974"/>
    </cacheField>
    <cacheField name="Département" numFmtId="0">
      <sharedItems count="100">
        <s v="Ain"/>
        <s v="Aisne"/>
        <s v="Allier"/>
        <s v="Alpes-de-Haute-Provence"/>
        <s v="Hautes-Alpes"/>
        <s v="Alpes-Maritimes"/>
        <s v="Ardèche"/>
        <s v="Ardennes"/>
        <s v="Ariège"/>
        <s v="Aube"/>
        <s v="Aude"/>
        <s v="Aveyron"/>
        <s v="Bouches-du-Rhône"/>
        <s v="Calvados"/>
        <s v="Cantal"/>
        <s v="Charente"/>
        <s v="Charente-Maritime"/>
        <s v="Cher"/>
        <s v="Corrèze"/>
        <s v="Corse-du-Sud / Haute-Corse"/>
        <s v="Côte-d’Or"/>
        <s v="Côtes-d’Armor"/>
        <s v="Creuse"/>
        <s v="Dordogne"/>
        <s v="Doubs"/>
        <s v="Drôme"/>
        <s v="Eure"/>
        <s v="Eure-et-Loir"/>
        <s v="Finistère"/>
        <s v="Gard"/>
        <s v="Haute-Garonne"/>
        <s v="Gers"/>
        <s v="Gironde"/>
        <s v="Hérault"/>
        <s v="Ille-et-Vilaine"/>
        <s v="Indre"/>
        <s v="Indre-et-Loire"/>
        <s v="Isère"/>
        <s v="Jura"/>
        <s v="Landes"/>
        <s v="Loir-et-Cher"/>
        <s v="Loire"/>
        <s v="Haute-Loire"/>
        <s v="Loire-Atlantique"/>
        <s v="Loiret"/>
        <s v="Lot"/>
        <s v="Lot-et-Garonne"/>
        <s v="Lozère"/>
        <s v="Maine-et-Loire"/>
        <s v="Manche"/>
        <s v="Marne"/>
        <s v="Haute-Marne"/>
        <s v="Mayenne"/>
        <s v="Meurthe-et-Moselle"/>
        <s v="Meuse"/>
        <s v="Morbihan"/>
        <s v="Moselle"/>
        <s v="Nièvre"/>
        <s v="Nord"/>
        <s v="Oise"/>
        <s v="Orne"/>
        <s v="Pas-de-Calais"/>
        <s v="Puy-de-Dôme"/>
        <s v="Pyrénées-Atlantiques"/>
        <s v="Hautes-Pyrénées"/>
        <s v="Pyrénées-Orientales"/>
        <s v="Bas-Rhin"/>
        <s v="Haut-Rhin"/>
        <s v="Rhône"/>
        <s v="Haute-Saône"/>
        <s v="Saône-et-Loire"/>
        <s v="Sarthe"/>
        <s v="Savoie"/>
        <s v="Haute-Savoie"/>
        <s v="Paris"/>
        <s v="Seine-Maritime"/>
        <s v="Seine-et-Marne"/>
        <s v="Yvelines"/>
        <s v="Deux-Sèvres"/>
        <s v="Somme"/>
        <s v="Tarn"/>
        <s v="Tarn-et-Garonne"/>
        <s v="Var"/>
        <s v="Vaucluse"/>
        <s v="Vendée"/>
        <s v="Vienne"/>
        <s v="Haute-Vienne"/>
        <s v="Vosges"/>
        <s v="Yonne"/>
        <s v="Territoire de Belfort"/>
        <s v="Essonne"/>
        <s v="Hauts-de-Seine"/>
        <s v="Seine-Saint-Denis"/>
        <s v="Val-de-Marne"/>
        <s v="Val-d’Oise"/>
        <s v="Guadeloupe"/>
        <s v="Guyane"/>
        <s v="La Réunion"/>
        <s v="Martinique"/>
        <s v="Mayotte"/>
      </sharedItems>
    </cacheField>
    <cacheField name="Zone climatique" numFmtId="0">
      <sharedItems count="13">
        <s v="H1c"/>
        <s v="H1a"/>
        <s v="H2d"/>
        <s v="H3"/>
        <s v="H1b"/>
        <s v="H2c"/>
        <s v="H2b"/>
        <s v="H2a"/>
        <s v="Guadeloupe"/>
        <s v="Guyane"/>
        <s v="Réunion"/>
        <s v="Martinique"/>
        <s v="Mayotte"/>
      </sharedItems>
    </cacheField>
    <cacheField name="Region" numFmtId="0">
      <sharedItems count="14">
        <s v="Auvergne-Rhône-Alpes"/>
        <s v="Hauts-de-France"/>
        <s v="Provence-Alpes-Côte d'Azur"/>
        <s v="Grand Est"/>
        <s v="Occitanie"/>
        <s v="Normandie"/>
        <s v="Nouvelle-Aquitaine"/>
        <s v="Centre-Val de Loire"/>
        <s v="Corse"/>
        <s v="Bourgogne-Franche-Comté"/>
        <s v="Bretagne"/>
        <s v="Pays de la Loire"/>
        <s v="Île-de-France"/>
        <s v="Outre-mer"/>
      </sharedItems>
    </cacheField>
  </cacheFields>
  <extLst>
    <ext xmlns:x14="http://schemas.microsoft.com/office/spreadsheetml/2009/9/main" uri="{725AE2AE-9491-48be-B2B4-4EB974FC3084}">
      <x14:pivotCacheDefinition pivotCacheId="902497723"/>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3240743" backgroundQuery="1" createdVersion="3" refreshedVersion="7" minRefreshableVersion="3" recordCount="0" supportSubquery="1" supportAdvancedDrill="1" xr:uid="{83BE3AFD-2172-4A93-ABEC-42AD7BAD32D6}">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379902455"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6018521" backgroundQuery="1" createdVersion="3" refreshedVersion="7" minRefreshableVersion="3" recordCount="0" supportSubquery="1" supportAdvancedDrill="1" xr:uid="{AFC16B99-90D2-430A-9F52-B9967873DB48}">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1469466803"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8680554" backgroundQuery="1" createdVersion="3" refreshedVersion="7" minRefreshableVersion="3" recordCount="0" supportSubquery="1" supportAdvancedDrill="1" xr:uid="{7FC2A749-8BA6-457B-A99F-8C053D4C464E}">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143007324"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1342594" backgroundQuery="1" createdVersion="3" refreshedVersion="7" minRefreshableVersion="3" recordCount="0" supportSubquery="1" supportAdvancedDrill="1" xr:uid="{163D5231-5652-4B71-B534-F033BDA0E0CD}">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395456856"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4004627" backgroundQuery="1" createdVersion="3" refreshedVersion="7" minRefreshableVersion="3" recordCount="0" supportSubquery="1" supportAdvancedDrill="1" xr:uid="{81A97739-A2C0-4AE0-896A-532D7A516598}">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117012588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2430558" backgroundQuery="1" createdVersion="7" refreshedVersion="7" minRefreshableVersion="3" recordCount="0" supportSubquery="1" supportAdvancedDrill="1" xr:uid="{ECFC8121-7439-48E3-AE00-23258774A1A9}">
  <cacheSource type="external" connectionId="11"/>
  <cacheFields count="7">
    <cacheField name="[Measures].[Somme de Conso_kWh_PCI]" caption="Somme de Conso_kWh_PCI" numFmtId="0" hierarchy="33" level="32767"/>
    <cacheField name="[Measures].[Somme de Conso_kWh_DEET]" caption="Somme de Conso_kWh_DEET" numFmtId="0" hierarchy="34" level="32767"/>
    <cacheField name="[Tab_concat].[Type].[Type]" caption="Type" numFmtId="0" hierarchy="7" level="1">
      <sharedItems count="1">
        <s v="Consommation"/>
      </sharedItems>
    </cacheField>
    <cacheField name="[Tab_concat].[Detail usage].[Detail usage]" caption="Detail usage" numFmtId="0" hierarchy="13" level="1">
      <sharedItems count="1">
        <s v="Elec_Général"/>
      </sharedItems>
    </cacheField>
    <cacheField name="[Tab_concat].[Annee].[Annee]" caption="Annee" numFmtId="0" hierarchy="15" level="1">
      <sharedItems containsSemiMixedTypes="0" containsString="0" containsNumber="1" containsInteger="1" minValue="2012" maxValue="2012" count="1">
        <n v="2012"/>
      </sharedItems>
      <extLst>
        <ext xmlns:x15="http://schemas.microsoft.com/office/spreadsheetml/2010/11/main" uri="{4F2E5C28-24EA-4eb8-9CBF-B6C8F9C3D259}">
          <x15:cachedUniqueNames>
            <x15:cachedUniqueName index="0" name="[Tab_concat].[Annee].&amp;[2012]"/>
          </x15:cachedUniqueNames>
        </ext>
      </extLst>
    </cacheField>
    <cacheField name="[Measures].[Somme de Conso_kWhEP]" caption="Somme de Conso_kWhEP" numFmtId="0" hierarchy="36" level="32767"/>
    <cacheField name="[Measures].[Somme de Demande_jour]" caption="Somme de Demande_jour" numFmtId="0" hierarchy="37" level="32767"/>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2"/>
      </fieldsUsage>
    </cacheHierarchy>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3"/>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4"/>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oneField="1">
      <fieldsUsage count="1">
        <fieldUsage x="0"/>
      </fieldsUsage>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oneField="1">
      <fieldsUsage count="1">
        <fieldUsage x="1"/>
      </fieldsUsage>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oneField="1">
      <fieldsUsage count="1">
        <fieldUsage x="5"/>
      </fieldsUsage>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oneField="1">
      <fieldsUsage count="1">
        <fieldUsage x="6"/>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7129629" backgroundQuery="1" createdVersion="3" refreshedVersion="7" minRefreshableVersion="3" recordCount="0" supportSubquery="1" supportAdvancedDrill="1" xr:uid="{5FE2461B-03C7-41AC-A7BD-0A04294651B5}">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1823398515"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22337963" backgroundQuery="1" createdVersion="3" refreshedVersion="7" minRefreshableVersion="3" recordCount="0" supportSubquery="1" supportAdvancedDrill="1" xr:uid="{EBAD814C-EC64-4747-B366-89FDA1823290}">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slicerData="1" pivotCacheId="733279335"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28745138888" backgroundQuery="1" createdVersion="7" refreshedVersion="7" minRefreshableVersion="3" recordCount="0" supportSubquery="1" supportAdvancedDrill="1" xr:uid="{82C80CF2-F186-4A7F-A0E0-4A078E9071D6}">
  <cacheSource type="external" connectionId="11">
    <extLst>
      <ext xmlns:x14="http://schemas.microsoft.com/office/spreadsheetml/2009/9/main" uri="{F057638F-6D5F-4e77-A914-E7F072B9BCA8}">
        <x14:sourceConnection name="ThisWorkbookDataModel"/>
      </ext>
    </extLst>
  </cacheSource>
  <cacheFields count="4">
    <cacheField name="[Tab_concat].[Dates (année)].[Dates (année)]" caption="Dates (année)" numFmtId="0" hierarchy="18" level="1">
      <sharedItems count="1">
        <s v="2026"/>
      </sharedItems>
    </cacheField>
    <cacheField name="[Tab_concat].[Combustible].[Combustible]" caption="Combustible" numFmtId="0" hierarchy="9" level="1">
      <sharedItems count="6">
        <s v="Electricité (kWh)"/>
        <s v="Gaz naturel (kWh)"/>
        <s v="Eau (m3)" u="1"/>
        <s v="Réseau de chaleur (kWh)" u="1"/>
        <s v="Fioul domestique (litres)" u="1"/>
        <s v="Gaz butane (tonnes)" u="1"/>
      </sharedItems>
    </cacheField>
    <cacheField name="[Measures].[Somme de Cout_jour]" caption="Somme de Cout_jour" numFmtId="0" hierarchy="35" level="32767"/>
    <cacheField name="[Tab_concat].[Dates].[Dates]" caption="Dates" numFmtId="0" hierarchy="1"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3"/>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1"/>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0"/>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oneField="1">
      <fieldsUsage count="1">
        <fieldUsage x="2"/>
      </fieldsUsage>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pivotCacheId="184923049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2874560185" backgroundQuery="1" createdVersion="7" refreshedVersion="7" minRefreshableVersion="3" recordCount="0" supportSubquery="1" supportAdvancedDrill="1" xr:uid="{839A8EA1-CE38-4E5F-8BD4-B72B7E8C8E83}">
  <cacheSource type="external" connectionId="11">
    <extLst>
      <ext xmlns:x14="http://schemas.microsoft.com/office/spreadsheetml/2009/9/main" uri="{F057638F-6D5F-4e77-A914-E7F072B9BCA8}">
        <x14:sourceConnection name="ThisWorkbookDataModel"/>
      </ext>
    </extLst>
  </cacheSource>
  <cacheFields count="6">
    <cacheField name="[Tab_concat].[Combustible].[Combustible]" caption="Combustible" numFmtId="0" hierarchy="9" level="1">
      <sharedItems count="2">
        <s v="Electricité (kWh)"/>
        <s v="Gaz naturel (kWh)"/>
      </sharedItems>
    </cacheField>
    <cacheField name="[Tab_concat].[Dates].[Dates]" caption="Dates" numFmtId="0" hierarchy="1" level="1">
      <sharedItems containsSemiMixedTypes="0" containsNonDate="0" containsDate="1" containsString="0" minDate="2020-01-01T00:00:00" maxDate="2025-01-01T00:00:00" count="1827">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0-10-19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3-24T00:00:00"/>
        <d v="2021-03-25T00:00:00"/>
        <d v="2021-03-26T00:00:00"/>
        <d v="2021-03-27T00:00:00"/>
        <d v="2021-03-28T00:00:00"/>
        <d v="2021-03-29T00:00:00"/>
        <d v="2021-03-30T00:00:00"/>
        <d v="2021-03-31T00:00:00"/>
        <d v="2021-04-01T00:00:00"/>
        <d v="2021-04-02T00:00:00"/>
        <d v="2021-04-03T00:00:00"/>
        <d v="2021-04-04T00:00:00"/>
        <d v="2021-04-05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d v="2021-10-21T00:00:00"/>
        <d v="2021-10-22T00:00:00"/>
        <d v="2021-10-23T00:00:00"/>
        <d v="2021-10-24T00:00:00"/>
        <d v="2021-10-25T00:00:00"/>
        <d v="2021-10-26T00:00:00"/>
        <d v="2021-10-27T00:00:00"/>
        <d v="2021-10-28T00:00:00"/>
        <d v="2021-10-29T00:00:00"/>
        <d v="2021-10-30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4T00:00:00"/>
        <d v="2021-11-15T00:00:00"/>
        <d v="2021-11-16T00:00:00"/>
        <d v="2021-11-17T00:00:00"/>
        <d v="2021-11-18T00:00:00"/>
        <d v="2021-11-19T00:00:00"/>
        <d v="2021-11-20T00:00:00"/>
        <d v="2021-11-21T00:00:00"/>
        <d v="2021-11-22T00:00:00"/>
        <d v="2021-11-23T00:00:00"/>
        <d v="2021-11-24T00:00:00"/>
        <d v="2021-11-25T00:00:00"/>
        <d v="2021-11-26T00:00:00"/>
        <d v="2021-11-27T00:00:00"/>
        <d v="2021-11-28T00:00:00"/>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6T00:00:00"/>
        <d v="2024-10-27T00:00:00"/>
        <d v="2024-10-28T00:00:00"/>
        <d v="2024-10-29T00:00:00"/>
        <d v="2024-10-30T00:00:00"/>
        <d v="2024-10-31T00:00:00"/>
        <d v="2024-11-01T00:00:00"/>
        <d v="2024-11-02T00:00:00"/>
        <d v="2024-11-03T00:00:00"/>
        <d v="2024-11-04T00:00:00"/>
        <d v="2024-11-05T00:00:00"/>
        <d v="2024-11-06T00:00:00"/>
        <d v="2024-11-07T00:00:00"/>
        <d v="2024-11-08T00:00:00"/>
        <d v="2024-11-09T00:00:00"/>
        <d v="2024-11-10T00:00:00"/>
        <d v="2024-11-11T00:00:00"/>
        <d v="2024-11-12T00:00:00"/>
        <d v="2024-11-13T00:00:00"/>
        <d v="2024-11-14T00:00:00"/>
        <d v="2024-11-15T00:00:00"/>
        <d v="2024-11-16T00:00:00"/>
        <d v="2024-11-17T00:00:00"/>
        <d v="2024-11-18T00:00:00"/>
        <d v="2024-11-19T00:00:00"/>
        <d v="2024-11-20T00:00:00"/>
        <d v="2024-11-21T00:00:00"/>
        <d v="2024-11-22T00:00:00"/>
        <d v="2024-11-23T00:00:00"/>
        <d v="2024-11-24T00:00:00"/>
        <d v="2024-11-25T00:00:00"/>
        <d v="2024-11-26T00:00:00"/>
        <d v="2024-11-27T00:00:00"/>
        <d v="2024-11-28T00:00:00"/>
        <d v="2024-11-29T00:00:00"/>
        <d v="2024-11-30T00:00:00"/>
        <d v="2024-12-01T00:00:00"/>
        <d v="2024-12-02T00:00:00"/>
        <d v="2024-12-03T00:00:00"/>
        <d v="2024-12-04T00:00:00"/>
        <d v="2024-12-05T00:00:00"/>
        <d v="2024-12-06T00:00:00"/>
        <d v="2024-12-07T00:00:00"/>
        <d v="2024-12-08T00:00:00"/>
        <d v="2024-12-09T00:00:00"/>
        <d v="2024-12-10T00:00:00"/>
        <d v="2024-12-11T00:00:00"/>
        <d v="2024-12-12T00:00:00"/>
        <d v="2024-12-13T00:00:00"/>
        <d v="2024-12-14T00:00:00"/>
        <d v="2024-12-15T00:00:00"/>
        <d v="2024-12-16T00:00:00"/>
        <d v="2024-12-17T00:00:00"/>
        <d v="2024-12-18T00:00:00"/>
        <d v="2024-12-19T00:00:00"/>
        <d v="2024-12-20T00:00:00"/>
        <d v="2024-12-21T00:00:00"/>
        <d v="2024-12-22T00:00:00"/>
        <d v="2024-12-23T00:00:00"/>
        <d v="2024-12-24T00:00:00"/>
        <d v="2024-12-25T00:00:00"/>
        <d v="2024-12-26T00:00:00"/>
        <d v="2024-12-27T00:00:00"/>
        <d v="2024-12-28T00:00:00"/>
        <d v="2024-12-29T00:00:00"/>
        <d v="2024-12-30T00:00:00"/>
        <d v="2024-12-31T00:00:00"/>
      </sharedItems>
    </cacheField>
    <cacheField name="[Tab_concat].[Dates (mois)].[Dates (mois)]" caption="Dates (mois)" numFmtId="0" hierarchy="20" level="1">
      <sharedItems containsNonDate="0" count="12">
        <s v="janv"/>
        <s v="févr"/>
        <s v="mars"/>
        <s v="avr"/>
        <s v="mai"/>
        <s v="juin"/>
        <s v="juil"/>
        <s v="août"/>
        <s v="sept"/>
        <s v="oct"/>
        <s v="nov"/>
        <s v="déc"/>
      </sharedItems>
    </cacheField>
    <cacheField name="[Tab_concat].[Dates (trimestre)].[Dates (trimestre)]" caption="Dates (trimestre)" numFmtId="0" hierarchy="19" level="1">
      <sharedItems containsNonDate="0" count="4">
        <s v="Trim1"/>
        <s v="Trim2"/>
        <s v="Trim3"/>
        <s v="Trim4"/>
      </sharedItems>
    </cacheField>
    <cacheField name="[Tab_concat].[Dates (année)].[Dates (année)]" caption="Dates (année)" numFmtId="0" hierarchy="18" level="1">
      <sharedItems count="1">
        <s v="2026"/>
      </sharedItems>
    </cacheField>
    <cacheField name="[Measures].[Cout Unitaire Moyen]" caption="Cout Unitaire Moyen" numFmtId="0" hierarchy="45" level="32767"/>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1"/>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4"/>
      </fieldsUsage>
    </cacheHierarchy>
    <cacheHierarchy uniqueName="[Tab_concat].[Dates (trimestre)]" caption="Dates (trimestre)" attribute="1" defaultMemberUniqueName="[Tab_concat].[Dates (trimestre)].[All]" allUniqueName="[Tab_concat].[Dates (trimestre)].[All]" dimensionUniqueName="[Tab_concat]" displayFolder="" count="2" memberValueDatatype="130" unbalanced="0">
      <fieldsUsage count="2">
        <fieldUsage x="-1"/>
        <fieldUsage x="3"/>
      </fieldsUsage>
    </cacheHierarchy>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oneField="1">
      <fieldsUsage count="1">
        <fieldUsage x="5"/>
      </fieldsUsage>
    </cacheHierarchy>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pivotCacheId="10562205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20601854" backgroundQuery="1" createdVersion="7" refreshedVersion="7" minRefreshableVersion="3" recordCount="0" supportSubquery="1" supportAdvancedDrill="1" xr:uid="{4202E796-97C8-4AE4-B1EE-1ABD07356940}">
  <cacheSource type="external" connectionId="11">
    <extLst>
      <ext xmlns:x14="http://schemas.microsoft.com/office/spreadsheetml/2009/9/main" uri="{F057638F-6D5F-4e77-A914-E7F072B9BCA8}">
        <x14:sourceConnection name="ThisWorkbookDataModel"/>
      </ext>
    </extLst>
  </cacheSource>
  <cacheFields count="6">
    <cacheField name="[Tab_concat].[Dates (année)].[Dates (année)]" caption="Dates (année)" numFmtId="0" hierarchy="18" level="1">
      <sharedItems count="1">
        <s v="2026"/>
      </sharedItems>
    </cacheField>
    <cacheField name="[Tab_concat].[Dates (trimestre)].[Dates (trimestre)]" caption="Dates (trimestre)" numFmtId="0" hierarchy="19" level="1">
      <sharedItems containsNonDate="0" count="4">
        <s v="Trim1"/>
        <s v="Trim2"/>
        <s v="Trim3"/>
        <s v="Trim4"/>
      </sharedItems>
    </cacheField>
    <cacheField name="[Tab_concat].[Dates (mois)].[Dates (mois)]" caption="Dates (mois)" numFmtId="0" hierarchy="20" level="1">
      <sharedItems containsNonDate="0" count="12">
        <s v="janv"/>
        <s v="févr"/>
        <s v="mars"/>
        <s v="avr"/>
        <s v="mai"/>
        <s v="juin"/>
        <s v="juil"/>
        <s v="août"/>
        <s v="sept"/>
        <s v="oct"/>
        <s v="nov"/>
        <s v="déc"/>
      </sharedItems>
    </cacheField>
    <cacheField name="[Measures].[Somme de Demande_jour]" caption="Somme de Demande_jour" numFmtId="0" hierarchy="37" level="32767"/>
    <cacheField name="[Tab_concat].[Dates].[Dates]" caption="Dates" numFmtId="0" hierarchy="1" level="1">
      <sharedItems containsSemiMixedTypes="0" containsNonDate="0" containsString="0"/>
    </cacheField>
    <cacheField name="[Tab_concat].[Nom].[Nom]" caption="Nom" numFmtId="0" hierarchy="12"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4"/>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5"/>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0"/>
      </fieldsUsage>
    </cacheHierarchy>
    <cacheHierarchy uniqueName="[Tab_concat].[Dates (trimestre)]" caption="Dates (trimestre)" attribute="1" defaultMemberUniqueName="[Tab_concat].[Dates (trimestre)].[All]" allUniqueName="[Tab_concat].[Dates (trimestre)].[All]" dimensionUniqueName="[Tab_concat]" displayFolder="" count="2" memberValueDatatype="130" unbalanced="0">
      <fieldsUsage count="2">
        <fieldUsage x="-1"/>
        <fieldUsage x="1"/>
      </fieldsUsage>
    </cacheHierarchy>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oneField="1">
      <fieldsUsage count="1">
        <fieldUsage x="3"/>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pivotCacheId="212884826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0.391422337962" backgroundQuery="1" createdVersion="3" refreshedVersion="7" minRefreshableVersion="3" recordCount="0" supportSubquery="1" supportAdvancedDrill="1" xr:uid="{50EF1326-ACB9-4F46-B963-422455D837F9}">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pivotCacheId="104251680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7476852" backgroundQuery="1" createdVersion="3" refreshedVersion="7" minRefreshableVersion="3" recordCount="0" supportSubquery="1" supportAdvancedDrill="1" xr:uid="{EF0DFF90-EFAF-480D-BC85-336247FF7E2A}">
  <cacheSource type="external" connectionId="11">
    <extLst>
      <ext xmlns:x14="http://schemas.microsoft.com/office/spreadsheetml/2009/9/main" uri="{F057638F-6D5F-4e77-A914-E7F072B9BCA8}">
        <x14:sourceConnection name="ThisWorkbookDataModel"/>
      </ext>
    </extLst>
  </cacheSource>
  <cacheFields count="0"/>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extLst>
    <ext xmlns:x14="http://schemas.microsoft.com/office/spreadsheetml/2009/9/main" uri="{725AE2AE-9491-48be-B2B4-4EB974FC3084}">
      <x14:pivotCacheDefinition pivotCacheId="209188581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3935182" backgroundQuery="1" createdVersion="7" refreshedVersion="7" minRefreshableVersion="3" recordCount="0" supportSubquery="1" supportAdvancedDrill="1" xr:uid="{D87F21D6-CCE6-409F-B308-72D1F517C65A}">
  <cacheSource type="external" connectionId="11"/>
  <cacheFields count="6">
    <cacheField name="[Tab_concat].[Mois].[Mois]" caption="Mois" numFmtId="0" hierarchy="16" level="1">
      <sharedItems containsSemiMixedTypes="0" containsNonDate="0" containsString="0"/>
    </cacheField>
    <cacheField name="[Tab_concat].[Annee].[Annee]" caption="Annee" numFmtId="0" hierarchy="15" level="1">
      <sharedItems containsSemiMixedTypes="0" containsString="0" containsNumber="1" containsInteger="1" minValue="2012" maxValue="2012" count="1">
        <n v="2012"/>
      </sharedItems>
      <extLst>
        <ext xmlns:x15="http://schemas.microsoft.com/office/spreadsheetml/2010/11/main" uri="{4F2E5C28-24EA-4eb8-9CBF-B6C8F9C3D259}">
          <x15:cachedUniqueNames>
            <x15:cachedUniqueName index="0" name="[Tab_concat].[Annee].&amp;[2012]"/>
          </x15:cachedUniqueNames>
        </ext>
      </extLst>
    </cacheField>
    <cacheField name="[Tab_concat].[Detail usage].[Detail usage]" caption="Detail usage" numFmtId="0" hierarchy="13" level="1">
      <sharedItems count="1">
        <s v="Elec_Général"/>
      </sharedItems>
    </cacheField>
    <cacheField name="[Measures].[Moyenne de Conso_kWh_PCI]" caption="Moyenne de Conso_kWh_PCI" numFmtId="0" hierarchy="38" level="32767"/>
    <cacheField name="[Measures].[Moyenne de Conso_kWh_DEET]" caption="Moyenne de Conso_kWh_DEET" numFmtId="0" hierarchy="39" level="32767"/>
    <cacheField name="[Tab_concat].[Dates (mois)].[Dates (mois)]" caption="Dates (mois)" numFmtId="0" hierarchy="20"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2"/>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1"/>
      </fieldsUsage>
    </cacheHierarchy>
    <cacheHierarchy uniqueName="[Tab_concat].[Mois]" caption="Mois" attribute="1" defaultMemberUniqueName="[Tab_concat].[Mois].[All]" allUniqueName="[Tab_concat].[Mois].[All]" dimensionUniqueName="[Tab_concat]" displayFolder="" count="2" memberValueDatatype="20" unbalanced="0">
      <fieldsUsage count="2">
        <fieldUsage x="-1"/>
        <fieldUsage x="0"/>
      </fieldsUsage>
    </cacheHierarchy>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5"/>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oneField="1">
      <fieldsUsage count="1">
        <fieldUsage x="3"/>
      </fieldsUsage>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oneField="1">
      <fieldsUsage count="1">
        <fieldUsage x="4"/>
      </fieldsUsage>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7407407" backgroundQuery="1" createdVersion="7" refreshedVersion="7" minRefreshableVersion="3" recordCount="0" supportSubquery="1" supportAdvancedDrill="1" xr:uid="{126C516C-D435-44E8-9AFC-C658364759A4}">
  <cacheSource type="external" connectionId="11"/>
  <cacheFields count="5">
    <cacheField name="[Measures].[Somme de Demande_jour]" caption="Somme de Demande_jour" numFmtId="0" hierarchy="37" level="32767"/>
    <cacheField name="[Tab_concat].[Type].[Type]" caption="Type" numFmtId="0" hierarchy="7" level="1">
      <sharedItems count="1">
        <s v="Consommation"/>
      </sharedItems>
    </cacheField>
    <cacheField name="[Tab_concat].[Detail usage].[Detail usage]" caption="Detail usage" numFmtId="0" hierarchy="13" level="1">
      <sharedItems count="1">
        <s v="Elec_Général"/>
      </sharedItems>
    </cacheField>
    <cacheField name="[Tab_concat].[Combustible].[Combustible]" caption="Combustible" numFmtId="0" hierarchy="9" level="1">
      <sharedItems containsNonDate="0" count="1">
        <s v="Gaz naturel (kWh)"/>
      </sharedItems>
    </cacheField>
    <cacheField name="[Tab_concat].[Dates (année)].[Dates (année)]" caption="Dates (année)" numFmtId="0" hierarchy="18"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1"/>
      </fieldsUsage>
    </cacheHierarchy>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3"/>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2"/>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4"/>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oneField="1">
      <fieldsUsage count="1">
        <fieldUsage x="0"/>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09953701" backgroundQuery="1" createdVersion="7" refreshedVersion="7" minRefreshableVersion="3" recordCount="0" supportSubquery="1" supportAdvancedDrill="1" xr:uid="{BD223793-A380-4FC1-86EF-01FA4090C049}">
  <cacheSource type="external" connectionId="11"/>
  <cacheFields count="4">
    <cacheField name="[Measures].[Somme de Conso_kWh_PCI]" caption="Somme de Conso_kWh_PCI" numFmtId="0" hierarchy="33" level="32767"/>
    <cacheField name="[Tab_concat].[Dates (année)].[Dates (année)]" caption="Dates (année)" numFmtId="0" hierarchy="18" level="1">
      <sharedItems count="1">
        <s v="2012"/>
      </sharedItems>
    </cacheField>
    <cacheField name="[Tab_concat].[Dates (mois)].[Dates (mois)]" caption="Dates (mois)" numFmtId="0" hierarchy="20" level="1">
      <sharedItems count="12">
        <s v="janv"/>
        <s v="févr"/>
        <s v="mars"/>
        <s v="avr"/>
        <s v="mai"/>
        <s v="juin"/>
        <s v="juil"/>
        <s v="août"/>
        <s v="sept"/>
        <s v="oct"/>
        <s v="nov"/>
        <s v="déc"/>
      </sharedItems>
    </cacheField>
    <cacheField name="[Tab_concat].[Nom].[Nom]" caption="Nom" numFmtId="0" hierarchy="12"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3"/>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1"/>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oneField="1">
      <fieldsUsage count="1">
        <fieldUsage x="0"/>
      </fieldsUsage>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2615741" backgroundQuery="1" createdVersion="7" refreshedVersion="7" minRefreshableVersion="3" recordCount="0" supportSubquery="1" supportAdvancedDrill="1" xr:uid="{702DBED9-2CCE-4138-AF98-236B96268ECF}">
  <cacheSource type="external" connectionId="11"/>
  <cacheFields count="4">
    <cacheField name="[Measures].[Somme de Conso_kWh_PCI]" caption="Somme de Conso_kWh_PCI" numFmtId="0" hierarchy="33" level="32767"/>
    <cacheField name="[Tab_concat].[Dates (année)].[Dates (année)]" caption="Dates (année)" numFmtId="0" hierarchy="18" level="1">
      <sharedItems count="1">
        <s v="2012"/>
      </sharedItems>
    </cacheField>
    <cacheField name="[Tab_concat].[Dates (mois)].[Dates (mois)]" caption="Dates (mois)" numFmtId="0" hierarchy="20" level="1">
      <sharedItems count="12">
        <s v="janv"/>
        <s v="févr"/>
        <s v="mars"/>
        <s v="avr"/>
        <s v="mai"/>
        <s v="juin"/>
        <s v="juil"/>
        <s v="août"/>
        <s v="sept"/>
        <s v="oct"/>
        <s v="nov"/>
        <s v="déc"/>
      </sharedItems>
    </cacheField>
    <cacheField name="[Tab_concat].[Nom].[Nom]" caption="Nom" numFmtId="0" hierarchy="12"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3"/>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1"/>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oneField="1">
      <fieldsUsage count="1">
        <fieldUsage x="0"/>
      </fieldsUsage>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539352" backgroundQuery="1" createdVersion="7" refreshedVersion="7" minRefreshableVersion="3" recordCount="0" supportSubquery="1" supportAdvancedDrill="1" xr:uid="{9A1A350F-BFA3-4320-A9C6-435C4C99DF7E}">
  <cacheSource type="external" connectionId="11"/>
  <cacheFields count="4">
    <cacheField name="[Tab_concat].[Dates (année)].[Dates (année)]" caption="Dates (année)" numFmtId="0" hierarchy="18" level="1">
      <sharedItems count="1">
        <s v="2012"/>
      </sharedItems>
    </cacheField>
    <cacheField name="[Tab_concat].[Dates (mois)].[Dates (mois)]" caption="Dates (mois)" numFmtId="0" hierarchy="20" level="1">
      <sharedItems count="12">
        <s v="janv"/>
        <s v="févr"/>
        <s v="mars"/>
        <s v="avr"/>
        <s v="mai"/>
        <s v="juin"/>
        <s v="juil"/>
        <s v="août"/>
        <s v="sept"/>
        <s v="oct"/>
        <s v="nov"/>
        <s v="déc"/>
      </sharedItems>
    </cacheField>
    <cacheField name="[Tab_concat].[Nom].[Nom]" caption="Nom" numFmtId="0" hierarchy="12" level="1">
      <sharedItems containsSemiMixedTypes="0" containsNonDate="0" containsString="0"/>
    </cacheField>
    <cacheField name="[Measures].[Somme de Demande_jour]" caption="Somme de Demande_jour" numFmtId="0" hierarchy="37" level="32767"/>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2"/>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0"/>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1"/>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oneField="1">
      <fieldsUsage count="1">
        <fieldUsage x="3"/>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19444446" backgroundQuery="1" createdVersion="7" refreshedVersion="7" minRefreshableVersion="3" recordCount="0" supportSubquery="1" supportAdvancedDrill="1" xr:uid="{00AA546A-644D-4B58-B29C-48CB4C89E8D5}">
  <cacheSource type="external" connectionId="11"/>
  <cacheFields count="6">
    <cacheField name="[Tab_concat].[Nom].[Nom]" caption="Nom" numFmtId="0" hierarchy="12" level="1">
      <sharedItems containsSemiMixedTypes="0" containsNonDate="0" containsString="0"/>
    </cacheField>
    <cacheField name="[Tab_concat].[Dates].[Dates]" caption="Dates" numFmtId="0" hierarchy="1" level="1">
      <sharedItems containsSemiMixedTypes="0" containsNonDate="0" containsDate="1" containsString="0" minDate="2013-01-01T00:00:00" maxDate="2025-05-08T00:00:00" count="4510">
        <d v="2013-01-01T00:00:00"/>
        <d v="2013-01-02T00:00:00"/>
        <d v="2013-01-03T00:00:00"/>
        <d v="2013-01-04T00:00:00"/>
        <d v="2013-01-05T00:00:00"/>
        <d v="2013-01-06T00:00:00"/>
        <d v="2013-01-07T00:00:00"/>
        <d v="2013-01-08T00:00:00"/>
        <d v="2013-01-09T00:00:00"/>
        <d v="2013-01-10T00:00:00"/>
        <d v="2013-01-11T00:00:00"/>
        <d v="2013-01-12T00:00:00"/>
        <d v="2013-01-13T00:00:00"/>
        <d v="2013-01-14T00:00:00"/>
        <d v="2013-01-15T00:00:00"/>
        <d v="2013-01-16T00:00:00"/>
        <d v="2013-01-17T00:00:00"/>
        <d v="2013-01-18T00:00:00"/>
        <d v="2013-01-19T00:00:00"/>
        <d v="2013-01-20T00:00:00"/>
        <d v="2013-01-21T00:00:00"/>
        <d v="2013-01-22T00:00:00"/>
        <d v="2013-01-23T00:00:00"/>
        <d v="2013-01-24T00:00:00"/>
        <d v="2013-01-25T00:00:00"/>
        <d v="2013-01-26T00:00:00"/>
        <d v="2013-01-27T00:00:00"/>
        <d v="2013-01-28T00:00:00"/>
        <d v="2013-01-29T00:00:00"/>
        <d v="2013-01-30T00:00:00"/>
        <d v="2013-01-31T00:00:00"/>
        <d v="2013-02-01T00:00:00"/>
        <d v="2013-02-02T00:00:00"/>
        <d v="2013-02-03T00:00:00"/>
        <d v="2013-02-04T00:00:00"/>
        <d v="2013-02-05T00:00:00"/>
        <d v="2013-02-06T00:00:00"/>
        <d v="2013-02-07T00:00:00"/>
        <d v="2013-02-08T00:00:00"/>
        <d v="2013-02-09T00:00:00"/>
        <d v="2013-02-10T00:00:00"/>
        <d v="2013-02-11T00:00:00"/>
        <d v="2013-02-12T00:00:00"/>
        <d v="2013-02-13T00:00:00"/>
        <d v="2013-02-14T00:00:00"/>
        <d v="2013-02-15T00:00:00"/>
        <d v="2013-02-16T00:00:00"/>
        <d v="2013-02-17T00:00:00"/>
        <d v="2013-02-18T00:00:00"/>
        <d v="2013-02-19T00:00:00"/>
        <d v="2013-02-20T00:00:00"/>
        <d v="2013-02-21T00:00:00"/>
        <d v="2013-02-22T00:00:00"/>
        <d v="2013-02-23T00:00:00"/>
        <d v="2013-02-24T00:00:00"/>
        <d v="2013-02-25T00:00:00"/>
        <d v="2013-02-26T00:00:00"/>
        <d v="2013-02-27T00:00:00"/>
        <d v="2013-02-28T00:00:00"/>
        <d v="2013-03-01T00:00:00"/>
        <d v="2013-03-02T00:00:00"/>
        <d v="2013-03-03T00:00:00"/>
        <d v="2013-03-04T00:00:00"/>
        <d v="2013-03-05T00:00:00"/>
        <d v="2013-03-06T00:00:00"/>
        <d v="2013-03-07T00:00:00"/>
        <d v="2013-03-08T00:00:00"/>
        <d v="2013-03-09T00:00:00"/>
        <d v="2013-03-10T00:00:00"/>
        <d v="2013-03-11T00:00:00"/>
        <d v="2013-03-12T00:00:00"/>
        <d v="2013-03-13T00:00:00"/>
        <d v="2013-03-14T00:00:00"/>
        <d v="2013-03-15T00:00:00"/>
        <d v="2013-03-16T00:00:00"/>
        <d v="2013-03-17T00:00:00"/>
        <d v="2013-03-18T00:00:00"/>
        <d v="2013-03-19T00:00:00"/>
        <d v="2013-03-20T00:00:00"/>
        <d v="2013-03-21T00:00:00"/>
        <d v="2013-03-22T00:00:00"/>
        <d v="2013-03-23T00:00:00"/>
        <d v="2013-03-24T00:00:00"/>
        <d v="2013-03-25T00:00:00"/>
        <d v="2013-03-26T00:00:00"/>
        <d v="2013-03-27T00:00:00"/>
        <d v="2013-03-28T00:00:00"/>
        <d v="2013-03-29T00:00:00"/>
        <d v="2013-03-30T00:00:00"/>
        <d v="2013-03-31T00:00:00"/>
        <d v="2013-04-01T00:00:00"/>
        <d v="2013-04-02T00:00:00"/>
        <d v="2013-04-03T00:00:00"/>
        <d v="2013-04-04T00:00:00"/>
        <d v="2013-04-05T00:00:00"/>
        <d v="2013-04-06T00:00:00"/>
        <d v="2013-04-07T00:00:00"/>
        <d v="2013-04-08T00:00:00"/>
        <d v="2013-04-09T00:00:00"/>
        <d v="2013-04-10T00:00:00"/>
        <d v="2013-04-11T00:00:00"/>
        <d v="2013-04-12T00:00:00"/>
        <d v="2013-04-13T00:00:00"/>
        <d v="2013-04-14T00:00:00"/>
        <d v="2013-04-15T00:00:00"/>
        <d v="2013-04-16T00:00:00"/>
        <d v="2013-04-17T00:00:00"/>
        <d v="2013-04-18T00:00:00"/>
        <d v="2013-04-19T00:00:00"/>
        <d v="2013-04-20T00:00:00"/>
        <d v="2013-04-21T00:00:00"/>
        <d v="2013-04-22T00:00:00"/>
        <d v="2013-04-23T00:00:00"/>
        <d v="2013-04-24T00:00:00"/>
        <d v="2013-04-25T00:00:00"/>
        <d v="2013-04-26T00:00:00"/>
        <d v="2013-04-27T00:00:00"/>
        <d v="2013-04-28T00:00:00"/>
        <d v="2013-04-29T00:00:00"/>
        <d v="2013-04-30T00:00:00"/>
        <d v="2013-05-01T00:00:00"/>
        <d v="2013-05-02T00:00:00"/>
        <d v="2013-05-03T00:00:00"/>
        <d v="2013-05-04T00:00:00"/>
        <d v="2013-05-05T00:00:00"/>
        <d v="2013-05-06T00:00:00"/>
        <d v="2013-05-07T00:00:00"/>
        <d v="2013-05-08T00:00:00"/>
        <d v="2013-05-09T00:00:00"/>
        <d v="2013-05-10T00:00:00"/>
        <d v="2013-05-11T00:00:00"/>
        <d v="2013-05-12T00:00:00"/>
        <d v="2013-05-13T00:00:00"/>
        <d v="2013-05-14T00:00:00"/>
        <d v="2013-05-15T00:00:00"/>
        <d v="2013-05-16T00:00:00"/>
        <d v="2013-05-17T00:00:00"/>
        <d v="2013-05-18T00:00:00"/>
        <d v="2013-05-19T00:00:00"/>
        <d v="2013-05-20T00:00:00"/>
        <d v="2013-05-21T00:00:00"/>
        <d v="2013-05-22T00:00:00"/>
        <d v="2013-05-23T00:00:00"/>
        <d v="2013-05-24T00:00:00"/>
        <d v="2013-05-25T00:00:00"/>
        <d v="2013-05-26T00:00:00"/>
        <d v="2013-05-27T00:00:00"/>
        <d v="2013-05-28T00:00:00"/>
        <d v="2013-05-29T00:00:00"/>
        <d v="2013-05-30T00:00:00"/>
        <d v="2013-05-31T00:00:00"/>
        <d v="2013-06-01T00:00:00"/>
        <d v="2013-06-02T00:00:00"/>
        <d v="2013-06-03T00:00:00"/>
        <d v="2013-06-04T00:00:00"/>
        <d v="2013-06-05T00:00:00"/>
        <d v="2013-06-06T00:00:00"/>
        <d v="2013-06-07T00:00:00"/>
        <d v="2013-06-08T00:00:00"/>
        <d v="2013-06-09T00:00:00"/>
        <d v="2013-06-10T00:00:00"/>
        <d v="2013-06-11T00:00:00"/>
        <d v="2013-06-12T00:00:00"/>
        <d v="2013-06-13T00:00:00"/>
        <d v="2013-06-14T00:00:00"/>
        <d v="2013-06-15T00:00:00"/>
        <d v="2013-06-16T00:00:00"/>
        <d v="2013-06-17T00:00:00"/>
        <d v="2013-06-18T00:00:00"/>
        <d v="2013-06-19T00:00:00"/>
        <d v="2013-06-20T00:00:00"/>
        <d v="2013-06-21T00:00:00"/>
        <d v="2013-06-22T00:00:00"/>
        <d v="2013-06-23T00:00:00"/>
        <d v="2013-06-24T00:00:00"/>
        <d v="2013-06-25T00:00:00"/>
        <d v="2013-06-26T00:00:00"/>
        <d v="2013-06-27T00:00:00"/>
        <d v="2013-06-28T00:00:00"/>
        <d v="2013-06-29T00:00:00"/>
        <d v="2013-06-30T00:00:00"/>
        <d v="2013-07-01T00:00:00"/>
        <d v="2013-07-02T00:00:00"/>
        <d v="2013-07-03T00:00:00"/>
        <d v="2013-07-04T00:00:00"/>
        <d v="2013-07-05T00:00:00"/>
        <d v="2013-07-06T00:00:00"/>
        <d v="2013-07-07T00:00:00"/>
        <d v="2013-07-08T00:00:00"/>
        <d v="2013-07-09T00:00:00"/>
        <d v="2013-07-10T00:00:00"/>
        <d v="2013-07-11T00:00:00"/>
        <d v="2013-07-12T00:00:00"/>
        <d v="2013-07-13T00:00:00"/>
        <d v="2013-07-14T00:00:00"/>
        <d v="2013-07-15T00:00:00"/>
        <d v="2013-07-16T00:00:00"/>
        <d v="2013-07-17T00:00:00"/>
        <d v="2013-07-18T00:00:00"/>
        <d v="2013-07-19T00:00:00"/>
        <d v="2013-07-20T00:00:00"/>
        <d v="2013-07-21T00:00:00"/>
        <d v="2013-07-22T00:00:00"/>
        <d v="2013-07-23T00:00:00"/>
        <d v="2013-07-24T00:00:00"/>
        <d v="2013-07-25T00:00:00"/>
        <d v="2013-07-26T00:00:00"/>
        <d v="2013-07-27T00:00:00"/>
        <d v="2013-07-28T00:00:00"/>
        <d v="2013-07-29T00:00:00"/>
        <d v="2013-07-30T00:00:00"/>
        <d v="2013-07-31T00:00:00"/>
        <d v="2013-08-01T00:00:00"/>
        <d v="2013-08-02T00:00:00"/>
        <d v="2013-08-03T00:00:00"/>
        <d v="2013-08-04T00:00:00"/>
        <d v="2013-08-05T00:00:00"/>
        <d v="2013-08-06T00:00:00"/>
        <d v="2013-08-07T00:00:00"/>
        <d v="2013-08-08T00:00:00"/>
        <d v="2013-08-09T00:00:00"/>
        <d v="2013-08-10T00:00:00"/>
        <d v="2013-08-11T00:00:00"/>
        <d v="2013-08-12T00:00:00"/>
        <d v="2013-08-13T00:00:00"/>
        <d v="2013-08-14T00:00:00"/>
        <d v="2013-08-15T00:00:00"/>
        <d v="2013-08-16T00:00:00"/>
        <d v="2013-08-17T00:00:00"/>
        <d v="2013-08-18T00:00:00"/>
        <d v="2013-08-19T00:00:00"/>
        <d v="2013-08-20T00:00:00"/>
        <d v="2013-08-21T00:00:00"/>
        <d v="2013-08-22T00:00:00"/>
        <d v="2013-08-23T00:00:00"/>
        <d v="2013-08-24T00:00:00"/>
        <d v="2013-08-25T00:00:00"/>
        <d v="2013-08-26T00:00:00"/>
        <d v="2013-08-27T00:00:00"/>
        <d v="2013-08-28T00:00:00"/>
        <d v="2013-08-29T00:00:00"/>
        <d v="2013-08-30T00:00:00"/>
        <d v="2013-08-31T00:00:00"/>
        <d v="2013-09-01T00:00:00"/>
        <d v="2013-09-02T00:00:00"/>
        <d v="2013-09-03T00:00:00"/>
        <d v="2013-09-04T00:00:00"/>
        <d v="2013-09-05T00:00:00"/>
        <d v="2013-09-06T00:00:00"/>
        <d v="2013-09-07T00:00:00"/>
        <d v="2013-09-08T00:00:00"/>
        <d v="2013-09-09T00:00:00"/>
        <d v="2013-09-10T00:00:00"/>
        <d v="2013-09-11T00:00:00"/>
        <d v="2013-09-12T00:00:00"/>
        <d v="2013-09-13T00:00:00"/>
        <d v="2013-09-14T00:00:00"/>
        <d v="2013-09-15T00:00:00"/>
        <d v="2013-09-16T00:00:00"/>
        <d v="2013-09-17T00:00:00"/>
        <d v="2013-09-18T00:00:00"/>
        <d v="2013-09-19T00:00:00"/>
        <d v="2013-09-20T00:00:00"/>
        <d v="2013-09-21T00:00:00"/>
        <d v="2013-09-22T00:00:00"/>
        <d v="2013-09-23T00:00:00"/>
        <d v="2013-09-24T00:00:00"/>
        <d v="2013-09-25T00:00:00"/>
        <d v="2013-09-26T00:00:00"/>
        <d v="2013-09-27T00:00:00"/>
        <d v="2013-09-28T00:00:00"/>
        <d v="2013-09-29T00:00:00"/>
        <d v="2013-09-30T00:00:00"/>
        <d v="2013-10-01T00:00:00"/>
        <d v="2013-10-02T00:00:00"/>
        <d v="2013-10-03T00:00:00"/>
        <d v="2013-10-04T00:00:00"/>
        <d v="2013-10-05T00:00:00"/>
        <d v="2013-10-06T00:00:00"/>
        <d v="2013-10-07T00:00:00"/>
        <d v="2013-10-08T00:00:00"/>
        <d v="2013-10-09T00:00:00"/>
        <d v="2013-10-10T00:00:00"/>
        <d v="2013-10-11T00:00:00"/>
        <d v="2013-10-12T00:00:00"/>
        <d v="2013-10-13T00:00:00"/>
        <d v="2013-10-14T00:00:00"/>
        <d v="2013-10-15T00:00:00"/>
        <d v="2013-10-16T00:00:00"/>
        <d v="2013-10-17T00:00:00"/>
        <d v="2013-10-18T00:00:00"/>
        <d v="2013-10-19T00:00:00"/>
        <d v="2013-10-20T00:00:00"/>
        <d v="2013-10-21T00:00:00"/>
        <d v="2013-10-22T00:00:00"/>
        <d v="2013-10-23T00:00:00"/>
        <d v="2013-10-24T00:00:00"/>
        <d v="2013-10-25T00:00:00"/>
        <d v="2013-10-26T00:00:00"/>
        <d v="2013-10-27T00:00:00"/>
        <d v="2013-10-28T00:00:00"/>
        <d v="2013-10-29T00:00:00"/>
        <d v="2013-10-30T00:00:00"/>
        <d v="2013-10-31T00:00:00"/>
        <d v="2013-11-01T00:00:00"/>
        <d v="2013-11-02T00:00:00"/>
        <d v="2013-11-03T00:00:00"/>
        <d v="2013-11-04T00:00:00"/>
        <d v="2013-11-05T00:00:00"/>
        <d v="2013-11-06T00:00:00"/>
        <d v="2013-11-07T00:00:00"/>
        <d v="2013-11-08T00:00:00"/>
        <d v="2013-11-09T00:00:00"/>
        <d v="2013-11-10T00:00:00"/>
        <d v="2013-11-11T00:00:00"/>
        <d v="2013-11-12T00:00:00"/>
        <d v="2013-11-13T00:00:00"/>
        <d v="2013-11-14T00:00:00"/>
        <d v="2013-11-15T00:00:00"/>
        <d v="2013-11-16T00:00:00"/>
        <d v="2013-11-17T00:00:00"/>
        <d v="2013-11-18T00:00:00"/>
        <d v="2013-11-19T00:00:00"/>
        <d v="2013-11-20T00:00:00"/>
        <d v="2013-11-21T00:00:00"/>
        <d v="2013-11-22T00:00:00"/>
        <d v="2013-11-23T00:00:00"/>
        <d v="2013-11-24T00:00:00"/>
        <d v="2013-11-25T00:00:00"/>
        <d v="2013-11-26T00:00:00"/>
        <d v="2013-11-27T00:00:00"/>
        <d v="2013-11-28T00:00:00"/>
        <d v="2013-11-29T00:00:00"/>
        <d v="2013-11-30T00:00:00"/>
        <d v="2013-12-01T00:00:00"/>
        <d v="2013-12-02T00:00:00"/>
        <d v="2013-12-03T00:00:00"/>
        <d v="2013-12-04T00:00:00"/>
        <d v="2013-12-05T00:00:00"/>
        <d v="2013-12-06T00:00:00"/>
        <d v="2013-12-07T00:00:00"/>
        <d v="2013-12-08T00:00:00"/>
        <d v="2013-12-09T00:00:00"/>
        <d v="2013-12-10T00:00:00"/>
        <d v="2013-12-11T00:00:00"/>
        <d v="2013-12-12T00:00:00"/>
        <d v="2013-12-13T00:00:00"/>
        <d v="2013-12-14T00:00:00"/>
        <d v="2013-12-15T00:00:00"/>
        <d v="2013-12-16T00:00:00"/>
        <d v="2013-12-17T00:00:00"/>
        <d v="2013-12-18T00:00:00"/>
        <d v="2013-12-19T00:00:00"/>
        <d v="2013-12-20T00:00:00"/>
        <d v="2013-12-21T00:00:00"/>
        <d v="2013-12-22T00:00:00"/>
        <d v="2013-12-23T00:00:00"/>
        <d v="2013-12-24T00:00:00"/>
        <d v="2013-12-25T00:00:00"/>
        <d v="2013-12-26T00:00:00"/>
        <d v="2013-12-27T00:00:00"/>
        <d v="2013-12-28T00:00:00"/>
        <d v="2013-12-29T00:00:00"/>
        <d v="2013-12-30T00:00:00"/>
        <d v="2013-12-31T00:00:00"/>
        <d v="2014-01-01T00:00:00"/>
        <d v="2014-01-02T00:00:00"/>
        <d v="2014-01-03T00:00:00"/>
        <d v="2014-01-04T00:00:00"/>
        <d v="2014-01-05T00:00:00"/>
        <d v="2014-01-06T00:00:00"/>
        <d v="2014-01-07T00:00:00"/>
        <d v="2014-01-08T00:00:00"/>
        <d v="2014-01-09T00:00:00"/>
        <d v="2014-01-10T00:00:00"/>
        <d v="2014-01-11T00:00:00"/>
        <d v="2014-01-12T00:00:00"/>
        <d v="2014-01-13T00:00:00"/>
        <d v="2014-01-14T00:00:00"/>
        <d v="2014-01-15T00:00:00"/>
        <d v="2014-01-16T00:00:00"/>
        <d v="2014-01-17T00:00:00"/>
        <d v="2014-01-18T00:00:00"/>
        <d v="2014-01-19T00:00:00"/>
        <d v="2014-01-20T00:00:00"/>
        <d v="2014-01-21T00:00:00"/>
        <d v="2014-01-22T00:00:00"/>
        <d v="2014-01-23T00:00:00"/>
        <d v="2014-01-24T00:00:00"/>
        <d v="2014-01-25T00:00:00"/>
        <d v="2014-01-26T00:00:00"/>
        <d v="2014-01-27T00:00:00"/>
        <d v="2014-01-28T00:00:00"/>
        <d v="2014-01-29T00:00:00"/>
        <d v="2014-01-30T00:00:00"/>
        <d v="2014-01-31T00:00:00"/>
        <d v="2014-02-01T00:00:00"/>
        <d v="2014-02-02T00:00:00"/>
        <d v="2014-02-03T00:00:00"/>
        <d v="2014-02-04T00:00:00"/>
        <d v="2014-02-05T00:00:00"/>
        <d v="2014-02-06T00:00:00"/>
        <d v="2014-02-07T00:00:00"/>
        <d v="2014-02-08T00:00:00"/>
        <d v="2014-02-09T00:00:00"/>
        <d v="2014-02-10T00:00:00"/>
        <d v="2014-02-11T00:00:00"/>
        <d v="2014-02-12T00:00:00"/>
        <d v="2014-02-13T00:00:00"/>
        <d v="2014-02-14T00:00:00"/>
        <d v="2014-02-15T00:00:00"/>
        <d v="2014-02-16T00:00:00"/>
        <d v="2014-02-17T00:00:00"/>
        <d v="2014-02-18T00:00:00"/>
        <d v="2014-02-19T00:00:00"/>
        <d v="2014-02-20T00:00:00"/>
        <d v="2014-02-21T00:00:00"/>
        <d v="2014-02-22T00:00:00"/>
        <d v="2014-02-23T00:00:00"/>
        <d v="2014-02-24T00:00:00"/>
        <d v="2014-02-25T00:00:00"/>
        <d v="2014-02-26T00:00:00"/>
        <d v="2014-02-27T00:00:00"/>
        <d v="2014-02-28T00:00:00"/>
        <d v="2014-03-01T00:00:00"/>
        <d v="2014-03-02T00:00:00"/>
        <d v="2014-03-03T00:00:00"/>
        <d v="2014-03-04T00:00:00"/>
        <d v="2014-03-05T00:00:00"/>
        <d v="2014-03-06T00:00:00"/>
        <d v="2014-03-07T00:00:00"/>
        <d v="2014-03-08T00:00:00"/>
        <d v="2014-03-09T00:00:00"/>
        <d v="2014-03-10T00:00:00"/>
        <d v="2014-03-11T00:00:00"/>
        <d v="2014-03-12T00:00:00"/>
        <d v="2014-03-13T00:00:00"/>
        <d v="2014-03-14T00:00:00"/>
        <d v="2014-03-15T00:00:00"/>
        <d v="2014-03-16T00:00:00"/>
        <d v="2014-03-17T00:00:00"/>
        <d v="2014-03-18T00:00:00"/>
        <d v="2014-03-19T00:00:00"/>
        <d v="2014-03-20T00:00:00"/>
        <d v="2014-03-21T00:00:00"/>
        <d v="2014-03-22T00:00:00"/>
        <d v="2014-03-23T00:00:00"/>
        <d v="2014-03-24T00:00:00"/>
        <d v="2014-03-25T00:00:00"/>
        <d v="2014-03-26T00:00:00"/>
        <d v="2014-03-27T00:00:00"/>
        <d v="2014-03-28T00:00:00"/>
        <d v="2014-03-29T00:00:00"/>
        <d v="2014-03-30T00:00:00"/>
        <d v="2014-03-31T00:00:00"/>
        <d v="2014-04-01T00:00:00"/>
        <d v="2014-04-02T00:00:00"/>
        <d v="2014-04-03T00:00:00"/>
        <d v="2014-04-04T00:00:00"/>
        <d v="2014-04-05T00:00:00"/>
        <d v="2014-04-06T00:00:00"/>
        <d v="2014-04-07T00:00:00"/>
        <d v="2014-04-08T00:00:00"/>
        <d v="2014-04-09T00:00:00"/>
        <d v="2014-04-10T00:00:00"/>
        <d v="2014-04-11T00:00:00"/>
        <d v="2014-04-12T00:00:00"/>
        <d v="2014-04-13T00:00:00"/>
        <d v="2014-04-14T00:00:00"/>
        <d v="2014-04-15T00:00:00"/>
        <d v="2014-04-16T00:00:00"/>
        <d v="2014-04-17T00:00:00"/>
        <d v="2014-04-18T00:00:00"/>
        <d v="2014-04-19T00:00:00"/>
        <d v="2014-04-20T00:00:00"/>
        <d v="2014-04-21T00:00:00"/>
        <d v="2014-04-22T00:00:00"/>
        <d v="2014-04-23T00:00:00"/>
        <d v="2014-04-24T00:00:00"/>
        <d v="2014-04-25T00:00:00"/>
        <d v="2014-04-26T00:00:00"/>
        <d v="2014-04-27T00:00:00"/>
        <d v="2014-04-28T00:00:00"/>
        <d v="2014-04-29T00:00:00"/>
        <d v="2014-04-30T00:00:00"/>
        <d v="2014-05-01T00:00:00"/>
        <d v="2014-05-02T00:00:00"/>
        <d v="2014-05-03T00:00:00"/>
        <d v="2014-05-04T00:00:00"/>
        <d v="2014-05-05T00:00:00"/>
        <d v="2014-05-06T00:00:00"/>
        <d v="2014-05-07T00:00:00"/>
        <d v="2014-05-08T00:00:00"/>
        <d v="2014-05-09T00:00:00"/>
        <d v="2014-05-10T00:00:00"/>
        <d v="2014-05-11T00:00:00"/>
        <d v="2014-05-12T00:00:00"/>
        <d v="2014-05-13T00:00:00"/>
        <d v="2014-05-14T00:00:00"/>
        <d v="2014-05-15T00:00:00"/>
        <d v="2014-05-16T00:00:00"/>
        <d v="2014-05-17T00:00:00"/>
        <d v="2014-05-18T00:00:00"/>
        <d v="2014-05-19T00:00:00"/>
        <d v="2014-05-20T00:00:00"/>
        <d v="2014-05-21T00:00:00"/>
        <d v="2014-05-22T00:00:00"/>
        <d v="2014-05-23T00:00:00"/>
        <d v="2014-05-24T00:00:00"/>
        <d v="2014-05-25T00:00:00"/>
        <d v="2014-05-26T00:00:00"/>
        <d v="2014-05-27T00:00:00"/>
        <d v="2014-05-28T00:00:00"/>
        <d v="2014-05-29T00:00:00"/>
        <d v="2014-05-30T00:00:00"/>
        <d v="2014-05-31T00:00:00"/>
        <d v="2014-06-01T00:00:00"/>
        <d v="2014-06-02T00:00:00"/>
        <d v="2014-06-03T00:00:00"/>
        <d v="2014-06-04T00:00:00"/>
        <d v="2014-06-05T00:00:00"/>
        <d v="2014-06-06T00:00:00"/>
        <d v="2014-06-07T00:00:00"/>
        <d v="2014-06-08T00:00:00"/>
        <d v="2014-06-09T00:00:00"/>
        <d v="2014-06-10T00:00:00"/>
        <d v="2014-06-11T00:00:00"/>
        <d v="2014-06-12T00:00:00"/>
        <d v="2014-06-13T00:00:00"/>
        <d v="2014-06-14T00:00:00"/>
        <d v="2014-06-15T00:00:00"/>
        <d v="2014-06-16T00:00:00"/>
        <d v="2014-06-17T00:00:00"/>
        <d v="2014-06-18T00:00:00"/>
        <d v="2014-06-19T00:00:00"/>
        <d v="2014-06-20T00:00:00"/>
        <d v="2014-06-21T00:00:00"/>
        <d v="2014-06-22T00:00:00"/>
        <d v="2014-06-23T00:00:00"/>
        <d v="2014-06-24T00:00:00"/>
        <d v="2014-06-25T00:00:00"/>
        <d v="2014-06-26T00:00:00"/>
        <d v="2014-06-27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d v="2014-08-23T00:00:00"/>
        <d v="2014-08-24T00:00:00"/>
        <d v="2014-08-25T00:00:00"/>
        <d v="2014-08-26T00:00:00"/>
        <d v="2014-08-27T00:00:00"/>
        <d v="2014-08-28T00:00:00"/>
        <d v="2014-08-29T00:00:00"/>
        <d v="2014-08-30T00:00:00"/>
        <d v="2014-08-31T00:00:00"/>
        <d v="2014-09-01T00:00:00"/>
        <d v="2014-09-02T00:00:00"/>
        <d v="2014-09-03T00:00:00"/>
        <d v="2014-09-04T00:00:00"/>
        <d v="2014-09-05T00:00:00"/>
        <d v="2014-09-06T00:00:00"/>
        <d v="2014-09-07T00:00:00"/>
        <d v="2014-09-08T00:00:00"/>
        <d v="2014-09-09T00:00:00"/>
        <d v="2014-09-10T00:00:00"/>
        <d v="2014-09-11T00:00:00"/>
        <d v="2014-09-12T00:00:00"/>
        <d v="2014-09-13T00:00:00"/>
        <d v="2014-09-14T00:00:00"/>
        <d v="2014-09-15T00:00:00"/>
        <d v="2014-09-16T00:00:00"/>
        <d v="2014-09-17T00:00:00"/>
        <d v="2014-09-18T00:00:00"/>
        <d v="2014-09-19T00:00:00"/>
        <d v="2014-09-20T00:00:00"/>
        <d v="2014-09-21T00:00:00"/>
        <d v="2014-09-22T00:00:00"/>
        <d v="2014-09-23T00:00:00"/>
        <d v="2014-09-24T00:00:00"/>
        <d v="2014-09-25T00:00:00"/>
        <d v="2014-09-26T00:00:00"/>
        <d v="2014-09-27T00:00:00"/>
        <d v="2014-09-28T00:00:00"/>
        <d v="2014-09-29T00:00:00"/>
        <d v="2014-09-30T00:00:00"/>
        <d v="2014-10-01T00:00:00"/>
        <d v="2014-10-02T00:00:00"/>
        <d v="2014-10-03T00:00:00"/>
        <d v="2014-10-04T00:00:00"/>
        <d v="2014-10-05T00:00:00"/>
        <d v="2014-10-06T00:00:00"/>
        <d v="2014-10-07T00:00:00"/>
        <d v="2014-10-08T00:00:00"/>
        <d v="2014-10-09T00:00:00"/>
        <d v="2014-10-10T00:00:00"/>
        <d v="2014-10-11T00:00:00"/>
        <d v="2014-10-12T00:00:00"/>
        <d v="2014-10-13T00:00:00"/>
        <d v="2014-10-14T00:00:00"/>
        <d v="2014-10-15T00:00:00"/>
        <d v="2014-10-16T00:00:00"/>
        <d v="2014-10-17T00:00:00"/>
        <d v="2014-10-18T00:00:00"/>
        <d v="2014-10-19T00:00:00"/>
        <d v="2014-10-20T00:00:00"/>
        <d v="2014-10-21T00:00:00"/>
        <d v="2014-10-22T00:00:00"/>
        <d v="2014-10-23T00:00:00"/>
        <d v="2014-10-24T00:00:00"/>
        <d v="2014-10-25T00:00:00"/>
        <d v="2014-10-26T00:00:00"/>
        <d v="2014-10-27T00:00:00"/>
        <d v="2014-10-28T00:00:00"/>
        <d v="2014-10-29T00:00:00"/>
        <d v="2014-10-30T00:00:00"/>
        <d v="2014-10-31T00:00:00"/>
        <d v="2014-11-01T00:00:00"/>
        <d v="2014-11-02T00:00:00"/>
        <d v="2014-11-03T00:00:00"/>
        <d v="2014-11-04T00:00:00"/>
        <d v="2014-11-05T00:00:00"/>
        <d v="2014-11-06T00:00:00"/>
        <d v="2014-11-07T00:00:00"/>
        <d v="2014-11-08T00:00:00"/>
        <d v="2014-11-09T00:00:00"/>
        <d v="2014-11-10T00:00:00"/>
        <d v="2014-11-11T00:00:00"/>
        <d v="2014-11-12T00:00:00"/>
        <d v="2014-11-13T00:00:00"/>
        <d v="2014-11-14T00:00:00"/>
        <d v="2014-11-15T00:00:00"/>
        <d v="2014-11-16T00:00:00"/>
        <d v="2014-11-17T00:00:00"/>
        <d v="2014-11-18T00:00:00"/>
        <d v="2014-11-19T00:00:00"/>
        <d v="2014-11-20T00:00:00"/>
        <d v="2014-11-21T00:00:00"/>
        <d v="2014-11-22T00:00:00"/>
        <d v="2014-11-23T00:00:00"/>
        <d v="2014-11-24T00:00:00"/>
        <d v="2014-11-25T00:00:00"/>
        <d v="2014-11-26T00:00:00"/>
        <d v="2014-11-27T00:00:00"/>
        <d v="2014-11-28T00:00:00"/>
        <d v="2014-11-29T00:00:00"/>
        <d v="2014-11-30T00:00:00"/>
        <d v="2014-12-01T00:00:00"/>
        <d v="2014-12-02T00:00:00"/>
        <d v="2014-12-03T00:00:00"/>
        <d v="2014-12-04T00:00:00"/>
        <d v="2014-12-05T00:00:00"/>
        <d v="2014-12-06T00:00:00"/>
        <d v="2014-12-07T00:00:00"/>
        <d v="2014-12-08T00:00:00"/>
        <d v="2014-12-09T00:00:00"/>
        <d v="2014-12-10T00:00:00"/>
        <d v="2014-12-11T00:00:00"/>
        <d v="2014-12-12T00:00:00"/>
        <d v="2014-12-13T00:00:00"/>
        <d v="2014-12-14T00:00:00"/>
        <d v="2014-12-15T00:00:00"/>
        <d v="2014-12-16T00:00:00"/>
        <d v="2014-12-17T00:00:00"/>
        <d v="2014-12-18T00:00:00"/>
        <d v="2014-12-19T00:00:00"/>
        <d v="2014-12-20T00:00:00"/>
        <d v="2014-12-21T00:00:00"/>
        <d v="2014-12-22T00:00:00"/>
        <d v="2014-12-23T00:00:00"/>
        <d v="2014-12-24T00:00:00"/>
        <d v="2014-12-25T00:00:00"/>
        <d v="2014-12-26T00:00:00"/>
        <d v="2014-12-27T00:00:00"/>
        <d v="2014-12-28T00:00:00"/>
        <d v="2014-12-29T00:00:00"/>
        <d v="2014-12-30T00:00:00"/>
        <d v="2014-12-31T00:00:00"/>
        <d v="2015-01-01T00:00:00"/>
        <d v="2015-01-02T00:00:00"/>
        <d v="2015-01-03T00:00:00"/>
        <d v="2015-01-04T00:00:00"/>
        <d v="2015-01-05T00:00:00"/>
        <d v="2015-01-06T00:00:00"/>
        <d v="2015-01-07T00:00:00"/>
        <d v="2015-01-08T00:00:00"/>
        <d v="2015-01-09T00:00:00"/>
        <d v="2015-01-10T00:00:00"/>
        <d v="2015-01-11T00:00:00"/>
        <d v="2015-01-12T00:00:00"/>
        <d v="2015-01-13T00:00:00"/>
        <d v="2015-01-14T00:00:00"/>
        <d v="2015-01-15T00:00:00"/>
        <d v="2015-01-16T00:00:00"/>
        <d v="2015-01-17T00:00:00"/>
        <d v="2015-01-18T00:00:00"/>
        <d v="2015-01-19T00:00:00"/>
        <d v="2015-01-20T00:00:00"/>
        <d v="2015-01-21T00:00:00"/>
        <d v="2015-01-22T00:00:00"/>
        <d v="2015-01-23T00:00:00"/>
        <d v="2015-01-24T00:00:00"/>
        <d v="2015-01-25T00:00:00"/>
        <d v="2015-01-26T00:00:00"/>
        <d v="2015-01-27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6T00:00:00"/>
        <d v="2015-02-17T00:00:00"/>
        <d v="2015-02-18T00:00:00"/>
        <d v="2015-02-19T00:00:00"/>
        <d v="2015-02-20T00:00:00"/>
        <d v="2015-02-21T00:00:00"/>
        <d v="2015-02-22T00:00:00"/>
        <d v="2015-02-23T00:00:00"/>
        <d v="2015-02-24T00:00:00"/>
        <d v="2015-02-25T00:00:00"/>
        <d v="2015-02-26T00:00:00"/>
        <d v="2015-02-27T00:00:00"/>
        <d v="2015-02-28T00:00:00"/>
        <d v="2015-03-01T00:00:00"/>
        <d v="2015-03-02T00:00:00"/>
        <d v="2015-03-03T00:00:00"/>
        <d v="2015-03-04T00:00:00"/>
        <d v="2015-03-05T00:00:00"/>
        <d v="2015-03-06T00:00:00"/>
        <d v="2015-03-07T00:00:00"/>
        <d v="2015-03-08T00:00:00"/>
        <d v="2015-03-09T00:00:00"/>
        <d v="2015-03-10T00:00:00"/>
        <d v="2015-03-11T00:00:00"/>
        <d v="2015-03-12T00:00:00"/>
        <d v="2015-03-13T00:00:00"/>
        <d v="2015-03-14T00:00:00"/>
        <d v="2015-03-15T00:00:00"/>
        <d v="2015-03-16T00:00:00"/>
        <d v="2015-03-17T00:00:00"/>
        <d v="2015-03-18T00:00:00"/>
        <d v="2015-03-19T00:00:00"/>
        <d v="2015-03-20T00:00:00"/>
        <d v="2015-03-21T00:00:00"/>
        <d v="2015-03-22T00:00:00"/>
        <d v="2015-03-23T00:00:00"/>
        <d v="2015-03-24T00:00:00"/>
        <d v="2015-03-25T00:00:00"/>
        <d v="2015-03-26T00:00:00"/>
        <d v="2015-03-27T00:00:00"/>
        <d v="2015-03-28T00:00:00"/>
        <d v="2015-03-29T00:00:00"/>
        <d v="2015-03-30T00:00:00"/>
        <d v="2015-03-31T00:00:00"/>
        <d v="2015-04-01T00:00:00"/>
        <d v="2015-04-02T00:00:00"/>
        <d v="2015-04-03T00:00:00"/>
        <d v="2015-04-04T00:00:00"/>
        <d v="2015-04-05T00:00:00"/>
        <d v="2015-04-06T00:00:00"/>
        <d v="2015-04-07T00:00:00"/>
        <d v="2015-04-08T00:00:00"/>
        <d v="2015-04-09T00:00:00"/>
        <d v="2015-04-10T00:00:00"/>
        <d v="2015-04-11T00:00:00"/>
        <d v="2015-04-12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4T00:00:00"/>
        <d v="2015-06-05T00:00:00"/>
        <d v="2015-06-06T00:00:00"/>
        <d v="2015-06-07T00:00:00"/>
        <d v="2015-06-08T00:00:00"/>
        <d v="2015-06-09T00:00:00"/>
        <d v="2015-06-10T00:00:00"/>
        <d v="2015-06-11T00:00:00"/>
        <d v="2015-06-12T00:00:00"/>
        <d v="2015-06-13T00:00:00"/>
        <d v="2015-06-14T00:00:00"/>
        <d v="2015-06-15T00:00:00"/>
        <d v="2015-06-16T00:00:00"/>
        <d v="2015-06-17T00:00:00"/>
        <d v="2015-06-18T00:00:00"/>
        <d v="2015-06-19T00:00:00"/>
        <d v="2015-06-20T00:00:00"/>
        <d v="2015-06-21T00:00:00"/>
        <d v="2015-06-22T00:00:00"/>
        <d v="2015-06-23T00:00:00"/>
        <d v="2015-06-24T00:00:00"/>
        <d v="2015-06-25T00:00:00"/>
        <d v="2015-06-26T00:00:00"/>
        <d v="2015-06-27T00:00:00"/>
        <d v="2015-06-28T00:00:00"/>
        <d v="2015-06-29T00:00:00"/>
        <d v="2015-06-30T00:00:00"/>
        <d v="2015-07-01T00:00:00"/>
        <d v="2015-07-02T00:00:00"/>
        <d v="2015-07-03T00:00:00"/>
        <d v="2015-07-04T00:00:00"/>
        <d v="2015-07-05T00:00:00"/>
        <d v="2015-07-06T00:00:00"/>
        <d v="2015-07-07T00:00:00"/>
        <d v="2015-07-08T00:00:00"/>
        <d v="2015-07-09T00:00:00"/>
        <d v="2015-07-10T00:00:00"/>
        <d v="2015-07-11T00:00:00"/>
        <d v="2015-07-12T00:00:00"/>
        <d v="2015-07-13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1T00:00:00"/>
        <d v="2015-08-02T00:00:00"/>
        <d v="2015-08-03T00:00:00"/>
        <d v="2015-08-04T00:00:00"/>
        <d v="2015-08-05T00:00:00"/>
        <d v="2015-08-06T00:00:00"/>
        <d v="2015-08-07T00:00:00"/>
        <d v="2015-08-08T00:00:00"/>
        <d v="2015-08-09T00:00:00"/>
        <d v="2015-08-10T00:00:00"/>
        <d v="2015-08-11T00:00:00"/>
        <d v="2015-08-12T00:00:00"/>
        <d v="2015-08-13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8T00:00:00"/>
        <d v="2015-09-09T00:00:00"/>
        <d v="2015-09-10T00:00:00"/>
        <d v="2015-09-11T00:00:00"/>
        <d v="2015-09-12T00:00:00"/>
        <d v="2015-09-13T00:00:00"/>
        <d v="2015-09-14T00:00:00"/>
        <d v="2015-09-15T00:00:00"/>
        <d v="2015-09-16T00:00:00"/>
        <d v="2015-09-17T00:00:00"/>
        <d v="2015-09-18T00:00:00"/>
        <d v="2015-09-19T00:00:00"/>
        <d v="2015-09-20T00:00:00"/>
        <d v="2015-09-21T00:00:00"/>
        <d v="2015-09-22T00:00:00"/>
        <d v="2015-09-23T00:00:00"/>
        <d v="2015-09-24T00:00:00"/>
        <d v="2015-09-25T00:00:00"/>
        <d v="2015-09-26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0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7T00:00:00"/>
        <d v="2017-12-18T00:00:00"/>
        <d v="2017-12-19T00:00:00"/>
        <d v="2017-12-20T00:00:00"/>
        <d v="2017-12-21T00:00:00"/>
        <d v="2017-12-22T00:00:00"/>
        <d v="2017-12-23T00:00:00"/>
        <d v="2017-12-24T00:00:00"/>
        <d v="2017-12-25T00:00:00"/>
        <d v="2017-12-26T00:00:00"/>
        <d v="2017-12-27T00:00:00"/>
        <d v="2017-12-28T00:00:00"/>
        <d v="2017-12-29T00:00:00"/>
        <d v="2017-12-30T00:00:00"/>
        <d v="2017-12-31T00:00:00"/>
        <d v="2018-01-0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2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0-30T00:00:00"/>
        <d v="2019-10-31T00:00:00"/>
        <d v="2019-11-01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0-10-19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3-24T00:00:00"/>
        <d v="2021-03-25T00:00:00"/>
        <d v="2021-03-26T00:00:00"/>
        <d v="2021-03-27T00:00:00"/>
        <d v="2021-03-28T00:00:00"/>
        <d v="2021-03-29T00:00:00"/>
        <d v="2021-03-30T00:00:00"/>
        <d v="2021-03-31T00:00:00"/>
        <d v="2021-04-01T00:00:00"/>
        <d v="2021-04-02T00:00:00"/>
        <d v="2021-04-03T00:00:00"/>
        <d v="2021-04-04T00:00:00"/>
        <d v="2021-04-05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d v="2021-10-21T00:00:00"/>
        <d v="2021-10-22T00:00:00"/>
        <d v="2021-10-23T00:00:00"/>
        <d v="2021-10-24T00:00:00"/>
        <d v="2021-10-25T00:00:00"/>
        <d v="2021-10-26T00:00:00"/>
        <d v="2021-10-27T00:00:00"/>
        <d v="2021-10-28T00:00:00"/>
        <d v="2021-10-29T00:00:00"/>
        <d v="2021-10-30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4T00:00:00"/>
        <d v="2021-11-15T00:00:00"/>
        <d v="2021-11-16T00:00:00"/>
        <d v="2021-11-17T00:00:00"/>
        <d v="2021-11-18T00:00:00"/>
        <d v="2021-11-19T00:00:00"/>
        <d v="2021-11-20T00:00:00"/>
        <d v="2021-11-21T00:00:00"/>
        <d v="2021-11-22T00:00:00"/>
        <d v="2021-11-23T00:00:00"/>
        <d v="2021-11-24T00:00:00"/>
        <d v="2021-11-25T00:00:00"/>
        <d v="2021-11-26T00:00:00"/>
        <d v="2021-11-27T00:00:00"/>
        <d v="2021-11-28T00:00:00"/>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6T00:00:00"/>
        <d v="2024-10-27T00:00:00"/>
        <d v="2024-10-28T00:00:00"/>
        <d v="2024-10-29T00:00:00"/>
        <d v="2024-10-30T00:00:00"/>
        <d v="2024-10-31T00:00:00"/>
        <d v="2024-11-01T00:00:00"/>
        <d v="2024-11-02T00:00:00"/>
        <d v="2024-11-03T00:00:00"/>
        <d v="2024-11-04T00:00:00"/>
        <d v="2024-11-05T00:00:00"/>
        <d v="2024-11-06T00:00:00"/>
        <d v="2024-11-07T00:00:00"/>
        <d v="2024-11-08T00:00:00"/>
        <d v="2024-11-09T00:00:00"/>
        <d v="2024-11-10T00:00:00"/>
        <d v="2024-11-11T00:00:00"/>
        <d v="2024-11-12T00:00:00"/>
        <d v="2024-11-13T00:00:00"/>
        <d v="2024-11-14T00:00:00"/>
        <d v="2024-11-15T00:00:00"/>
        <d v="2024-11-16T00:00:00"/>
        <d v="2024-11-17T00:00:00"/>
        <d v="2024-11-18T00:00:00"/>
        <d v="2024-11-19T00:00:00"/>
        <d v="2024-11-20T00:00:00"/>
        <d v="2024-11-21T00:00:00"/>
        <d v="2024-11-22T00:00:00"/>
        <d v="2024-11-23T00:00:00"/>
        <d v="2024-11-24T00:00:00"/>
        <d v="2024-11-25T00:00:00"/>
        <d v="2024-11-26T00:00:00"/>
        <d v="2024-11-27T00:00:00"/>
        <d v="2024-11-28T00:00:00"/>
        <d v="2024-11-29T00:00:00"/>
        <d v="2024-11-30T00:00:00"/>
        <d v="2024-12-01T00:00:00"/>
        <d v="2024-12-02T00:00:00"/>
        <d v="2024-12-03T00:00:00"/>
        <d v="2024-12-04T00:00:00"/>
        <d v="2024-12-05T00:00:00"/>
        <d v="2024-12-06T00:00:00"/>
        <d v="2024-12-07T00:00:00"/>
        <d v="2024-12-08T00:00:00"/>
        <d v="2024-12-09T00:00:00"/>
        <d v="2024-12-10T00:00:00"/>
        <d v="2024-12-11T00:00:00"/>
        <d v="2024-12-12T00:00:00"/>
        <d v="2024-12-13T00:00:00"/>
        <d v="2024-12-14T00:00:00"/>
        <d v="2024-12-15T00:00:00"/>
        <d v="2024-12-16T00:00:00"/>
        <d v="2024-12-17T00:00:00"/>
        <d v="2024-12-18T00:00:00"/>
        <d v="2024-12-19T00:00:00"/>
        <d v="2024-12-20T00:00:00"/>
        <d v="2024-12-21T00:00:00"/>
        <d v="2024-12-22T00:00:00"/>
        <d v="2024-12-23T00:00:00"/>
        <d v="2024-12-24T00:00:00"/>
        <d v="2024-12-25T00:00:00"/>
        <d v="2024-12-26T00:00:00"/>
        <d v="2024-12-27T00:00:00"/>
        <d v="2024-12-28T00:00:00"/>
        <d v="2024-12-29T00:00:00"/>
        <d v="2024-12-30T00:00:00"/>
        <d v="2024-12-31T00:00:00"/>
        <d v="2025-01-01T00:00:00"/>
        <d v="2025-01-02T00:00:00"/>
        <d v="2025-01-03T00:00:00"/>
        <d v="2025-01-04T00:00:00"/>
        <d v="2025-01-05T00:00:00"/>
        <d v="2025-01-06T00:00:00"/>
        <d v="2025-01-07T00:00:00"/>
        <d v="2025-01-08T00:00:00"/>
        <d v="2025-01-09T00:00:00"/>
        <d v="2025-01-10T00:00:00"/>
        <d v="2025-01-11T00:00:00"/>
        <d v="2025-01-12T00:00:00"/>
        <d v="2025-01-13T00:00:00"/>
        <d v="2025-01-14T00:00:00"/>
        <d v="2025-01-15T00:00:00"/>
        <d v="2025-01-16T00:00:00"/>
        <d v="2025-01-17T00:00:00"/>
        <d v="2025-01-18T00:00:00"/>
        <d v="2025-01-19T00:00:00"/>
        <d v="2025-01-20T00:00:00"/>
        <d v="2025-01-21T00:00:00"/>
        <d v="2025-01-22T00:00:00"/>
        <d v="2025-01-23T00:00:00"/>
        <d v="2025-01-24T00:00:00"/>
        <d v="2025-01-25T00:00:00"/>
        <d v="2025-01-26T00:00:00"/>
        <d v="2025-01-27T00:00:00"/>
        <d v="2025-01-28T00:00:00"/>
        <d v="2025-01-29T00:00:00"/>
        <d v="2025-01-30T00:00:00"/>
        <d v="2025-01-31T00:00:00"/>
        <d v="2025-02-01T00:00:00"/>
        <d v="2025-02-02T00:00:00"/>
        <d v="2025-02-03T00:00:00"/>
        <d v="2025-02-04T00:00:00"/>
        <d v="2025-02-05T00:00:00"/>
        <d v="2025-02-06T00:00:00"/>
        <d v="2025-02-07T00:00:00"/>
        <d v="2025-02-08T00:00:00"/>
        <d v="2025-02-09T00:00:00"/>
        <d v="2025-02-10T00:00:00"/>
        <d v="2025-02-11T00:00:00"/>
        <d v="2025-02-12T00:00:00"/>
        <d v="2025-02-13T00:00:00"/>
        <d v="2025-02-14T00:00:00"/>
        <d v="2025-02-15T00:00:00"/>
        <d v="2025-02-16T00:00:00"/>
        <d v="2025-02-17T00:00:00"/>
        <d v="2025-02-18T00:00:00"/>
        <d v="2025-02-19T00:00:00"/>
        <d v="2025-02-20T00:00:00"/>
        <d v="2025-02-21T00:00:00"/>
        <d v="2025-02-22T00:00:00"/>
        <d v="2025-02-23T00:00:00"/>
        <d v="2025-02-24T00:00:00"/>
        <d v="2025-02-25T00:00:00"/>
        <d v="2025-02-26T00:00:00"/>
        <d v="2025-02-27T00:00:00"/>
        <d v="2025-02-28T00:00:00"/>
        <d v="2025-03-01T00:00:00"/>
        <d v="2025-03-02T00:00:00"/>
        <d v="2025-03-03T00:00:00"/>
        <d v="2025-03-04T00:00:00"/>
        <d v="2025-03-05T00:00:00"/>
        <d v="2025-03-06T00:00:00"/>
        <d v="2025-03-07T00:00:00"/>
        <d v="2025-03-08T00:00:00"/>
        <d v="2025-03-09T00:00:00"/>
        <d v="2025-03-10T00:00:00"/>
        <d v="2025-03-11T00:00:00"/>
        <d v="2025-03-12T00:00:00"/>
        <d v="2025-03-13T00:00:00"/>
        <d v="2025-03-14T00:00:00"/>
        <d v="2025-03-15T00:00:00"/>
        <d v="2025-03-16T00:00:00"/>
        <d v="2025-03-17T00:00:00"/>
        <d v="2025-03-18T00:00:00"/>
        <d v="2025-03-19T00:00:00"/>
        <d v="2025-03-20T00:00:00"/>
        <d v="2025-03-21T00:00:00"/>
        <d v="2025-03-22T00:00:00"/>
        <d v="2025-03-23T00:00:00"/>
        <d v="2025-03-24T00:00:00"/>
        <d v="2025-03-25T00:00:00"/>
        <d v="2025-03-26T00:00:00"/>
        <d v="2025-03-27T00:00:00"/>
        <d v="2025-03-28T00:00:00"/>
        <d v="2025-03-29T00:00:00"/>
        <d v="2025-03-30T00:00:00"/>
        <d v="2025-03-31T00:00:00"/>
        <d v="2025-04-01T00:00:00"/>
        <d v="2025-04-02T00:00:00"/>
        <d v="2025-04-03T00:00:00"/>
        <d v="2025-04-04T00:00:00"/>
        <d v="2025-04-05T00:00:00"/>
        <d v="2025-04-06T00:00:00"/>
        <d v="2025-04-07T00:00:00"/>
        <d v="2025-04-08T00:00:00"/>
        <d v="2025-04-09T00:00:00"/>
        <d v="2025-04-10T00:00:00"/>
        <d v="2025-04-11T00:00:00"/>
        <d v="2025-04-12T00:00:00"/>
        <d v="2025-04-13T00:00:00"/>
        <d v="2025-04-14T00:00:00"/>
        <d v="2025-04-15T00:00:00"/>
        <d v="2025-04-16T00:00:00"/>
        <d v="2025-04-17T00:00:00"/>
        <d v="2025-04-18T00:00:00"/>
        <d v="2025-04-19T00:00:00"/>
        <d v="2025-04-20T00:00:00"/>
        <d v="2025-04-21T00:00:00"/>
        <d v="2025-04-22T00:00:00"/>
        <d v="2025-04-23T00:00:00"/>
        <d v="2025-04-24T00:00:00"/>
        <d v="2025-04-25T00:00:00"/>
        <d v="2025-04-26T00:00:00"/>
        <d v="2025-04-27T00:00:00"/>
        <d v="2025-04-28T00:00:00"/>
        <d v="2025-04-29T00:00:00"/>
        <d v="2025-04-30T00:00:00"/>
        <d v="2025-05-01T00:00:00"/>
        <d v="2025-05-02T00:00:00"/>
        <d v="2025-05-03T00:00:00"/>
        <d v="2025-05-04T00:00:00"/>
        <d v="2025-05-05T00:00:00"/>
        <d v="2025-05-06T00:00:00"/>
        <d v="2025-05-07T00:00:00"/>
      </sharedItems>
    </cacheField>
    <cacheField name="[Tab_concat].[Dates (mois)].[Dates (mois)]" caption="Dates (mois)" numFmtId="0" hierarchy="20" level="1">
      <sharedItems containsNonDate="0" count="12">
        <s v="janv"/>
        <s v="févr"/>
        <s v="mars"/>
        <s v="avr"/>
        <s v="mai"/>
        <s v="juin"/>
        <s v="juil"/>
        <s v="août"/>
        <s v="sept"/>
        <s v="oct"/>
        <s v="nov"/>
        <s v="déc"/>
      </sharedItems>
    </cacheField>
    <cacheField name="[Tab_concat].[Dates (trimestre)].[Dates (trimestre)]" caption="Dates (trimestre)" numFmtId="0" hierarchy="19" level="1">
      <sharedItems containsNonDate="0" count="4">
        <s v="Trim1"/>
        <s v="Trim2"/>
        <s v="Trim3"/>
        <s v="Trim4"/>
      </sharedItems>
    </cacheField>
    <cacheField name="[Tab_concat].[Dates (année)].[Dates (année)]" caption="Dates (année)" numFmtId="0" hierarchy="18" level="1">
      <sharedItems count="1">
        <s v="2026"/>
      </sharedItems>
    </cacheField>
    <cacheField name="[Measures].[Conso_DJU]" caption="Conso_DJU" numFmtId="0" hierarchy="44" level="32767"/>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1"/>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0"/>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4"/>
      </fieldsUsage>
    </cacheHierarchy>
    <cacheHierarchy uniqueName="[Tab_concat].[Dates (trimestre)]" caption="Dates (trimestre)" attribute="1" defaultMemberUniqueName="[Tab_concat].[Dates (trimestre)].[All]" allUniqueName="[Tab_concat].[Dates (trimestre)].[All]" dimensionUniqueName="[Tab_concat]" displayFolder="" count="2" memberValueDatatype="130" unbalanced="0">
      <fieldsUsage count="2">
        <fieldUsage x="-1"/>
        <fieldUsage x="3"/>
      </fieldsUsage>
    </cacheHierarchy>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oneField="1">
      <fieldsUsage count="1">
        <fieldUsage x="5"/>
      </fieldsUsage>
    </cacheHierarchy>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105.435423842595" backgroundQuery="1" createdVersion="7" refreshedVersion="7" minRefreshableVersion="3" recordCount="0" supportSubquery="1" supportAdvancedDrill="1" xr:uid="{1A151777-536B-4AB9-A0F6-9716C2D5A1C1}">
  <cacheSource type="external" connectionId="11"/>
  <cacheFields count="5">
    <cacheField name="[Tab_concat].[Combustible].[Combustible]" caption="Combustible" numFmtId="0" hierarchy="9" level="1">
      <sharedItems count="1">
        <s v="Electricité (kWh)"/>
      </sharedItems>
    </cacheField>
    <cacheField name="[Measures].[Somme de Conso_kWh_PCI]" caption="Somme de Conso_kWh_PCI" numFmtId="0" hierarchy="33" level="32767"/>
    <cacheField name="[Tab_concat].[Annee].[Annee]" caption="Annee" numFmtId="0" hierarchy="15" level="1">
      <sharedItems containsSemiMixedTypes="0" containsNonDate="0" containsString="0"/>
    </cacheField>
    <cacheField name="[Tab_concat].[Type].[Type]" caption="Type" numFmtId="0" hierarchy="7" level="1">
      <sharedItems containsSemiMixedTypes="0" containsNonDate="0" containsString="0"/>
    </cacheField>
    <cacheField name="[Tab_concat].[Source].[Source]" caption="Source" numFmtId="0" hierarchy="8" level="1">
      <sharedItems containsSemiMixedTypes="0" containsNonDate="0" containsString="0"/>
    </cacheField>
  </cacheFields>
  <cacheHierarchies count="49">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Colonne2]" caption="Colonne2" attribute="1" defaultMemberUniqueName="[Tab_concat].[Colonne2].[All]" allUniqueName="[Tab_concat].[Colonne2].[All]" dimensionUniqueName="[Tab_concat]" displayFolder="" count="0" memberValueDatatype="13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3"/>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4"/>
      </fieldsUsage>
    </cacheHierarchy>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2"/>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Somme de Conso_kWh_PCI]" caption="Somme de Conso_kWh_PCI" measure="1" displayFolder="" measureGroup="Tab_concat" count="0" oneField="1">
      <fieldsUsage count="1">
        <fieldUsage x="1"/>
      </fieldsUsage>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extLst>
        <ext xmlns:x15="http://schemas.microsoft.com/office/spreadsheetml/2010/11/main" uri="{B97F6D7D-B522-45F9-BDA1-12C45D357490}">
          <x15:cacheHierarchy aggregatedColumn="17"/>
        </ext>
      </extLst>
    </cacheHierarchy>
    <cacheHierarchy uniqueName="[Measures].[Total distinct de Cout_unitaire]" caption="Total distinct de Cout_unitaire" measure="1" displayFolder="" measureGroup="Tab_concat" count="0">
      <extLst>
        <ext xmlns:x15="http://schemas.microsoft.com/office/spreadsheetml/2010/11/main" uri="{B97F6D7D-B522-45F9-BDA1-12C45D357490}">
          <x15:cacheHierarchy aggregatedColumn="17"/>
        </ext>
      </extLst>
    </cacheHierarchy>
    <cacheHierarchy uniqueName="[Measures].[Conso_DJU]" caption="Conso_DJU" measure="1" displayFolder="" measureGroup="Tab_concat" count="0"/>
    <cacheHierarchy uniqueName="[Measures].[Cout Unitaire Moyen]" caption="Cout Unitaire Moyen"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4">
  <r>
    <s v="Le Mans"/>
    <x v="0"/>
    <x v="0"/>
    <x v="0"/>
    <n v="382"/>
    <n v="0"/>
  </r>
  <r>
    <s v="Le Mans"/>
    <x v="0"/>
    <x v="1"/>
    <x v="1"/>
    <n v="322"/>
    <n v="0"/>
  </r>
  <r>
    <s v="Le Mans"/>
    <x v="0"/>
    <x v="2"/>
    <x v="2"/>
    <n v="259"/>
    <n v="0"/>
  </r>
  <r>
    <s v="Le Mans"/>
    <x v="0"/>
    <x v="3"/>
    <x v="3"/>
    <n v="246"/>
    <n v="1"/>
  </r>
  <r>
    <s v="Le Mans"/>
    <x v="0"/>
    <x v="4"/>
    <x v="4"/>
    <n v="106"/>
    <n v="37"/>
  </r>
  <r>
    <s v="Le Mans"/>
    <x v="0"/>
    <x v="5"/>
    <x v="5"/>
    <n v="70"/>
    <n v="60"/>
  </r>
  <r>
    <s v="Le Mans"/>
    <x v="0"/>
    <x v="6"/>
    <x v="6"/>
    <n v="33"/>
    <n v="92"/>
  </r>
  <r>
    <s v="Le Mans"/>
    <x v="0"/>
    <x v="7"/>
    <x v="7"/>
    <n v="30"/>
    <n v="99"/>
  </r>
  <r>
    <s v="Le Mans"/>
    <x v="0"/>
    <x v="8"/>
    <x v="8"/>
    <n v="115"/>
    <n v="11"/>
  </r>
  <r>
    <s v="Le Mans"/>
    <x v="0"/>
    <x v="9"/>
    <x v="9"/>
    <n v="87"/>
    <n v="15"/>
  </r>
  <r>
    <s v="Le Mans"/>
    <x v="0"/>
    <x v="10"/>
    <x v="10"/>
    <n v="330"/>
    <n v="0"/>
  </r>
  <r>
    <s v="Le Mans"/>
    <x v="0"/>
    <x v="11"/>
    <x v="11"/>
    <n v="443"/>
    <n v="0"/>
  </r>
  <r>
    <s v="Le Mans"/>
    <x v="1"/>
    <x v="0"/>
    <x v="0"/>
    <n v="342"/>
    <n v="0"/>
  </r>
  <r>
    <s v="Le Mans"/>
    <x v="1"/>
    <x v="1"/>
    <x v="1"/>
    <n v="262"/>
    <n v="0"/>
  </r>
  <r>
    <s v="Le Mans"/>
    <x v="1"/>
    <x v="2"/>
    <x v="2"/>
    <n v="281"/>
    <n v="0"/>
  </r>
  <r>
    <s v="Le Mans"/>
    <x v="1"/>
    <x v="3"/>
    <x v="3"/>
    <n v="202"/>
    <n v="5"/>
  </r>
  <r>
    <s v="Le Mans"/>
    <x v="1"/>
    <x v="4"/>
    <x v="4"/>
    <n v="147"/>
    <n v="14"/>
  </r>
  <r>
    <s v="Le Mans"/>
    <x v="1"/>
    <x v="5"/>
    <x v="5"/>
    <n v="59"/>
    <n v="55"/>
  </r>
  <r>
    <s v="Le Mans"/>
    <x v="1"/>
    <x v="6"/>
    <x v="6"/>
    <n v="50"/>
    <n v="67"/>
  </r>
  <r>
    <s v="Le Mans"/>
    <x v="1"/>
    <x v="7"/>
    <x v="7"/>
    <n v="39"/>
    <n v="63"/>
  </r>
  <r>
    <s v="Le Mans"/>
    <x v="1"/>
    <x v="8"/>
    <x v="8"/>
    <n v="92"/>
    <n v="27"/>
  </r>
  <r>
    <s v="Le Mans"/>
    <x v="1"/>
    <x v="9"/>
    <x v="9"/>
    <n v="158"/>
    <n v="3"/>
  </r>
  <r>
    <s v="Le Mans"/>
    <x v="1"/>
    <x v="10"/>
    <x v="10"/>
    <n v="249"/>
    <n v="0"/>
  </r>
  <r>
    <s v="Le Mans"/>
    <x v="1"/>
    <x v="11"/>
    <x v="11"/>
    <n v="314"/>
    <n v="0"/>
  </r>
  <r>
    <s v="Le Mans"/>
    <x v="2"/>
    <x v="0"/>
    <x v="0"/>
    <n v="451"/>
    <n v="0"/>
  </r>
  <r>
    <s v="Le Mans"/>
    <x v="2"/>
    <x v="1"/>
    <x v="1"/>
    <n v="368"/>
    <n v="0"/>
  </r>
  <r>
    <s v="Le Mans"/>
    <x v="2"/>
    <x v="2"/>
    <x v="2"/>
    <n v="234"/>
    <n v="4"/>
  </r>
  <r>
    <s v="Le Mans"/>
    <x v="2"/>
    <x v="3"/>
    <x v="3"/>
    <n v="198"/>
    <n v="13"/>
  </r>
  <r>
    <s v="Le Mans"/>
    <x v="2"/>
    <x v="4"/>
    <x v="4"/>
    <n v="127"/>
    <n v="24"/>
  </r>
  <r>
    <s v="Le Mans"/>
    <x v="2"/>
    <x v="5"/>
    <x v="5"/>
    <n v="18"/>
    <n v="112"/>
  </r>
  <r>
    <s v="Le Mans"/>
    <x v="2"/>
    <x v="6"/>
    <x v="6"/>
    <n v="22"/>
    <n v="102"/>
  </r>
  <r>
    <s v="Le Mans"/>
    <x v="2"/>
    <x v="7"/>
    <x v="7"/>
    <n v="17"/>
    <n v="205"/>
  </r>
  <r>
    <s v="Le Mans"/>
    <x v="2"/>
    <x v="8"/>
    <x v="8"/>
    <n v="78"/>
    <n v="52"/>
  </r>
  <r>
    <s v="Le Mans"/>
    <x v="2"/>
    <x v="9"/>
    <x v="9"/>
    <n v="234"/>
    <n v="5"/>
  </r>
  <r>
    <s v="Le Mans"/>
    <x v="2"/>
    <x v="10"/>
    <x v="10"/>
    <n v="257"/>
    <n v="0"/>
  </r>
  <r>
    <s v="Le Mans"/>
    <x v="2"/>
    <x v="11"/>
    <x v="11"/>
    <n v="380"/>
    <n v="0"/>
  </r>
  <r>
    <s v="Le Mans"/>
    <x v="3"/>
    <x v="0"/>
    <x v="0"/>
    <n v="372"/>
    <n v="0"/>
  </r>
  <r>
    <s v="Le Mans"/>
    <x v="3"/>
    <x v="1"/>
    <x v="1"/>
    <n v="346"/>
    <n v="0"/>
  </r>
  <r>
    <s v="Le Mans"/>
    <x v="3"/>
    <x v="2"/>
    <x v="2"/>
    <n v="335"/>
    <n v="2"/>
  </r>
  <r>
    <s v="Le Mans"/>
    <x v="3"/>
    <x v="3"/>
    <x v="3"/>
    <n v="210"/>
    <n v="3"/>
  </r>
  <r>
    <s v="Le Mans"/>
    <x v="3"/>
    <x v="4"/>
    <x v="4"/>
    <n v="141"/>
    <n v="23"/>
  </r>
  <r>
    <s v="Le Mans"/>
    <x v="3"/>
    <x v="5"/>
    <x v="5"/>
    <n v="53"/>
    <n v="71"/>
  </r>
  <r>
    <s v="Le Mans"/>
    <x v="3"/>
    <x v="6"/>
    <x v="6"/>
    <n v="41"/>
    <n v="80"/>
  </r>
  <r>
    <s v="Le Mans"/>
    <x v="3"/>
    <x v="7"/>
    <x v="7"/>
    <n v="25"/>
    <n v="96"/>
  </r>
  <r>
    <s v="Le Mans"/>
    <x v="3"/>
    <x v="8"/>
    <x v="8"/>
    <n v="71"/>
    <n v="60"/>
  </r>
  <r>
    <s v="Le Mans"/>
    <x v="3"/>
    <x v="9"/>
    <x v="9"/>
    <n v="156"/>
    <n v="6"/>
  </r>
  <r>
    <s v="Le Mans"/>
    <x v="3"/>
    <x v="10"/>
    <x v="10"/>
    <n v="298"/>
    <n v="0"/>
  </r>
  <r>
    <s v="Le Mans"/>
    <x v="3"/>
    <x v="11"/>
    <x v="11"/>
    <n v="424"/>
    <n v="0"/>
  </r>
  <r>
    <s v="Le Mans"/>
    <x v="4"/>
    <x v="0"/>
    <x v="0"/>
    <n v="363"/>
    <n v="0"/>
  </r>
  <r>
    <s v="Le Mans"/>
    <x v="4"/>
    <x v="1"/>
    <x v="1"/>
    <n v="386"/>
    <n v="0"/>
  </r>
  <r>
    <s v="Le Mans"/>
    <x v="4"/>
    <x v="2"/>
    <x v="2"/>
    <n v="312"/>
    <n v="4"/>
  </r>
  <r>
    <s v="Le Mans"/>
    <x v="4"/>
    <x v="3"/>
    <x v="3"/>
    <n v="206"/>
    <n v="5"/>
  </r>
  <r>
    <s v="Le Mans"/>
    <x v="4"/>
    <x v="4"/>
    <x v="4"/>
    <n v="129"/>
    <n v="25"/>
  </r>
  <r>
    <s v="Le Mans"/>
    <x v="4"/>
    <x v="5"/>
    <x v="5"/>
    <n v="47"/>
    <n v="111"/>
  </r>
  <r>
    <s v="Le Mans"/>
    <x v="4"/>
    <x v="6"/>
    <x v="6"/>
    <n v="23"/>
    <n v="102"/>
  </r>
  <r>
    <s v="Le Mans"/>
    <x v="4"/>
    <x v="7"/>
    <x v="7"/>
    <n v="52"/>
    <n v="81"/>
  </r>
  <r>
    <s v="Le Mans"/>
    <x v="4"/>
    <x v="8"/>
    <x v="8"/>
    <n v="69"/>
    <n v="61"/>
  </r>
  <r>
    <s v="Le Mans"/>
    <x v="4"/>
    <x v="9"/>
    <x v="9"/>
    <n v="74"/>
    <n v="25"/>
  </r>
  <r>
    <s v="Le Mans"/>
    <x v="4"/>
    <x v="10"/>
    <x v="10"/>
    <n v="327"/>
    <n v="0"/>
  </r>
  <r>
    <s v="Le Mans"/>
    <x v="4"/>
    <x v="11"/>
    <x v="11"/>
    <n v="440"/>
    <n v="0"/>
  </r>
  <r>
    <s v="Le Mans"/>
    <x v="5"/>
    <x v="0"/>
    <x v="0"/>
    <n v="432"/>
    <n v="0"/>
  </r>
  <r>
    <s v="Le Mans"/>
    <x v="5"/>
    <x v="1"/>
    <x v="1"/>
    <n v="396"/>
    <n v="0"/>
  </r>
  <r>
    <s v="Le Mans"/>
    <x v="5"/>
    <x v="2"/>
    <x v="2"/>
    <n v="331"/>
    <n v="1"/>
  </r>
  <r>
    <s v="Le Mans"/>
    <x v="5"/>
    <x v="3"/>
    <x v="3"/>
    <n v="217"/>
    <n v="5"/>
  </r>
  <r>
    <s v="Le Mans"/>
    <x v="5"/>
    <x v="4"/>
    <x v="4"/>
    <n v="114"/>
    <n v="20"/>
  </r>
  <r>
    <s v="Le Mans"/>
    <x v="5"/>
    <x v="5"/>
    <x v="5"/>
    <n v="42"/>
    <n v="93"/>
  </r>
  <r>
    <s v="Le Mans"/>
    <x v="5"/>
    <x v="6"/>
    <x v="6"/>
    <n v="5"/>
    <n v="193"/>
  </r>
  <r>
    <s v="Le Mans"/>
    <x v="5"/>
    <x v="7"/>
    <x v="7"/>
    <n v="51"/>
    <n v="53"/>
  </r>
  <r>
    <s v="Le Mans"/>
    <x v="5"/>
    <x v="8"/>
    <x v="8"/>
    <n v="33"/>
    <n v="81"/>
  </r>
  <r>
    <s v="Le Mans"/>
    <x v="5"/>
    <x v="9"/>
    <x v="9"/>
    <n v="95"/>
    <n v="8"/>
  </r>
  <r>
    <s v="Le Mans"/>
    <x v="5"/>
    <x v="10"/>
    <x v="10"/>
    <n v="252"/>
    <n v="0"/>
  </r>
  <r>
    <s v="Le Mans"/>
    <x v="5"/>
    <x v="11"/>
    <x v="11"/>
    <n v="387"/>
    <n v="0"/>
  </r>
  <r>
    <s v="Le Mans"/>
    <x v="6"/>
    <x v="0"/>
    <x v="0"/>
    <n v="320"/>
    <n v="0"/>
  </r>
  <r>
    <s v="Le Mans"/>
    <x v="6"/>
    <x v="1"/>
    <x v="1"/>
    <n v="263"/>
    <n v="0"/>
  </r>
  <r>
    <s v="Le Mans"/>
    <x v="6"/>
    <x v="2"/>
    <x v="2"/>
    <n v="309"/>
    <n v="0"/>
  </r>
  <r>
    <s v="Le Mans"/>
    <x v="6"/>
    <x v="3"/>
    <x v="3"/>
    <n v="123"/>
    <n v="32"/>
  </r>
  <r>
    <s v="Le Mans"/>
    <x v="6"/>
    <x v="4"/>
    <x v="4"/>
    <n v="94"/>
    <n v="21"/>
  </r>
  <r>
    <s v="Le Mans"/>
    <x v="6"/>
    <x v="5"/>
    <x v="5"/>
    <n v="47"/>
    <n v="46"/>
  </r>
  <r>
    <s v="Le Mans"/>
    <x v="6"/>
    <x v="6"/>
    <x v="6"/>
    <n v="42"/>
    <n v="51"/>
  </r>
  <r>
    <s v="Le Mans"/>
    <x v="6"/>
    <x v="7"/>
    <x v="7"/>
    <n v="47"/>
    <n v="48"/>
  </r>
  <r>
    <s v="Le Mans"/>
    <x v="6"/>
    <x v="8"/>
    <x v="8"/>
    <n v="109"/>
    <n v="24"/>
  </r>
  <r>
    <s v="Le Mans"/>
    <x v="6"/>
    <x v="9"/>
    <x v="9"/>
    <n v="188"/>
    <n v="7"/>
  </r>
  <r>
    <s v="Le Mans"/>
    <x v="6"/>
    <x v="10"/>
    <x v="10"/>
    <n v="316"/>
    <n v="0"/>
  </r>
  <r>
    <s v="Le Mans"/>
    <x v="6"/>
    <x v="11"/>
    <x v="11"/>
    <n v="403"/>
    <n v="0"/>
  </r>
  <r>
    <s v="Le Mans"/>
    <x v="7"/>
    <x v="0"/>
    <x v="0"/>
    <n v="337"/>
    <n v="0"/>
  </r>
  <r>
    <s v="Le Mans"/>
    <x v="7"/>
    <x v="1"/>
    <x v="1"/>
    <n v="302"/>
    <n v="0"/>
  </r>
  <r>
    <s v="Le Mans"/>
    <x v="7"/>
    <x v="2"/>
    <x v="2"/>
    <n v="305"/>
    <n v="0"/>
  </r>
  <r>
    <s v="Le Mans"/>
    <x v="7"/>
    <x v="3"/>
    <x v="3"/>
    <n v="239"/>
    <n v="3"/>
  </r>
  <r>
    <s v="Le Mans"/>
    <x v="7"/>
    <x v="4"/>
    <x v="4"/>
    <n v="84"/>
    <n v="37"/>
  </r>
  <r>
    <s v="Le Mans"/>
    <x v="7"/>
    <x v="5"/>
    <x v="5"/>
    <n v="57"/>
    <n v="55"/>
  </r>
  <r>
    <s v="Le Mans"/>
    <x v="7"/>
    <x v="6"/>
    <x v="6"/>
    <n v="40"/>
    <n v="82"/>
  </r>
  <r>
    <s v="Le Mans"/>
    <x v="7"/>
    <x v="7"/>
    <x v="7"/>
    <n v="41"/>
    <n v="64"/>
  </r>
  <r>
    <s v="Le Mans"/>
    <x v="7"/>
    <x v="8"/>
    <x v="8"/>
    <n v="107"/>
    <n v="16"/>
  </r>
  <r>
    <s v="Le Mans"/>
    <x v="7"/>
    <x v="9"/>
    <x v="9"/>
    <n v="211"/>
    <n v="5"/>
  </r>
  <r>
    <s v="Le Mans"/>
    <x v="7"/>
    <x v="10"/>
    <x v="10"/>
    <n v="284"/>
    <n v="0"/>
  </r>
  <r>
    <s v="Le Mans"/>
    <x v="7"/>
    <x v="11"/>
    <x v="11"/>
    <n v="429"/>
    <n v="0"/>
  </r>
  <r>
    <s v="Le Mans"/>
    <x v="8"/>
    <x v="0"/>
    <x v="0"/>
    <n v="492"/>
    <n v="0"/>
  </r>
  <r>
    <s v="Le Mans"/>
    <x v="8"/>
    <x v="1"/>
    <x v="1"/>
    <n v="371"/>
    <n v="0"/>
  </r>
  <r>
    <s v="Le Mans"/>
    <x v="8"/>
    <x v="2"/>
    <x v="2"/>
    <n v="310"/>
    <n v="0"/>
  </r>
  <r>
    <s v="Le Mans"/>
    <x v="8"/>
    <x v="3"/>
    <x v="3"/>
    <n v="184"/>
    <n v="3"/>
  </r>
  <r>
    <s v="Le Mans"/>
    <x v="8"/>
    <x v="4"/>
    <x v="4"/>
    <n v="106"/>
    <n v="26"/>
  </r>
  <r>
    <s v="Le Mans"/>
    <x v="8"/>
    <x v="5"/>
    <x v="5"/>
    <n v="59"/>
    <n v="65"/>
  </r>
  <r>
    <s v="Le Mans"/>
    <x v="8"/>
    <x v="6"/>
    <x v="6"/>
    <n v="35"/>
    <n v="89"/>
  </r>
  <r>
    <s v="Le Mans"/>
    <x v="8"/>
    <x v="7"/>
    <x v="7"/>
    <n v="27"/>
    <n v="118"/>
  </r>
  <r>
    <s v="Le Mans"/>
    <x v="8"/>
    <x v="8"/>
    <x v="8"/>
    <n v="64"/>
    <n v="46"/>
  </r>
  <r>
    <s v="Le Mans"/>
    <x v="8"/>
    <x v="9"/>
    <x v="9"/>
    <n v="164"/>
    <n v="12"/>
  </r>
  <r>
    <s v="Le Mans"/>
    <x v="8"/>
    <x v="10"/>
    <x v="10"/>
    <n v="222"/>
    <n v="0"/>
  </r>
  <r>
    <s v="Le Mans"/>
    <x v="8"/>
    <x v="11"/>
    <x v="11"/>
    <n v="414"/>
    <n v="0"/>
  </r>
  <r>
    <s v="Le Mans"/>
    <x v="9"/>
    <x v="0"/>
    <x v="0"/>
    <n v="501"/>
    <n v="0"/>
  </r>
  <r>
    <s v="Le Mans"/>
    <x v="9"/>
    <x v="1"/>
    <x v="1"/>
    <n v="370"/>
    <n v="0"/>
  </r>
  <r>
    <s v="Le Mans"/>
    <x v="9"/>
    <x v="2"/>
    <x v="2"/>
    <n v="312"/>
    <n v="1"/>
  </r>
  <r>
    <s v="Le Mans"/>
    <x v="9"/>
    <x v="3"/>
    <x v="3"/>
    <n v="199"/>
    <n v="11"/>
  </r>
  <r>
    <s v="Le Mans"/>
    <x v="9"/>
    <x v="4"/>
    <x v="4"/>
    <n v="155"/>
    <n v="22"/>
  </r>
  <r>
    <s v="Le Mans"/>
    <x v="9"/>
    <x v="5"/>
    <x v="5"/>
    <n v="46"/>
    <n v="66"/>
  </r>
  <r>
    <s v="Le Mans"/>
    <x v="9"/>
    <x v="6"/>
    <x v="6"/>
    <n v="22"/>
    <n v="129"/>
  </r>
  <r>
    <s v="Le Mans"/>
    <x v="9"/>
    <x v="7"/>
    <x v="7"/>
    <n v="41"/>
    <n v="73"/>
  </r>
  <r>
    <s v="Le Mans"/>
    <x v="9"/>
    <x v="8"/>
    <x v="8"/>
    <n v="95"/>
    <n v="38"/>
  </r>
  <r>
    <s v="Le Mans"/>
    <x v="9"/>
    <x v="9"/>
    <x v="9"/>
    <n v="190"/>
    <n v="10"/>
  </r>
  <r>
    <s v="Le Mans"/>
    <x v="9"/>
    <x v="10"/>
    <x v="10"/>
    <n v="320"/>
    <n v="0"/>
  </r>
  <r>
    <s v="Le Mans"/>
    <x v="9"/>
    <x v="11"/>
    <x v="11"/>
    <n v="500"/>
    <n v="0"/>
  </r>
  <r>
    <s v="Le Mans"/>
    <x v="10"/>
    <x v="0"/>
    <x v="0"/>
    <n v="392"/>
    <n v="0"/>
  </r>
  <r>
    <s v="Le Mans"/>
    <x v="10"/>
    <x v="1"/>
    <x v="1"/>
    <n v="298"/>
    <n v="0"/>
  </r>
  <r>
    <s v="Le Mans"/>
    <x v="10"/>
    <x v="2"/>
    <x v="2"/>
    <n v="265"/>
    <n v="2"/>
  </r>
  <r>
    <s v="Le Mans"/>
    <x v="10"/>
    <x v="3"/>
    <x v="3"/>
    <n v="136"/>
    <n v="29"/>
  </r>
  <r>
    <s v="Le Mans"/>
    <x v="10"/>
    <x v="4"/>
    <x v="4"/>
    <n v="92"/>
    <n v="38"/>
  </r>
  <r>
    <s v="Le Mans"/>
    <x v="10"/>
    <x v="5"/>
    <x v="5"/>
    <n v="56"/>
    <n v="63"/>
  </r>
  <r>
    <s v="Le Mans"/>
    <x v="10"/>
    <x v="6"/>
    <x v="6"/>
    <n v="51"/>
    <n v="54"/>
  </r>
  <r>
    <s v="Le Mans"/>
    <x v="10"/>
    <x v="7"/>
    <x v="7"/>
    <n v="35"/>
    <n v="81"/>
  </r>
  <r>
    <s v="Le Mans"/>
    <x v="10"/>
    <x v="8"/>
    <x v="8"/>
    <n v="53"/>
    <n v="57"/>
  </r>
  <r>
    <s v="Le Mans"/>
    <x v="10"/>
    <x v="9"/>
    <x v="9"/>
    <n v="145"/>
    <n v="17"/>
  </r>
  <r>
    <s v="Le Mans"/>
    <x v="10"/>
    <x v="10"/>
    <x v="10"/>
    <n v="204"/>
    <n v="0"/>
  </r>
  <r>
    <s v="Le Mans"/>
    <x v="10"/>
    <x v="11"/>
    <x v="11"/>
    <n v="307"/>
    <n v="0"/>
  </r>
  <r>
    <s v="Le Mans"/>
    <x v="11"/>
    <x v="0"/>
    <x v="0"/>
    <n v="347"/>
    <n v="0"/>
  </r>
  <r>
    <s v="Le Mans"/>
    <x v="11"/>
    <x v="1"/>
    <x v="1"/>
    <n v="469"/>
    <n v="0"/>
  </r>
  <r>
    <s v="Le Mans"/>
    <x v="11"/>
    <x v="2"/>
    <x v="2"/>
    <n v="247"/>
    <n v="8"/>
  </r>
  <r>
    <s v="Le Mans"/>
    <x v="11"/>
    <x v="3"/>
    <x v="3"/>
    <n v="253"/>
    <n v="0"/>
  </r>
  <r>
    <s v="Le Mans"/>
    <x v="11"/>
    <x v="4"/>
    <x v="4"/>
    <n v="114"/>
    <n v="35"/>
  </r>
  <r>
    <s v="Le Mans"/>
    <x v="11"/>
    <x v="5"/>
    <x v="5"/>
    <n v="59"/>
    <n v="40"/>
  </r>
  <r>
    <s v="Le Mans"/>
    <x v="11"/>
    <x v="6"/>
    <x v="6"/>
    <n v="49"/>
    <n v="62"/>
  </r>
  <r>
    <s v="Le Mans"/>
    <x v="11"/>
    <x v="7"/>
    <x v="7"/>
    <n v="28"/>
    <n v="105"/>
  </r>
  <r>
    <s v="Le Mans"/>
    <x v="11"/>
    <x v="8"/>
    <x v="8"/>
    <n v="102"/>
    <n v="35"/>
  </r>
  <r>
    <s v="Le Mans"/>
    <x v="11"/>
    <x v="9"/>
    <x v="9"/>
    <n v="161"/>
    <n v="4"/>
  </r>
  <r>
    <s v="Le Mans"/>
    <x v="11"/>
    <x v="10"/>
    <x v="10"/>
    <n v="297"/>
    <n v="0"/>
  </r>
  <r>
    <s v="Le Mans"/>
    <x v="11"/>
    <x v="11"/>
    <x v="11"/>
    <n v="333"/>
    <n v="0"/>
  </r>
  <r>
    <s v="Le Mans"/>
    <x v="12"/>
    <x v="0"/>
    <x v="0"/>
    <n v="409"/>
    <n v="0"/>
  </r>
  <r>
    <s v="Le Mans"/>
    <x v="12"/>
    <x v="1"/>
    <x v="1"/>
    <n v="388"/>
    <n v="0"/>
  </r>
  <r>
    <s v="Le Mans"/>
    <x v="12"/>
    <x v="2"/>
    <x v="2"/>
    <n v="359"/>
    <n v="0"/>
  </r>
  <r>
    <s v="Le Mans"/>
    <x v="12"/>
    <x v="3"/>
    <x v="3"/>
    <n v="247"/>
    <n v="8"/>
  </r>
  <r>
    <s v="Le Mans"/>
    <x v="12"/>
    <x v="4"/>
    <x v="4"/>
    <n v="175"/>
    <n v="4"/>
  </r>
  <r>
    <s v="Le Mans"/>
    <x v="12"/>
    <x v="5"/>
    <x v="5"/>
    <n v="68"/>
    <n v="38"/>
  </r>
  <r>
    <s v="Le Mans"/>
    <x v="12"/>
    <x v="6"/>
    <x v="6"/>
    <n v="13"/>
    <n v="152"/>
  </r>
  <r>
    <s v="Le Mans"/>
    <x v="12"/>
    <x v="7"/>
    <x v="7"/>
    <n v="38"/>
    <n v="97"/>
  </r>
  <r>
    <s v="Le Mans"/>
    <x v="12"/>
    <x v="8"/>
    <x v="8"/>
    <n v="69"/>
    <n v="44"/>
  </r>
  <r>
    <s v="Le Mans"/>
    <x v="12"/>
    <x v="9"/>
    <x v="9"/>
    <n v="122"/>
    <n v="11"/>
  </r>
  <r>
    <s v="Le Mans"/>
    <x v="12"/>
    <x v="10"/>
    <x v="10"/>
    <n v="308"/>
    <n v="0"/>
  </r>
  <r>
    <s v="Le Mans"/>
    <x v="12"/>
    <x v="11"/>
    <x v="11"/>
    <n v="380"/>
    <n v="0"/>
  </r>
  <r>
    <s v="Le Mans"/>
    <x v="13"/>
    <x v="0"/>
    <x v="0"/>
    <n v="320"/>
    <n v="0"/>
  </r>
  <r>
    <s v="Le Mans"/>
    <x v="13"/>
    <x v="1"/>
    <x v="1"/>
    <n v="280"/>
    <n v="0"/>
  </r>
  <r>
    <s v="Le Mans"/>
    <x v="13"/>
    <x v="2"/>
    <x v="2"/>
    <n v="264"/>
    <n v="3"/>
  </r>
  <r>
    <s v="Le Mans"/>
    <x v="13"/>
    <x v="3"/>
    <x v="3"/>
    <n v="174"/>
    <n v="4"/>
  </r>
  <r>
    <s v="Le Mans"/>
    <x v="13"/>
    <x v="4"/>
    <x v="4"/>
    <n v="133"/>
    <n v="11"/>
  </r>
  <r>
    <s v="Le Mans"/>
    <x v="13"/>
    <x v="5"/>
    <x v="5"/>
    <n v="48"/>
    <n v="62"/>
  </r>
  <r>
    <s v="Le Mans"/>
    <x v="13"/>
    <x v="6"/>
    <x v="6"/>
    <n v="22"/>
    <n v="106"/>
  </r>
  <r>
    <s v="Le Mans"/>
    <x v="13"/>
    <x v="7"/>
    <x v="7"/>
    <n v="52"/>
    <n v="48"/>
  </r>
  <r>
    <s v="Le Mans"/>
    <x v="13"/>
    <x v="8"/>
    <x v="8"/>
    <n v="54"/>
    <n v="64"/>
  </r>
  <r>
    <s v="Le Mans"/>
    <x v="13"/>
    <x v="9"/>
    <x v="9"/>
    <n v="124"/>
    <n v="17"/>
  </r>
  <r>
    <s v="Le Mans"/>
    <x v="13"/>
    <x v="10"/>
    <x v="10"/>
    <n v="219"/>
    <n v="0"/>
  </r>
  <r>
    <s v="Le Mans"/>
    <x v="13"/>
    <x v="11"/>
    <x v="11"/>
    <n v="374"/>
    <n v="0"/>
  </r>
  <r>
    <s v="Le Mans"/>
    <x v="14"/>
    <x v="0"/>
    <x v="0"/>
    <n v="391"/>
    <n v="0"/>
  </r>
  <r>
    <s v="Le Mans"/>
    <x v="14"/>
    <x v="1"/>
    <x v="1"/>
    <n v="366"/>
    <n v="0"/>
  </r>
  <r>
    <s v="Le Mans"/>
    <x v="14"/>
    <x v="2"/>
    <x v="2"/>
    <n v="300"/>
    <n v="0"/>
  </r>
  <r>
    <s v="Le Mans"/>
    <x v="14"/>
    <x v="3"/>
    <x v="3"/>
    <n v="166"/>
    <n v="17"/>
  </r>
  <r>
    <s v="Le Mans"/>
    <x v="14"/>
    <x v="4"/>
    <x v="4"/>
    <n v="120"/>
    <n v="16"/>
  </r>
  <r>
    <s v="Le Mans"/>
    <x v="14"/>
    <x v="5"/>
    <x v="5"/>
    <n v="52"/>
    <n v="76"/>
  </r>
  <r>
    <s v="Le Mans"/>
    <x v="14"/>
    <x v="6"/>
    <x v="6"/>
    <n v="29"/>
    <n v="127"/>
  </r>
  <r>
    <s v="Le Mans"/>
    <x v="14"/>
    <x v="7"/>
    <x v="7"/>
    <n v="32"/>
    <n v="115"/>
  </r>
  <r>
    <s v="Le Mans"/>
    <x v="14"/>
    <x v="8"/>
    <x v="8"/>
    <n v="97"/>
    <n v="17"/>
  </r>
  <r>
    <s v="Le Mans"/>
    <x v="14"/>
    <x v="9"/>
    <x v="9"/>
    <n v="181"/>
    <n v="3"/>
  </r>
  <r>
    <s v="Le Mans"/>
    <x v="14"/>
    <x v="10"/>
    <x v="10"/>
    <n v="191"/>
    <n v="3"/>
  </r>
  <r>
    <s v="Le Mans"/>
    <x v="14"/>
    <x v="11"/>
    <x v="11"/>
    <n v="258"/>
    <n v="0"/>
  </r>
  <r>
    <s v="Le Mans"/>
    <x v="15"/>
    <x v="0"/>
    <x v="0"/>
    <n v="348"/>
    <n v="0"/>
  </r>
  <r>
    <s v="Le Mans"/>
    <x v="15"/>
    <x v="1"/>
    <x v="1"/>
    <n v="319"/>
    <n v="0"/>
  </r>
  <r>
    <s v="Le Mans"/>
    <x v="15"/>
    <x v="2"/>
    <x v="2"/>
    <n v="328"/>
    <n v="0"/>
  </r>
  <r>
    <s v="Le Mans"/>
    <x v="15"/>
    <x v="3"/>
    <x v="3"/>
    <n v="252"/>
    <n v="2"/>
  </r>
  <r>
    <s v="Le Mans"/>
    <x v="15"/>
    <x v="4"/>
    <x v="4"/>
    <n v="126"/>
    <n v="19"/>
  </r>
  <r>
    <s v="Le Mans"/>
    <x v="15"/>
    <x v="5"/>
    <x v="5"/>
    <n v="48"/>
    <n v="42"/>
  </r>
  <r>
    <s v="Le Mans"/>
    <x v="15"/>
    <x v="6"/>
    <x v="6"/>
    <n v="32"/>
    <n v="107"/>
  </r>
  <r>
    <s v="Le Mans"/>
    <x v="15"/>
    <x v="7"/>
    <x v="7"/>
    <n v="34"/>
    <n v="131"/>
  </r>
  <r>
    <s v="Le Mans"/>
    <x v="15"/>
    <x v="8"/>
    <x v="8"/>
    <n v="43"/>
    <n v="78"/>
  </r>
  <r>
    <s v="Le Mans"/>
    <x v="15"/>
    <x v="9"/>
    <x v="9"/>
    <n v="202"/>
    <n v="2"/>
  </r>
  <r>
    <s v="Le Mans"/>
    <x v="15"/>
    <x v="10"/>
    <x v="10"/>
    <n v="289"/>
    <n v="0"/>
  </r>
  <r>
    <s v="Le Mans"/>
    <x v="15"/>
    <x v="11"/>
    <x v="11"/>
    <n v="400"/>
    <n v="0"/>
  </r>
  <r>
    <s v="Le Mans"/>
    <x v="16"/>
    <x v="0"/>
    <x v="0"/>
    <n v="455"/>
    <n v="0"/>
  </r>
  <r>
    <s v="Le Mans"/>
    <x v="16"/>
    <x v="1"/>
    <x v="1"/>
    <n v="288"/>
    <n v="0"/>
  </r>
  <r>
    <s v="Le Mans"/>
    <x v="16"/>
    <x v="2"/>
    <x v="2"/>
    <n v="224"/>
    <n v="4"/>
  </r>
  <r>
    <s v="Le Mans"/>
    <x v="16"/>
    <x v="3"/>
    <x v="3"/>
    <n v="227"/>
    <n v="5"/>
  </r>
  <r>
    <s v="Le Mans"/>
    <x v="16"/>
    <x v="4"/>
    <x v="4"/>
    <n v="98"/>
    <n v="49"/>
  </r>
  <r>
    <s v="Le Mans"/>
    <x v="16"/>
    <x v="5"/>
    <x v="5"/>
    <n v="30"/>
    <n v="118"/>
  </r>
  <r>
    <s v="Le Mans"/>
    <x v="16"/>
    <x v="6"/>
    <x v="6"/>
    <n v="23"/>
    <n v="112"/>
  </r>
  <r>
    <s v="Le Mans"/>
    <x v="16"/>
    <x v="7"/>
    <x v="7"/>
    <n v="32"/>
    <n v="100"/>
  </r>
  <r>
    <s v="Le Mans"/>
    <x v="16"/>
    <x v="8"/>
    <x v="8"/>
    <n v="82"/>
    <n v="19"/>
  </r>
  <r>
    <s v="Le Mans"/>
    <x v="16"/>
    <x v="9"/>
    <x v="9"/>
    <n v="126"/>
    <n v="14"/>
  </r>
  <r>
    <s v="Le Mans"/>
    <x v="16"/>
    <x v="10"/>
    <x v="10"/>
    <n v="288"/>
    <n v="0"/>
  </r>
  <r>
    <s v="Le Mans"/>
    <x v="16"/>
    <x v="11"/>
    <x v="11"/>
    <n v="365"/>
    <n v="0"/>
  </r>
  <r>
    <s v="Le Mans"/>
    <x v="17"/>
    <x v="0"/>
    <x v="0"/>
    <n v="298"/>
    <n v="0"/>
  </r>
  <r>
    <s v="Le Mans"/>
    <x v="17"/>
    <x v="1"/>
    <x v="1"/>
    <n v="414"/>
    <n v="0"/>
  </r>
  <r>
    <s v="Le Mans"/>
    <x v="17"/>
    <x v="2"/>
    <x v="2"/>
    <n v="305"/>
    <n v="0"/>
  </r>
  <r>
    <s v="Le Mans"/>
    <x v="17"/>
    <x v="3"/>
    <x v="3"/>
    <n v="152"/>
    <n v="20"/>
  </r>
  <r>
    <s v="Le Mans"/>
    <x v="17"/>
    <x v="4"/>
    <x v="4"/>
    <n v="96"/>
    <n v="49"/>
  </r>
  <r>
    <s v="Le Mans"/>
    <x v="17"/>
    <x v="5"/>
    <x v="5"/>
    <n v="25"/>
    <n v="82"/>
  </r>
  <r>
    <s v="Le Mans"/>
    <x v="17"/>
    <x v="6"/>
    <x v="6"/>
    <n v="6"/>
    <n v="169"/>
  </r>
  <r>
    <s v="Le Mans"/>
    <x v="17"/>
    <x v="7"/>
    <x v="7"/>
    <n v="26"/>
    <n v="126"/>
  </r>
  <r>
    <s v="Le Mans"/>
    <x v="17"/>
    <x v="8"/>
    <x v="8"/>
    <n v="73"/>
    <n v="59"/>
  </r>
  <r>
    <s v="Le Mans"/>
    <x v="17"/>
    <x v="9"/>
    <x v="9"/>
    <n v="157"/>
    <n v="24"/>
  </r>
  <r>
    <s v="Le Mans"/>
    <x v="17"/>
    <x v="10"/>
    <x v="10"/>
    <n v="277"/>
    <n v="0"/>
  </r>
  <r>
    <s v="Le Mans"/>
    <x v="17"/>
    <x v="11"/>
    <x v="11"/>
    <n v="318"/>
    <n v="0"/>
  </r>
  <r>
    <s v="Le Mans"/>
    <x v="18"/>
    <x v="0"/>
    <x v="0"/>
    <n v="402"/>
    <n v="0"/>
  </r>
  <r>
    <s v="Le Mans"/>
    <x v="18"/>
    <x v="1"/>
    <x v="1"/>
    <n v="297"/>
    <n v="1"/>
  </r>
  <r>
    <s v="Le Mans"/>
    <x v="18"/>
    <x v="2"/>
    <x v="2"/>
    <n v="260"/>
    <n v="1"/>
  </r>
  <r>
    <s v="Le Mans"/>
    <x v="18"/>
    <x v="3"/>
    <x v="3"/>
    <n v="201"/>
    <n v="12"/>
  </r>
  <r>
    <s v="Le Mans"/>
    <x v="18"/>
    <x v="4"/>
    <x v="4"/>
    <n v="146"/>
    <n v="14"/>
  </r>
  <r>
    <s v="Le Mans"/>
    <x v="18"/>
    <x v="5"/>
    <x v="5"/>
    <n v="54"/>
    <n v="102"/>
  </r>
  <r>
    <s v="Le Mans"/>
    <x v="18"/>
    <x v="6"/>
    <x v="6"/>
    <n v="16"/>
    <n v="158"/>
  </r>
  <r>
    <s v="Le Mans"/>
    <x v="18"/>
    <x v="7"/>
    <x v="7"/>
    <n v="30"/>
    <n v="108"/>
  </r>
  <r>
    <s v="Le Mans"/>
    <x v="18"/>
    <x v="8"/>
    <x v="8"/>
    <n v="65"/>
    <n v="47"/>
  </r>
  <r>
    <s v="Le Mans"/>
    <x v="18"/>
    <x v="9"/>
    <x v="9"/>
    <n v="128"/>
    <n v="9"/>
  </r>
  <r>
    <s v="Le Mans"/>
    <x v="18"/>
    <x v="10"/>
    <x v="10"/>
    <n v="292"/>
    <n v="0"/>
  </r>
  <r>
    <s v="Le Mans"/>
    <x v="18"/>
    <x v="11"/>
    <x v="11"/>
    <n v="322"/>
    <n v="0"/>
  </r>
  <r>
    <s v="Le Mans"/>
    <x v="19"/>
    <x v="0"/>
    <x v="0"/>
    <n v="331"/>
    <n v="0"/>
  </r>
  <r>
    <s v="Le Mans"/>
    <x v="19"/>
    <x v="1"/>
    <x v="1"/>
    <n v="251"/>
    <n v="0"/>
  </r>
  <r>
    <s v="Le Mans"/>
    <x v="19"/>
    <x v="2"/>
    <x v="2"/>
    <n v="272"/>
    <n v="1"/>
  </r>
  <r>
    <s v="Le Mans"/>
    <x v="19"/>
    <x v="3"/>
    <x v="3"/>
    <n v="126"/>
    <n v="27"/>
  </r>
  <r>
    <s v="Le Mans"/>
    <x v="19"/>
    <x v="4"/>
    <x v="4"/>
    <n v="92"/>
    <n v="45"/>
  </r>
  <r>
    <s v="Le Mans"/>
    <x v="19"/>
    <x v="5"/>
    <x v="5"/>
    <n v="55"/>
    <n v="59"/>
  </r>
  <r>
    <s v="Le Mans"/>
    <x v="19"/>
    <x v="6"/>
    <x v="6"/>
    <n v="32"/>
    <n v="107"/>
  </r>
  <r>
    <s v="Le Mans"/>
    <x v="19"/>
    <x v="7"/>
    <x v="7"/>
    <n v="28"/>
    <n v="143"/>
  </r>
  <r>
    <s v="Le Mans"/>
    <x v="19"/>
    <x v="8"/>
    <x v="8"/>
    <n v="56"/>
    <n v="84"/>
  </r>
  <r>
    <s v="Le Mans"/>
    <x v="19"/>
    <x v="9"/>
    <x v="9"/>
    <n v="158"/>
    <n v="2"/>
  </r>
  <r>
    <s v="Le Mans"/>
    <x v="19"/>
    <x v="10"/>
    <x v="10"/>
    <n v="237"/>
    <n v="0"/>
  </r>
  <r>
    <s v="Le Mans"/>
    <x v="19"/>
    <x v="11"/>
    <x v="11"/>
    <n v="333"/>
    <n v="0"/>
  </r>
  <r>
    <s v="Le Mans"/>
    <x v="20"/>
    <x v="0"/>
    <x v="0"/>
    <n v="406"/>
    <n v="0"/>
  </r>
  <r>
    <s v="Le Mans"/>
    <x v="20"/>
    <x v="1"/>
    <x v="1"/>
    <n v="299"/>
    <n v="0"/>
  </r>
  <r>
    <s v="Le Mans"/>
    <x v="20"/>
    <x v="2"/>
    <x v="2"/>
    <n v="303"/>
    <n v="5"/>
  </r>
  <r>
    <s v="Le Mans"/>
    <x v="20"/>
    <x v="3"/>
    <x v="3"/>
    <n v="242"/>
    <n v="6"/>
  </r>
  <r>
    <s v="Le Mans"/>
    <x v="20"/>
    <x v="4"/>
    <x v="4"/>
    <n v="159"/>
    <n v="11"/>
  </r>
  <r>
    <s v="Le Mans"/>
    <x v="20"/>
    <x v="5"/>
    <x v="5"/>
    <n v="33"/>
    <n v="76"/>
  </r>
  <r>
    <s v="Le Mans"/>
    <x v="20"/>
    <x v="6"/>
    <x v="6"/>
    <n v="22"/>
    <n v="87"/>
  </r>
  <r>
    <s v="Le Mans"/>
    <x v="20"/>
    <x v="7"/>
    <x v="7"/>
    <n v="36"/>
    <n v="61"/>
  </r>
  <r>
    <s v="Le Mans"/>
    <x v="20"/>
    <x v="8"/>
    <x v="8"/>
    <n v="48"/>
    <n v="73"/>
  </r>
  <r>
    <s v="Le Mans"/>
    <x v="20"/>
    <x v="9"/>
    <x v="9"/>
    <n v="170"/>
    <n v="5"/>
  </r>
  <r>
    <s v="Le Mans"/>
    <x v="20"/>
    <x v="10"/>
    <x v="10"/>
    <n v="326"/>
    <n v="0"/>
  </r>
  <r>
    <s v="Le Mans"/>
    <x v="20"/>
    <x v="11"/>
    <x v="11"/>
    <n v="336"/>
    <n v="0"/>
  </r>
  <r>
    <s v="Le Mans"/>
    <x v="21"/>
    <x v="0"/>
    <x v="0"/>
    <n v="396"/>
    <n v="0"/>
  </r>
  <r>
    <s v="Le Mans"/>
    <x v="21"/>
    <x v="1"/>
    <x v="1"/>
    <n v="285"/>
    <n v="0"/>
  </r>
  <r>
    <s v="Le Mans"/>
    <x v="21"/>
    <x v="2"/>
    <x v="2"/>
    <n v="239"/>
    <n v="3"/>
  </r>
  <r>
    <s v="Le Mans"/>
    <x v="21"/>
    <x v="3"/>
    <x v="3"/>
    <n v="192"/>
    <n v="8"/>
  </r>
  <r>
    <s v="Le Mans"/>
    <x v="21"/>
    <x v="4"/>
    <x v="4"/>
    <n v="80"/>
    <n v="50"/>
  </r>
  <r>
    <s v="Le Mans"/>
    <x v="21"/>
    <x v="5"/>
    <x v="5"/>
    <n v="37"/>
    <n v="92"/>
  </r>
  <r>
    <s v="Le Mans"/>
    <x v="21"/>
    <x v="6"/>
    <x v="6"/>
    <n v="19"/>
    <n v="167"/>
  </r>
  <r>
    <s v="Le Mans"/>
    <x v="21"/>
    <x v="7"/>
    <x v="7"/>
    <n v="11"/>
    <n v="164"/>
  </r>
  <r>
    <s v="Le Mans"/>
    <x v="21"/>
    <x v="8"/>
    <x v="8"/>
    <n v="75"/>
    <n v="59"/>
  </r>
  <r>
    <s v="Le Mans"/>
    <x v="21"/>
    <x v="9"/>
    <x v="9"/>
    <n v="73"/>
    <n v="28"/>
  </r>
  <r>
    <s v="Le Mans"/>
    <x v="21"/>
    <x v="10"/>
    <x v="10"/>
    <n v="227"/>
    <n v="0"/>
  </r>
  <r>
    <s v="Le Mans"/>
    <x v="21"/>
    <x v="11"/>
    <x v="11"/>
    <n v="380"/>
    <n v="0"/>
  </r>
  <r>
    <s v="Le Mans"/>
    <x v="22"/>
    <x v="0"/>
    <x v="0"/>
    <n v="355"/>
    <n v="0"/>
  </r>
  <r>
    <s v="Le Mans"/>
    <x v="22"/>
    <x v="1"/>
    <x v="1"/>
    <n v="314"/>
    <n v="0"/>
  </r>
  <r>
    <s v="Le Mans"/>
    <x v="22"/>
    <x v="2"/>
    <x v="2"/>
    <n v="251"/>
    <n v="2"/>
  </r>
  <r>
    <s v="Le Mans"/>
    <x v="22"/>
    <x v="3"/>
    <x v="3"/>
    <n v="197"/>
    <n v="3"/>
  </r>
  <r>
    <s v="Le Mans"/>
    <x v="22"/>
    <x v="4"/>
    <x v="4"/>
    <n v="87"/>
    <n v="31"/>
  </r>
  <r>
    <s v="Le Mans"/>
    <x v="22"/>
    <x v="5"/>
    <x v="5"/>
    <n v="17"/>
    <n v="134"/>
  </r>
  <r>
    <s v="Le Mans"/>
    <x v="22"/>
    <x v="6"/>
    <x v="6"/>
    <n v="24"/>
    <n v="99"/>
  </r>
  <r>
    <s v="Le Mans"/>
    <x v="22"/>
    <x v="7"/>
    <x v="7"/>
    <n v="28"/>
    <n v="107"/>
  </r>
  <r>
    <s v="Le Mans"/>
    <x v="22"/>
    <x v="8"/>
    <x v="8"/>
    <n v="31"/>
    <n v="113"/>
  </r>
  <r>
    <s v="Le Mans"/>
    <x v="22"/>
    <x v="9"/>
    <x v="9"/>
    <n v="116"/>
    <n v="33"/>
  </r>
  <r>
    <s v="Le Mans"/>
    <x v="22"/>
    <x v="10"/>
    <x v="10"/>
    <n v="239"/>
    <n v="0"/>
  </r>
  <r>
    <s v="Le Mans"/>
    <x v="22"/>
    <x v="11"/>
    <x v="11"/>
    <n v="300"/>
    <n v="0"/>
  </r>
  <r>
    <s v="Le Mans"/>
    <x v="23"/>
    <x v="0"/>
    <x v="0"/>
    <n v="380"/>
    <n v="0"/>
  </r>
  <r>
    <s v="Le Mans"/>
    <x v="23"/>
    <x v="1"/>
    <x v="1"/>
    <n v="244"/>
    <n v="0"/>
  </r>
  <r>
    <s v="Le Mans"/>
    <x v="23"/>
    <x v="2"/>
    <x v="2"/>
    <n v="253"/>
    <n v="1"/>
  </r>
  <r>
    <s v="Le Mans"/>
    <x v="23"/>
    <x v="3"/>
    <x v="3"/>
    <n v="186"/>
    <n v="8"/>
  </r>
  <r>
    <s v="Le Mans"/>
    <x v="23"/>
    <x v="4"/>
    <x v="4"/>
    <n v="102"/>
    <n v="18"/>
  </r>
  <r>
    <s v="Le Mans"/>
    <x v="23"/>
    <x v="5"/>
    <x v="5"/>
    <n v="60"/>
    <n v="53"/>
  </r>
  <r>
    <s v="Le Mans"/>
    <x v="23"/>
    <x v="6"/>
    <x v="6"/>
    <n v="28"/>
    <n v="102"/>
  </r>
  <r>
    <s v="Le Mans"/>
    <x v="23"/>
    <x v="7"/>
    <x v="7"/>
    <n v="28"/>
    <n v="110"/>
  </r>
  <r>
    <s v="Le Mans"/>
    <x v="23"/>
    <x v="8"/>
    <x v="8"/>
    <n v="78"/>
    <n v="27"/>
  </r>
  <r>
    <s v="Le Mans"/>
    <x v="23"/>
    <x v="9"/>
    <x v="9"/>
    <n v="119"/>
    <n v="8"/>
  </r>
  <r>
    <s v="Le Mans"/>
    <x v="23"/>
    <x v="10"/>
    <x v="10"/>
    <n v="266"/>
    <n v="0"/>
  </r>
  <r>
    <s v="Le Mans"/>
    <x v="23"/>
    <x v="11"/>
    <x v="11"/>
    <n v="346"/>
    <n v="0"/>
  </r>
  <r>
    <s v="Le Mans"/>
    <x v="24"/>
    <x v="0"/>
    <x v="0"/>
    <n v="407"/>
    <n v="0"/>
  </r>
  <r>
    <s v="Le Mans"/>
    <x v="24"/>
    <x v="1"/>
    <x v="1"/>
    <n v="329"/>
    <n v="0"/>
  </r>
  <r>
    <s v="Le Mans"/>
    <x v="24"/>
    <x v="2"/>
    <x v="2"/>
    <n v="260"/>
    <n v="1"/>
  </r>
  <r>
    <s v="Le Mans"/>
    <x v="24"/>
    <x v="3"/>
    <x v="3"/>
    <n v="142"/>
    <n v="17"/>
  </r>
  <r>
    <s v="Le Mans"/>
    <x v="24"/>
    <x v="4"/>
    <x v="4"/>
    <n v="91"/>
    <n v="45"/>
  </r>
  <r>
    <s v="Le Mans"/>
    <x v="24"/>
    <x v="5"/>
    <x v="5"/>
    <n v="24"/>
    <n v="140"/>
  </r>
  <r>
    <s v="Le Mans"/>
    <x v="24"/>
    <x v="6"/>
    <x v="6"/>
    <n v="18"/>
    <n v="133"/>
  </r>
  <r>
    <s v="Le Mans"/>
    <x v="24"/>
    <x v="7"/>
    <x v="7"/>
    <n v="22"/>
    <n v="125"/>
  </r>
  <r>
    <s v="Le Mans"/>
    <x v="24"/>
    <x v="12"/>
    <x v="8"/>
    <n v="72.900000000000006"/>
    <n v="39.299999999999997"/>
  </r>
  <r>
    <s v="Le Mans"/>
    <x v="24"/>
    <x v="13"/>
    <x v="9"/>
    <n v="140"/>
    <n v="4"/>
  </r>
  <r>
    <s v="Le Mans"/>
    <x v="24"/>
    <x v="14"/>
    <x v="10"/>
    <n v="231"/>
    <n v="2"/>
  </r>
  <r>
    <s v="Le Mans"/>
    <x v="24"/>
    <x v="15"/>
    <x v="11"/>
    <n v="309"/>
    <n v="0"/>
  </r>
  <r>
    <s v="Le Mans"/>
    <x v="25"/>
    <x v="0"/>
    <x v="0"/>
    <n v="338"/>
    <n v="0"/>
  </r>
  <r>
    <s v="Le Mans"/>
    <x v="25"/>
    <x v="1"/>
    <x v="1"/>
    <n v="229"/>
    <n v="1"/>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n v="1"/>
    <x v="0"/>
    <x v="0"/>
    <x v="0"/>
  </r>
  <r>
    <n v="2"/>
    <x v="1"/>
    <x v="1"/>
    <x v="1"/>
  </r>
  <r>
    <n v="3"/>
    <x v="2"/>
    <x v="0"/>
    <x v="0"/>
  </r>
  <r>
    <n v="4"/>
    <x v="3"/>
    <x v="2"/>
    <x v="2"/>
  </r>
  <r>
    <n v="5"/>
    <x v="4"/>
    <x v="0"/>
    <x v="2"/>
  </r>
  <r>
    <n v="6"/>
    <x v="5"/>
    <x v="3"/>
    <x v="2"/>
  </r>
  <r>
    <n v="7"/>
    <x v="6"/>
    <x v="2"/>
    <x v="0"/>
  </r>
  <r>
    <n v="8"/>
    <x v="7"/>
    <x v="4"/>
    <x v="3"/>
  </r>
  <r>
    <n v="9"/>
    <x v="8"/>
    <x v="5"/>
    <x v="4"/>
  </r>
  <r>
    <n v="10"/>
    <x v="9"/>
    <x v="4"/>
    <x v="3"/>
  </r>
  <r>
    <n v="11"/>
    <x v="10"/>
    <x v="3"/>
    <x v="4"/>
  </r>
  <r>
    <n v="12"/>
    <x v="11"/>
    <x v="5"/>
    <x v="4"/>
  </r>
  <r>
    <n v="13"/>
    <x v="12"/>
    <x v="3"/>
    <x v="2"/>
  </r>
  <r>
    <n v="14"/>
    <x v="13"/>
    <x v="1"/>
    <x v="5"/>
  </r>
  <r>
    <n v="15"/>
    <x v="14"/>
    <x v="0"/>
    <x v="0"/>
  </r>
  <r>
    <n v="16"/>
    <x v="15"/>
    <x v="6"/>
    <x v="6"/>
  </r>
  <r>
    <n v="17"/>
    <x v="16"/>
    <x v="6"/>
    <x v="6"/>
  </r>
  <r>
    <n v="18"/>
    <x v="17"/>
    <x v="6"/>
    <x v="7"/>
  </r>
  <r>
    <n v="19"/>
    <x v="18"/>
    <x v="0"/>
    <x v="6"/>
  </r>
  <r>
    <n v="20"/>
    <x v="19"/>
    <x v="3"/>
    <x v="8"/>
  </r>
  <r>
    <n v="21"/>
    <x v="20"/>
    <x v="0"/>
    <x v="9"/>
  </r>
  <r>
    <n v="22"/>
    <x v="21"/>
    <x v="7"/>
    <x v="10"/>
  </r>
  <r>
    <n v="23"/>
    <x v="22"/>
    <x v="0"/>
    <x v="6"/>
  </r>
  <r>
    <n v="24"/>
    <x v="23"/>
    <x v="5"/>
    <x v="6"/>
  </r>
  <r>
    <n v="25"/>
    <x v="24"/>
    <x v="0"/>
    <x v="9"/>
  </r>
  <r>
    <n v="26"/>
    <x v="25"/>
    <x v="2"/>
    <x v="0"/>
  </r>
  <r>
    <n v="27"/>
    <x v="26"/>
    <x v="1"/>
    <x v="5"/>
  </r>
  <r>
    <n v="28"/>
    <x v="27"/>
    <x v="1"/>
    <x v="7"/>
  </r>
  <r>
    <n v="29"/>
    <x v="28"/>
    <x v="7"/>
    <x v="10"/>
  </r>
  <r>
    <n v="30"/>
    <x v="29"/>
    <x v="3"/>
    <x v="4"/>
  </r>
  <r>
    <n v="31"/>
    <x v="30"/>
    <x v="5"/>
    <x v="4"/>
  </r>
  <r>
    <n v="32"/>
    <x v="31"/>
    <x v="5"/>
    <x v="4"/>
  </r>
  <r>
    <n v="33"/>
    <x v="32"/>
    <x v="5"/>
    <x v="6"/>
  </r>
  <r>
    <n v="34"/>
    <x v="33"/>
    <x v="3"/>
    <x v="4"/>
  </r>
  <r>
    <n v="35"/>
    <x v="34"/>
    <x v="7"/>
    <x v="10"/>
  </r>
  <r>
    <n v="36"/>
    <x v="35"/>
    <x v="6"/>
    <x v="7"/>
  </r>
  <r>
    <n v="37"/>
    <x v="36"/>
    <x v="6"/>
    <x v="7"/>
  </r>
  <r>
    <n v="38"/>
    <x v="37"/>
    <x v="0"/>
    <x v="0"/>
  </r>
  <r>
    <n v="39"/>
    <x v="38"/>
    <x v="0"/>
    <x v="9"/>
  </r>
  <r>
    <n v="40"/>
    <x v="39"/>
    <x v="5"/>
    <x v="6"/>
  </r>
  <r>
    <n v="41"/>
    <x v="40"/>
    <x v="6"/>
    <x v="7"/>
  </r>
  <r>
    <n v="42"/>
    <x v="41"/>
    <x v="0"/>
    <x v="0"/>
  </r>
  <r>
    <n v="43"/>
    <x v="42"/>
    <x v="0"/>
    <x v="0"/>
  </r>
  <r>
    <n v="44"/>
    <x v="43"/>
    <x v="6"/>
    <x v="11"/>
  </r>
  <r>
    <n v="45"/>
    <x v="44"/>
    <x v="4"/>
    <x v="7"/>
  </r>
  <r>
    <n v="46"/>
    <x v="45"/>
    <x v="5"/>
    <x v="4"/>
  </r>
  <r>
    <n v="47"/>
    <x v="46"/>
    <x v="5"/>
    <x v="6"/>
  </r>
  <r>
    <n v="48"/>
    <x v="47"/>
    <x v="2"/>
    <x v="4"/>
  </r>
  <r>
    <n v="49"/>
    <x v="48"/>
    <x v="6"/>
    <x v="11"/>
  </r>
  <r>
    <n v="50"/>
    <x v="49"/>
    <x v="7"/>
    <x v="5"/>
  </r>
  <r>
    <n v="51"/>
    <x v="50"/>
    <x v="4"/>
    <x v="3"/>
  </r>
  <r>
    <n v="52"/>
    <x v="51"/>
    <x v="4"/>
    <x v="3"/>
  </r>
  <r>
    <n v="53"/>
    <x v="52"/>
    <x v="6"/>
    <x v="11"/>
  </r>
  <r>
    <n v="54"/>
    <x v="53"/>
    <x v="4"/>
    <x v="3"/>
  </r>
  <r>
    <n v="55"/>
    <x v="54"/>
    <x v="4"/>
    <x v="3"/>
  </r>
  <r>
    <n v="56"/>
    <x v="55"/>
    <x v="7"/>
    <x v="10"/>
  </r>
  <r>
    <n v="57"/>
    <x v="56"/>
    <x v="4"/>
    <x v="3"/>
  </r>
  <r>
    <n v="58"/>
    <x v="57"/>
    <x v="4"/>
    <x v="9"/>
  </r>
  <r>
    <n v="59"/>
    <x v="58"/>
    <x v="1"/>
    <x v="1"/>
  </r>
  <r>
    <n v="60"/>
    <x v="59"/>
    <x v="1"/>
    <x v="1"/>
  </r>
  <r>
    <n v="61"/>
    <x v="60"/>
    <x v="1"/>
    <x v="5"/>
  </r>
  <r>
    <n v="62"/>
    <x v="61"/>
    <x v="1"/>
    <x v="1"/>
  </r>
  <r>
    <n v="63"/>
    <x v="62"/>
    <x v="0"/>
    <x v="0"/>
  </r>
  <r>
    <n v="64"/>
    <x v="63"/>
    <x v="5"/>
    <x v="6"/>
  </r>
  <r>
    <n v="65"/>
    <x v="64"/>
    <x v="5"/>
    <x v="4"/>
  </r>
  <r>
    <n v="66"/>
    <x v="65"/>
    <x v="3"/>
    <x v="4"/>
  </r>
  <r>
    <n v="67"/>
    <x v="66"/>
    <x v="4"/>
    <x v="3"/>
  </r>
  <r>
    <n v="68"/>
    <x v="67"/>
    <x v="4"/>
    <x v="3"/>
  </r>
  <r>
    <n v="69"/>
    <x v="68"/>
    <x v="0"/>
    <x v="0"/>
  </r>
  <r>
    <n v="70"/>
    <x v="69"/>
    <x v="4"/>
    <x v="9"/>
  </r>
  <r>
    <n v="71"/>
    <x v="70"/>
    <x v="0"/>
    <x v="9"/>
  </r>
  <r>
    <n v="72"/>
    <x v="71"/>
    <x v="6"/>
    <x v="11"/>
  </r>
  <r>
    <n v="73"/>
    <x v="72"/>
    <x v="0"/>
    <x v="0"/>
  </r>
  <r>
    <n v="74"/>
    <x v="73"/>
    <x v="0"/>
    <x v="0"/>
  </r>
  <r>
    <n v="75"/>
    <x v="74"/>
    <x v="4"/>
    <x v="12"/>
  </r>
  <r>
    <n v="76"/>
    <x v="75"/>
    <x v="1"/>
    <x v="5"/>
  </r>
  <r>
    <n v="77"/>
    <x v="76"/>
    <x v="1"/>
    <x v="12"/>
  </r>
  <r>
    <n v="78"/>
    <x v="77"/>
    <x v="1"/>
    <x v="12"/>
  </r>
  <r>
    <n v="79"/>
    <x v="78"/>
    <x v="6"/>
    <x v="6"/>
  </r>
  <r>
    <n v="80"/>
    <x v="79"/>
    <x v="1"/>
    <x v="1"/>
  </r>
  <r>
    <n v="81"/>
    <x v="80"/>
    <x v="5"/>
    <x v="4"/>
  </r>
  <r>
    <n v="82"/>
    <x v="81"/>
    <x v="5"/>
    <x v="4"/>
  </r>
  <r>
    <n v="83"/>
    <x v="82"/>
    <x v="3"/>
    <x v="2"/>
  </r>
  <r>
    <n v="84"/>
    <x v="83"/>
    <x v="2"/>
    <x v="2"/>
  </r>
  <r>
    <n v="85"/>
    <x v="84"/>
    <x v="6"/>
    <x v="11"/>
  </r>
  <r>
    <n v="86"/>
    <x v="85"/>
    <x v="6"/>
    <x v="6"/>
  </r>
  <r>
    <n v="87"/>
    <x v="86"/>
    <x v="0"/>
    <x v="6"/>
  </r>
  <r>
    <n v="88"/>
    <x v="87"/>
    <x v="4"/>
    <x v="3"/>
  </r>
  <r>
    <n v="89"/>
    <x v="88"/>
    <x v="4"/>
    <x v="9"/>
  </r>
  <r>
    <n v="90"/>
    <x v="89"/>
    <x v="4"/>
    <x v="9"/>
  </r>
  <r>
    <n v="91"/>
    <x v="90"/>
    <x v="1"/>
    <x v="12"/>
  </r>
  <r>
    <n v="92"/>
    <x v="91"/>
    <x v="4"/>
    <x v="12"/>
  </r>
  <r>
    <n v="93"/>
    <x v="92"/>
    <x v="4"/>
    <x v="12"/>
  </r>
  <r>
    <n v="94"/>
    <x v="93"/>
    <x v="4"/>
    <x v="12"/>
  </r>
  <r>
    <n v="95"/>
    <x v="94"/>
    <x v="1"/>
    <x v="12"/>
  </r>
  <r>
    <n v="971"/>
    <x v="95"/>
    <x v="8"/>
    <x v="13"/>
  </r>
  <r>
    <n v="973"/>
    <x v="96"/>
    <x v="9"/>
    <x v="13"/>
  </r>
  <r>
    <n v="974"/>
    <x v="97"/>
    <x v="10"/>
    <x v="13"/>
  </r>
  <r>
    <n v="972"/>
    <x v="98"/>
    <x v="11"/>
    <x v="13"/>
  </r>
  <r>
    <m/>
    <x v="99"/>
    <x v="12"/>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C8F4E7-327D-4A9D-A809-8B1361A12827}" name="PivotChartTable3" cacheId="23" applyNumberFormats="0" applyBorderFormats="0" applyFontFormats="0" applyPatternFormats="0" applyAlignmentFormats="0" applyWidthHeightFormats="1" dataCaption="Valeurs" updatedVersion="7" minRefreshableVersion="5" useAutoFormatting="1" subtotalHiddenItems="1" itemPrintTitles="1" createdVersion="7" indent="0" outline="1" outlineData="1" multipleFieldFilters="0" chartFormat="1">
  <location ref="A1:B1" firstHeaderRow="1" firstDataRow="1" firstDataCol="1"/>
  <pivotFields count="6">
    <pivotField axis="axisRow" allDrilled="1" subtotalTop="0" showAll="0" dataSourceSort="1" defaultSubtotal="0">
      <items count="1">
        <item x="0" e="0"/>
      </items>
    </pivotField>
    <pivotField axis="axisRow" allDrilled="1" subtotalTop="0" showAll="0" dataSourceSort="1" defaultSubtotal="0">
      <items count="4">
        <item x="0" e="0"/>
        <item x="1" e="0"/>
        <item x="2" e="0"/>
        <item x="3" e="0"/>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3">
    <field x="0"/>
    <field x="1"/>
    <field x="2"/>
  </rowFields>
  <dataFields count="1">
    <dataField name="Somme de Demande_jour" fld="3" baseField="0" baseItem="0"/>
  </dataFields>
  <chartFormats count="1">
    <chartFormat chart="0" format="1"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filters count="1">
    <filter fld="4" type="dateBetween" evalOrder="-1" id="89" name="[Tab_concat].[Dates]">
      <autoFilter ref="A1">
        <filterColumn colId="0">
          <customFilters and="1">
            <customFilter operator="greaterThanOrEqual" val="46023"/>
            <customFilter operator="lessThanOrEqual" val="46387"/>
          </customFilters>
        </filterColumn>
      </autoFilter>
      <extLst>
        <ext xmlns:x15="http://schemas.microsoft.com/office/spreadsheetml/2010/11/main" uri="{0605FD5F-26C8-4aeb-8148-2DB25E43C511}">
          <x15:pivotFilter useWholeDay="1"/>
        </ext>
      </extLst>
    </filter>
  </filters>
  <rowHierarchiesUsage count="3">
    <rowHierarchyUsage hierarchyUsage="18"/>
    <rowHierarchyUsage hierarchyUsage="19"/>
    <rowHierarchyUsage hierarchyUsage="2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D7A6B08-92DD-45B3-BFF9-5C6E7EDCBB8E}" name="TCD_Conso_annuel_eau" cacheId="9" applyNumberFormats="0" applyBorderFormats="0" applyFontFormats="0" applyPatternFormats="0" applyAlignmentFormats="0" applyWidthHeightFormats="1" dataCaption="Valeurs" tag="d5d9779d-3a9e-4bce-87cf-17f72413a163" updatedVersion="7" minRefreshableVersion="3" useAutoFormatting="1" subtotalHiddenItems="1" itemPrintTitles="1" createdVersion="7" indent="0" outline="1" outlineData="1" multipleFieldFilters="0" chartFormat="4">
  <location ref="C20:D22" firstHeaderRow="1" firstDataRow="1" firstDataCol="1" rowPageCount="3"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3">
    <pageField fld="1" hier="15" name="[Tab_concat].[Annee].[All]" cap="All"/>
    <pageField fld="2" hier="7" name="[Tab_concat].[Type].[All]" cap="All"/>
    <pageField fld="3" hier="8" name="[Tab_concat].[Source].[All]" cap="All"/>
  </pageFields>
  <dataFields count="1">
    <dataField name="Somme de Demande_jour" fld="4"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C9187E8-6800-4590-86DA-00AF459226A2}" name="TCD_Cout_annuel" cacheId="11" applyNumberFormats="0" applyBorderFormats="0" applyFontFormats="0" applyPatternFormats="0" applyAlignmentFormats="0" applyWidthHeightFormats="1" dataCaption="Valeurs" tag="a161e780-723f-477a-8e70-a9ab8ee8fd73" updatedVersion="7" minRefreshableVersion="3" useAutoFormatting="1" subtotalHiddenItems="1" itemPrintTitles="1" createdVersion="7" indent="0" outline="1" outlineData="1" multipleFieldFilters="0" chartFormat="8">
  <location ref="H5:I7" firstHeaderRow="1" firstDataRow="1" firstDataCol="1" rowPageCount="3"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3">
    <pageField fld="1" hier="15" name="[Tab_concat].[Annee].[All]" cap="All"/>
    <pageField fld="2" hier="7" name="[Tab_concat].[Type].[All]" cap="All"/>
    <pageField fld="3" hier="8" name="[Tab_concat].[Source].[All]" cap="All"/>
  </pageFields>
  <dataFields count="1">
    <dataField name="Somme de Cout_jour" fld="4" baseField="0" baseItem="0"/>
  </dataFields>
  <chartFormats count="2">
    <chartFormat chart="6" format="4" series="1">
      <pivotArea type="data" outline="0" fieldPosition="0">
        <references count="1">
          <reference field="4294967294" count="1" selected="0">
            <x v="0"/>
          </reference>
        </references>
      </pivotArea>
    </chartFormat>
    <chartFormat chart="6" format="13">
      <pivotArea type="data" outline="0" fieldPosition="0">
        <references count="2">
          <reference field="4294967294" count="1" selected="0">
            <x v="0"/>
          </reference>
          <reference field="0"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E38BF5D-3457-4B4E-A1D1-91880D99052C}" name="TCD_ECS_ete" cacheId="2" applyNumberFormats="0" applyBorderFormats="0" applyFontFormats="0" applyPatternFormats="0" applyAlignmentFormats="0" applyWidthHeightFormats="1" dataCaption="Valeurs" tag="da56f310-fe75-4ab4-9f80-4f6113746b52" updatedVersion="7" minRefreshableVersion="3" useAutoFormatting="1" subtotalHiddenItems="1" itemPrintTitles="1" createdVersion="7" indent="0" outline="1" outlineData="1" multipleFieldFilters="0">
  <location ref="B3:F7" firstHeaderRow="1" firstDataRow="3" firstDataCol="1" rowPageCount="1" colPageCount="1"/>
  <pivotFields count="6">
    <pivotField axis="axisPage" allDrilled="1" subtotalTop="0" showAll="0" dataSourceSort="1" defaultSubtotal="0" defaultAttributeDrillState="1"/>
    <pivotField axis="axisCol" allDrilled="1" subtotalTop="0" showAll="0" dataSourceSort="1" defaultSubtotal="0" defaultAttributeDrillState="1">
      <items count="1">
        <item x="0"/>
      </items>
    </pivotField>
    <pivotField axis="axisRow" allDrilled="1" subtotalTop="0" showAll="0" dataSourceSort="1" defaultSubtotal="0" defaultAttributeDrillState="1">
      <items count="1">
        <item x="0"/>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2">
    <i>
      <x/>
    </i>
    <i t="grand">
      <x/>
    </i>
  </rowItems>
  <colFields count="2">
    <field x="1"/>
    <field x="-2"/>
  </colFields>
  <colItems count="4">
    <i>
      <x/>
      <x/>
    </i>
    <i r="1" i="1">
      <x v="1"/>
    </i>
    <i t="grand">
      <x/>
    </i>
    <i t="grand" i="1">
      <x/>
    </i>
  </colItems>
  <pageFields count="1">
    <pageField fld="0" hier="16" name="[Tab_concat].[Mois].[All]" cap="All"/>
  </pageFields>
  <dataFields count="2">
    <dataField name="Moyenne de Conso_kWh_PCI" fld="3" subtotal="average" baseField="2" baseItem="1"/>
    <dataField name="Moyenne de Conso_kWh_DEET" fld="4" subtotal="average" baseField="2" baseItem="1"/>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Tab_concat].[Dates (mois)].&amp;[août]"/>
        <member name="[Tab_concat].[Dates (mois)].&amp;[juil]"/>
        <member name="[Tab_concat].[Dates (mois)].&amp;[juin]"/>
        <member name="[Tab_concat].[Dates (mois)].&amp;[sep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oyenne de Conso_kWh_PCI"/>
    <pivotHierarchy dragToData="1" caption="Moyenne de Conso_kWh_DEET"/>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3"/>
  </rowHierarchiesUsage>
  <colHierarchiesUsage count="2">
    <colHierarchyUsage hierarchyUsage="1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E6AF0F-D00D-481F-99C8-CE9935AE4272}" name="TCD_OPERAT" cacheId="3" applyNumberFormats="0" applyBorderFormats="0" applyFontFormats="0" applyPatternFormats="0" applyAlignmentFormats="0" applyWidthHeightFormats="1" dataCaption="Valeurs" tag="234166b8-f2f5-4427-bcb1-279e1f3dd475" updatedVersion="7" minRefreshableVersion="3" useAutoFormatting="1" subtotalHiddenItems="1" rowGrandTotals="0" colGrandTotals="0" itemPrintTitles="1" createdVersion="7" indent="0" outline="1" outlineData="1" multipleFieldFilters="0">
  <location ref="B18:C20" firstHeaderRow="1" firstDataRow="1" firstDataCol="1" rowPageCount="1" colPageCount="1"/>
  <pivotFields count="5">
    <pivotField dataField="1" subtotalTop="0" showAll="0" defaultSubtotal="0"/>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1">
        <item x="0" e="0"/>
      </items>
    </pivotField>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s>
  <rowFields count="3">
    <field x="1"/>
    <field x="2"/>
    <field x="3"/>
  </rowFields>
  <rowItems count="2">
    <i>
      <x/>
    </i>
    <i r="1">
      <x/>
    </i>
  </rowItems>
  <colItems count="1">
    <i/>
  </colItems>
  <pageFields count="1">
    <pageField fld="4" hier="18" name="[Tab_concat].[Dates (année)].[All]" cap="All"/>
  </pageFields>
  <dataFields count="1">
    <dataField name="Conso_brut" fld="0" baseField="0" baseItem="70399552"/>
  </dataFields>
  <formats count="8">
    <format dxfId="178">
      <pivotArea collapsedLevelsAreSubtotals="1" fieldPosition="0">
        <references count="2">
          <reference field="1" count="0" selected="0"/>
          <reference field="2" count="1">
            <x v="0"/>
          </reference>
        </references>
      </pivotArea>
    </format>
    <format dxfId="177">
      <pivotArea grandRow="1" outline="0" collapsedLevelsAreSubtotals="1" fieldPosition="0"/>
    </format>
    <format dxfId="176">
      <pivotArea type="all" dataOnly="0" outline="0" fieldPosition="0"/>
    </format>
    <format dxfId="175">
      <pivotArea outline="0" collapsedLevelsAreSubtotals="1" fieldPosition="0"/>
    </format>
    <format dxfId="174">
      <pivotArea field="1" type="button" dataOnly="0" labelOnly="1" outline="0" axis="axisRow" fieldPosition="0"/>
    </format>
    <format dxfId="173">
      <pivotArea dataOnly="0" labelOnly="1" fieldPosition="0">
        <references count="1">
          <reference field="1" count="0"/>
        </references>
      </pivotArea>
    </format>
    <format dxfId="172">
      <pivotArea dataOnly="0" labelOnly="1" fieldPosition="0">
        <references count="2">
          <reference field="1" count="0" selected="0"/>
          <reference field="2" count="0"/>
        </references>
      </pivotArea>
    </format>
    <format dxfId="171">
      <pivotArea dataOnly="0" labelOnly="1" outline="0" axis="axisValues" fieldPosition="0"/>
    </format>
  </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nso_brut"/>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7"/>
    <rowHierarchyUsage hierarchyUsage="13"/>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TCD_DJU_Suivi" cacheId="12"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P92:Q423" firstHeaderRow="1" firstDataRow="1" firstDataCol="1"/>
  <pivotFields count="6">
    <pivotField showAll="0"/>
    <pivotField axis="axisRow" showAll="0">
      <items count="28">
        <item x="0"/>
        <item x="1"/>
        <item x="2"/>
        <item x="3"/>
        <item x="4"/>
        <item x="5"/>
        <item x="6"/>
        <item x="7"/>
        <item x="8"/>
        <item x="9"/>
        <item x="10"/>
        <item x="11"/>
        <item x="12"/>
        <item x="13"/>
        <item x="14"/>
        <item x="15"/>
        <item x="16"/>
        <item x="17"/>
        <item x="18"/>
        <item x="19"/>
        <item x="20"/>
        <item x="21"/>
        <item x="22"/>
        <item x="23"/>
        <item x="24"/>
        <item x="26"/>
        <item x="25"/>
        <item t="default"/>
      </items>
    </pivotField>
    <pivotField showAll="0"/>
    <pivotField axis="axisRow" showAll="0">
      <items count="14">
        <item x="0"/>
        <item x="1"/>
        <item x="2"/>
        <item x="3"/>
        <item x="4"/>
        <item x="5"/>
        <item x="6"/>
        <item x="7"/>
        <item x="8"/>
        <item x="9"/>
        <item x="10"/>
        <item x="11"/>
        <item x="12"/>
        <item t="default"/>
      </items>
    </pivotField>
    <pivotField dataField="1" showAll="0"/>
    <pivotField showAll="0"/>
  </pivotFields>
  <rowFields count="2">
    <field x="1"/>
    <field x="3"/>
  </rowFields>
  <rowItems count="331">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v="12"/>
    </i>
    <i>
      <x v="26"/>
    </i>
    <i r="1">
      <x/>
    </i>
    <i r="1">
      <x v="1"/>
    </i>
    <i t="grand">
      <x/>
    </i>
  </rowItems>
  <colItems count="1">
    <i/>
  </colItem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DD570DC-2C1D-425C-B20C-690CD9932E70}" name="TCD_ECS_Mensuel" cacheId="6" applyNumberFormats="0" applyBorderFormats="0" applyFontFormats="0" applyPatternFormats="0" applyAlignmentFormats="0" applyWidthHeightFormats="1" dataCaption="Valeurs" tag="41c45e4b-f4b4-4e46-80f1-fa497f81aa2c" updatedVersion="7" minRefreshableVersion="3" useAutoFormatting="1" subtotalHiddenItems="1" itemPrintTitles="1" createdVersion="7" indent="0" outline="1" outlineData="1" multipleFieldFilters="0">
  <location ref="P66:R80" firstHeaderRow="1" firstDataRow="2" firstDataCol="1" rowPageCount="1" colPageCount="1"/>
  <pivotFields count="4">
    <pivotField axis="axisCol" allDrilled="1" subtotalTop="0" showAll="0" dataSourceSort="1" defaultSubtotal="0" defaultAttributeDrillState="1">
      <items count="1">
        <item x="0"/>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pivotField dataField="1" subtotalTop="0" showAll="0" defaultSubtotal="0"/>
  </pivotFields>
  <rowFields count="1">
    <field x="1"/>
  </rowFields>
  <rowItems count="13">
    <i>
      <x/>
    </i>
    <i>
      <x v="1"/>
    </i>
    <i>
      <x v="2"/>
    </i>
    <i>
      <x v="3"/>
    </i>
    <i>
      <x v="4"/>
    </i>
    <i>
      <x v="5"/>
    </i>
    <i>
      <x v="6"/>
    </i>
    <i>
      <x v="7"/>
    </i>
    <i>
      <x v="8"/>
    </i>
    <i>
      <x v="9"/>
    </i>
    <i>
      <x v="10"/>
    </i>
    <i>
      <x v="11"/>
    </i>
    <i t="grand">
      <x/>
    </i>
  </rowItems>
  <colFields count="1">
    <field x="0"/>
  </colFields>
  <colItems count="2">
    <i>
      <x/>
    </i>
    <i t="grand">
      <x/>
    </i>
  </colItems>
  <pageFields count="1">
    <pageField fld="2" hier="12" name="[Tab_concat].[Nom].[All]" cap="All"/>
  </pageFields>
  <dataFields count="1">
    <dataField name="Somme de Demande_jour" fld="3"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0"/>
  </rowHierarchiesUsage>
  <colHierarchiesUsage count="1">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48EFD36-446F-4595-9558-C61F37462DE2}" name="TCD_compteur_2" cacheId="4" applyNumberFormats="0" applyBorderFormats="0" applyFontFormats="0" applyPatternFormats="0" applyAlignmentFormats="0" applyWidthHeightFormats="1" dataCaption="Valeurs" tag="991314ce-ac0e-4569-a7f5-f2a0a2990f59" updatedVersion="7" minRefreshableVersion="3" useAutoFormatting="1" subtotalHiddenItems="1" itemPrintTitles="1" createdVersion="7" indent="0" outline="1" outlineData="1" multipleFieldFilters="0">
  <location ref="P29:R43"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
        <item x="0"/>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pivotFields>
  <rowFields count="1">
    <field x="2"/>
  </rowFields>
  <rowItems count="13">
    <i>
      <x/>
    </i>
    <i>
      <x v="1"/>
    </i>
    <i>
      <x v="2"/>
    </i>
    <i>
      <x v="3"/>
    </i>
    <i>
      <x v="4"/>
    </i>
    <i>
      <x v="5"/>
    </i>
    <i>
      <x v="6"/>
    </i>
    <i>
      <x v="7"/>
    </i>
    <i>
      <x v="8"/>
    </i>
    <i>
      <x v="9"/>
    </i>
    <i>
      <x v="10"/>
    </i>
    <i>
      <x v="11"/>
    </i>
    <i t="grand">
      <x/>
    </i>
  </rowItems>
  <colFields count="1">
    <field x="1"/>
  </colFields>
  <colItems count="2">
    <i>
      <x/>
    </i>
    <i t="grand">
      <x/>
    </i>
  </colItems>
  <pageFields count="1">
    <pageField fld="3" hier="12" name="[Tab_concat].[Nom].[All]" cap="All"/>
  </pageFields>
  <dataFields count="1">
    <dataField name="Somme de Conso_kWh_PCI" fld="0"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0"/>
  </rowHierarchiesUsage>
  <colHierarchiesUsage count="1">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98C564B-0EA8-4E8C-9675-6D4D66EE76E1}" name="Tableau croisé dynamique13" cacheId="12"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V92:W106" firstHeaderRow="1" firstDataRow="1" firstDataCol="1"/>
  <pivotFields count="6">
    <pivotField showAll="0"/>
    <pivotField showAll="0"/>
    <pivotField showAll="0"/>
    <pivotField axis="axisRow" showAll="0">
      <items count="14">
        <item x="0"/>
        <item x="1"/>
        <item x="2"/>
        <item x="3"/>
        <item x="4"/>
        <item x="5"/>
        <item x="6"/>
        <item x="7"/>
        <item x="8"/>
        <item x="9"/>
        <item x="10"/>
        <item x="11"/>
        <item x="12"/>
        <item t="default"/>
      </items>
    </pivotField>
    <pivotField dataField="1" showAll="0"/>
    <pivotField showAll="0"/>
  </pivotFields>
  <rowFields count="1">
    <field x="3"/>
  </rowFields>
  <rowItems count="14">
    <i>
      <x/>
    </i>
    <i>
      <x v="1"/>
    </i>
    <i>
      <x v="2"/>
    </i>
    <i>
      <x v="3"/>
    </i>
    <i>
      <x v="4"/>
    </i>
    <i>
      <x v="5"/>
    </i>
    <i>
      <x v="6"/>
    </i>
    <i>
      <x v="7"/>
    </i>
    <i>
      <x v="8"/>
    </i>
    <i>
      <x v="9"/>
    </i>
    <i>
      <x v="10"/>
    </i>
    <i>
      <x v="11"/>
    </i>
    <i>
      <x v="12"/>
    </i>
    <i t="grand">
      <x/>
    </i>
  </rowItems>
  <colItems count="1">
    <i/>
  </colItems>
  <dataFields count="1">
    <dataField name="Moyenne de DJU(chauffagiste)" fld="4" subtotal="average"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BC5642F-BF6C-472E-B6D8-A36C68A1DD21}" name="TCD_Suivi_compteur_1" cacheId="5" applyNumberFormats="0" applyBorderFormats="0" applyFontFormats="0" applyPatternFormats="0" applyAlignmentFormats="0" applyWidthHeightFormats="1" dataCaption="Valeurs" tag="b2416d50-1d2a-48fd-b8a4-193a257fdd6c" updatedVersion="7" minRefreshableVersion="3" useAutoFormatting="1" subtotalHiddenItems="1" itemPrintTitles="1" createdVersion="7" indent="0" outline="1" outlineData="1" multipleFieldFilters="0">
  <location ref="P3:R17"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
        <item x="0"/>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pivotFields>
  <rowFields count="1">
    <field x="2"/>
  </rowFields>
  <rowItems count="13">
    <i>
      <x/>
    </i>
    <i>
      <x v="1"/>
    </i>
    <i>
      <x v="2"/>
    </i>
    <i>
      <x v="3"/>
    </i>
    <i>
      <x v="4"/>
    </i>
    <i>
      <x v="5"/>
    </i>
    <i>
      <x v="6"/>
    </i>
    <i>
      <x v="7"/>
    </i>
    <i>
      <x v="8"/>
    </i>
    <i>
      <x v="9"/>
    </i>
    <i>
      <x v="10"/>
    </i>
    <i>
      <x v="11"/>
    </i>
    <i t="grand">
      <x/>
    </i>
  </rowItems>
  <colFields count="1">
    <field x="1"/>
  </colFields>
  <colItems count="2">
    <i>
      <x/>
    </i>
    <i t="grand">
      <x/>
    </i>
  </colItems>
  <pageFields count="1">
    <pageField fld="3" hier="12" name="[Tab_concat].[Nom].&amp;[Elec Générale (Factures)]" cap="Elec Générale (Factures)"/>
  </pageFields>
  <dataFields count="1">
    <dataField name="Somme de Conso_kWh_PCI" fld="0"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Nom].&amp;[Elec Générale (Factu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0"/>
  </rowHierarchiesUsage>
  <colHierarchiesUsage count="1">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213B039-76B4-49D7-9FB8-3D1E142CAB2C}" name="Tableau croisé dynamique1" cacheId="7" applyNumberFormats="0" applyBorderFormats="0" applyFontFormats="0" applyPatternFormats="0" applyAlignmentFormats="0" applyWidthHeightFormats="1" dataCaption="Valeurs" tag="46be08fb-beb1-4999-9bd3-e7d161c8ff23" updatedVersion="7" minRefreshableVersion="5" useAutoFormatting="1" subtotalHiddenItems="1" itemPrintTitles="1" createdVersion="7" indent="0" outline="1" outlineData="1" multipleFieldFilters="0" chartFormat="1">
  <location ref="M5:N5" firstHeaderRow="1" firstDataRow="1" firstDataCol="1" rowPageCount="1" colPageCount="1"/>
  <pivotFields count="6">
    <pivotField axis="axisPage" allDrilled="1" subtotalTop="0" showAll="0" dataSourceSort="1" defaultSubtotal="0" defaultAttributeDrillState="1"/>
    <pivotField axis="axisRow" allDrilled="1" subtotalTop="0" showAll="0" dataSourceSort="1" defaultSubtotal="0" defaultAttributeDrillState="1">
      <items count="4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Row" allDrilled="1" subtotalTop="0" showAll="0" dataSourceSort="1" defaultSubtotal="0">
      <items count="4">
        <item x="0" e="0"/>
        <item x="1" e="0"/>
        <item x="2" e="0"/>
        <item x="3" e="0"/>
      </items>
    </pivotField>
    <pivotField axis="axisRow" allDrilled="1" subtotalTop="0" showAll="0" dataSourceSort="1" defaultSubtotal="0">
      <items count="1">
        <item x="0" e="0"/>
      </items>
    </pivotField>
    <pivotField dataField="1" subtotalTop="0" showAll="0" defaultSubtotal="0"/>
  </pivotFields>
  <rowFields count="4">
    <field x="4"/>
    <field x="3"/>
    <field x="2"/>
    <field x="1"/>
  </rowFields>
  <pageFields count="1">
    <pageField fld="0" hier="12" name="[Tab_concat].[Nom].[All]" cap="All"/>
  </pageFields>
  <dataFields count="1">
    <dataField fld="5"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1" type="dateBetween" evalOrder="-1" id="89" name="[Tab_concat].[Dates]">
      <autoFilter ref="A1">
        <filterColumn colId="0">
          <customFilters and="1">
            <customFilter operator="greaterThanOrEqual" val="46023"/>
            <customFilter operator="lessThanOrEqual" val="46387"/>
          </customFilters>
        </filterColumn>
      </autoFilter>
      <extLst>
        <ext xmlns:x15="http://schemas.microsoft.com/office/spreadsheetml/2010/11/main" uri="{0605FD5F-26C8-4aeb-8148-2DB25E43C511}">
          <x15:pivotFilter useWholeDay="1"/>
        </ext>
      </extLst>
    </filter>
  </filters>
  <rowHierarchiesUsage count="4">
    <rowHierarchyUsage hierarchyUsage="18"/>
    <rowHierarchyUsage hierarchyUsage="19"/>
    <rowHierarchyUsage hierarchyUsage="20"/>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BC64AB-3A99-4E27-9C9F-1FA7A73949A8}" name="PivotChartTable2" cacheId="21" applyNumberFormats="0" applyBorderFormats="0" applyFontFormats="0" applyPatternFormats="0" applyAlignmentFormats="0" applyWidthHeightFormats="1" dataCaption="Valeurs" updatedVersion="7" minRefreshableVersion="5" useAutoFormatting="1" subtotalHiddenItems="1" itemPrintTitles="1" createdVersion="7" indent="0" outline="1" outlineData="1" multipleFieldFilters="0" chartFormat="1">
  <location ref="A1:D4" firstHeaderRow="1" firstDataRow="2" firstDataCol="1"/>
  <pivotFields count="4">
    <pivotField axis="axisRow" allDrilled="1" subtotalTop="0" showAll="0" dataSourceSort="1" defaultSubtotal="0">
      <items count="1">
        <item x="0" e="0"/>
      </items>
    </pivotField>
    <pivotField axis="axisCol" allDrilled="1" subtotalTop="0" showAll="0" dataSourceSort="1" defaultSubtotal="0" defaultAttributeDrillState="1">
      <items count="6">
        <item x="0"/>
        <item x="1"/>
        <item x="2"/>
        <item x="3"/>
        <item x="4"/>
        <item x="5"/>
      </items>
    </pivotField>
    <pivotField dataField="1" subtotalTop="0" showAll="0" defaultSubtotal="0"/>
    <pivotField allDrilled="1" subtotalTop="0" showAll="0" dataSourceSort="1" defaultSubtotal="0" defaultAttributeDrillState="1"/>
  </pivotFields>
  <rowFields count="1">
    <field x="0"/>
  </rowFields>
  <rowItems count="2">
    <i>
      <x/>
    </i>
    <i t="grand">
      <x/>
    </i>
  </rowItems>
  <colFields count="1">
    <field x="1"/>
  </colFields>
  <colItems count="3">
    <i>
      <x/>
    </i>
    <i>
      <x v="1"/>
    </i>
    <i t="grand">
      <x/>
    </i>
  </colItems>
  <dataFields count="1">
    <dataField name="Somme de Cout_jour" fld="2" baseField="0" baseItem="0"/>
  </dataFields>
  <chartFormats count="6">
    <chartFormat chart="0" format="7"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2"/>
          </reference>
        </references>
      </pivotArea>
    </chartFormat>
    <chartFormat chart="0" format="11" series="1">
      <pivotArea type="data" outline="0" fieldPosition="0">
        <references count="2">
          <reference field="4294967294" count="1" selected="0">
            <x v="0"/>
          </reference>
          <reference field="1" count="1" selected="0">
            <x v="4"/>
          </reference>
        </references>
      </pivotArea>
    </chartFormat>
    <chartFormat chart="0" format="12" series="1">
      <pivotArea type="data" outline="0" fieldPosition="0">
        <references count="2">
          <reference field="4294967294" count="1" selected="0">
            <x v="0"/>
          </reference>
          <reference field="1" count="1" selected="0">
            <x v="5"/>
          </reference>
        </references>
      </pivotArea>
    </chartFormat>
    <chartFormat chart="0" format="13" series="1">
      <pivotArea type="data" outline="0" fieldPosition="0">
        <references count="2">
          <reference field="4294967294" count="1" selected="0">
            <x v="0"/>
          </reference>
          <reference field="1" count="1" selected="0">
            <x v="1"/>
          </reference>
        </references>
      </pivotArea>
    </chartFormat>
    <chartFormat chart="0" format="14" series="1">
      <pivotArea type="data" outline="0" fieldPosition="0">
        <references count="2">
          <reference field="4294967294" count="1" selected="0">
            <x v="0"/>
          </reference>
          <reference field="1" count="1" selected="0">
            <x v="3"/>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filters count="1">
    <filter fld="3" type="dateBetween" evalOrder="-1" id="20" name="[Tab_concat].[Dates]">
      <autoFilter ref="A1">
        <filterColumn colId="0">
          <customFilters and="1">
            <customFilter operator="greaterThanOrEqual" val="46023"/>
            <customFilter operator="lessThanOrEqual" val="46387"/>
          </customFilters>
        </filterColumn>
      </autoFilter>
      <extLst>
        <ext xmlns:x15="http://schemas.microsoft.com/office/spreadsheetml/2010/11/main" uri="{0605FD5F-26C8-4aeb-8148-2DB25E43C511}">
          <x15:pivotFilter useWholeDay="1"/>
        </ext>
      </extLst>
    </filter>
  </filters>
  <rowHierarchiesUsage count="1">
    <rowHierarchyUsage hierarchyUsage="18"/>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 columnCount="3" cacheId="1849230498">
        <x15:pivotRow count="3">
          <x15:c>
            <x15:v>0</x15:v>
          </x15:c>
          <x15:c>
            <x15:v>0</x15:v>
          </x15:c>
          <x15:c>
            <x15:v>0</x15:v>
          </x15:c>
        </x15:pivotRow>
        <x15:pivotRow count="3">
          <x15:c>
            <x15:v>0</x15:v>
          </x15:c>
          <x15:c>
            <x15:v>0</x15:v>
          </x15:c>
          <x15:c>
            <x15:v>0</x15:v>
          </x15:c>
        </x15:pivotRow>
      </x15:pivotTableData>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B6A2032-2B93-4A61-8D17-C9CCF2EFA111}" name="TCD_Conso_X_annee" cacheId="1" applyNumberFormats="0" applyBorderFormats="0" applyFontFormats="0" applyPatternFormats="0" applyAlignmentFormats="0" applyWidthHeightFormats="1" dataCaption="Valeurs" tag="af569d39-1fc3-4bde-bf71-ca18fd54dd0c" updatedVersion="7" minRefreshableVersion="3" useAutoFormatting="1" subtotalHiddenItems="1" itemPrintTitles="1" createdVersion="7" indent="0" outline="1" outlineData="1" multipleFieldFilters="0">
  <location ref="B3:J8" firstHeaderRow="1" firstDataRow="4" firstDataCol="1"/>
  <pivotFields count="7">
    <pivotField dataField="1" subtotalTop="0" showAll="0" defaultSubtotal="0"/>
    <pivotField dataField="1" subtotalTop="0" showAll="0" defaultSubtotal="0"/>
    <pivotField axis="axisCol" allDrilled="1" subtotalTop="0" showAll="0" dataSourceSort="1" defaultSubtotal="0" defaultAttributeDrillState="1">
      <items count="1">
        <item x="0"/>
      </items>
    </pivotField>
    <pivotField axis="axisCol" allDrilled="1" subtotalTop="0" showAll="0" dataSourceSort="1" defaultSubtotal="0" defaultAttributeDrillState="1">
      <items count="1">
        <item x="0"/>
      </items>
    </pivotField>
    <pivotField axis="axisRow" allDrilled="1" subtotalTop="0" showAll="0" dataSourceSort="1" defaultSubtotal="0" defaultAttributeDrillState="1">
      <items count="1">
        <item x="0"/>
      </items>
    </pivotField>
    <pivotField dataField="1" subtotalTop="0" showAll="0" defaultSubtotal="0"/>
    <pivotField dataField="1" subtotalTop="0" showAll="0" defaultSubtotal="0"/>
  </pivotFields>
  <rowFields count="1">
    <field x="4"/>
  </rowFields>
  <rowItems count="2">
    <i>
      <x/>
    </i>
    <i t="grand">
      <x/>
    </i>
  </rowItems>
  <colFields count="3">
    <field x="2"/>
    <field x="3"/>
    <field x="-2"/>
  </colFields>
  <colItems count="8">
    <i>
      <x/>
      <x/>
      <x/>
    </i>
    <i r="2" i="1">
      <x v="1"/>
    </i>
    <i r="2" i="2">
      <x v="2"/>
    </i>
    <i r="2" i="3">
      <x v="3"/>
    </i>
    <i t="grand">
      <x/>
    </i>
    <i t="grand" i="1">
      <x/>
    </i>
    <i t="grand" i="2">
      <x/>
    </i>
    <i t="grand" i="3">
      <x/>
    </i>
  </colItems>
  <dataFields count="4">
    <dataField name="Somme de Demande_jour" fld="6" baseField="0" baseItem="0"/>
    <dataField name="Somme de Conso_kWh_PCI" fld="0" baseField="0" baseItem="0"/>
    <dataField name="Somme de Conso_kWh_DEET" fld="1" baseField="0" baseItem="0"/>
    <dataField name="Somme de Conso_kWhEP" fld="5"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colHierarchiesUsage count="3">
    <colHierarchyUsage hierarchyUsage="7"/>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EA223B7-0E84-473C-AA22-1047A173BDCA}" name="PivotChartTable1" cacheId="22" applyNumberFormats="0" applyBorderFormats="0" applyFontFormats="0" applyPatternFormats="0" applyAlignmentFormats="0" applyWidthHeightFormats="1" dataCaption="Valeurs" updatedVersion="7" minRefreshableVersion="5" useAutoFormatting="1" subtotalHiddenItems="1" itemPrintTitles="1" createdVersion="7" indent="0" outline="1" outlineData="1" multipleFieldFilters="0" chartFormat="1">
  <location ref="A1:D4" firstHeaderRow="1" firstDataRow="2" firstDataCol="1"/>
  <pivotFields count="6">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18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Row" allDrilled="1" subtotalTop="0" showAll="0" dataSourceSort="1" defaultSubtotal="0">
      <items count="4">
        <item x="0" e="0"/>
        <item x="1" e="0"/>
        <item x="2" e="0"/>
        <item x="3" e="0"/>
      </items>
    </pivotField>
    <pivotField axis="axisRow" allDrilled="1" subtotalTop="0" showAll="0" dataSourceSort="1" defaultSubtotal="0">
      <items count="1">
        <item x="0" e="0"/>
      </items>
    </pivotField>
    <pivotField dataField="1" subtotalTop="0" showAll="0" defaultSubtotal="0"/>
  </pivotFields>
  <rowFields count="4">
    <field x="4"/>
    <field x="3"/>
    <field x="2"/>
    <field x="1"/>
  </rowFields>
  <rowItems count="2">
    <i>
      <x/>
    </i>
    <i t="grand">
      <x/>
    </i>
  </rowItems>
  <colFields count="1">
    <field x="0"/>
  </colFields>
  <colItems count="3">
    <i>
      <x/>
    </i>
    <i>
      <x v="1"/>
    </i>
    <i t="grand">
      <x/>
    </i>
  </colItems>
  <dataFields count="1">
    <dataField fld="5" subtotal="count" baseField="0" baseItem="0"/>
  </dataFields>
  <chartFormats count="3">
    <chartFormat chart="0" format="14" series="1">
      <pivotArea type="data" outline="0" fieldPosition="0">
        <references count="1">
          <reference field="0" count="1" selected="0">
            <x v="0"/>
          </reference>
        </references>
      </pivotArea>
    </chartFormat>
    <chartFormat chart="0" format="16" series="1">
      <pivotArea type="data" outline="0" fieldPosition="0">
        <references count="2">
          <reference field="4294967294" count="1" selected="0">
            <x v="0"/>
          </reference>
          <reference field="0" count="1" selected="0">
            <x v="0"/>
          </reference>
        </references>
      </pivotArea>
    </chartFormat>
    <chartFormat chart="0" format="18" series="1">
      <pivotArea type="data" outline="0" fieldPosition="0">
        <references count="2">
          <reference field="4294967294" count="1" selected="0">
            <x v="0"/>
          </reference>
          <reference field="0"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mme de Cout_unitaire"/>
    <pivotHierarchy dragToData="1"/>
    <pivotHierarchy dragToData="1" caption="Moyenne de Cout_unitaire"/>
    <pivotHierarchy dragToData="1" caption="Total distinct de Cout_unitair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filters count="1">
    <filter fld="1" type="dateBetween" evalOrder="-1" id="20" name="[Tab_concat].[Dates]">
      <autoFilter ref="A1">
        <filterColumn colId="0">
          <customFilters and="1">
            <customFilter operator="greaterThanOrEqual" val="46023"/>
            <customFilter operator="lessThanOrEqual" val="46387"/>
          </customFilters>
        </filterColumn>
      </autoFilter>
      <extLst>
        <ext xmlns:x15="http://schemas.microsoft.com/office/spreadsheetml/2010/11/main" uri="{0605FD5F-26C8-4aeb-8148-2DB25E43C511}">
          <x15:pivotFilter useWholeDay="1"/>
        </ext>
      </extLst>
    </filter>
  </filters>
  <rowHierarchiesUsage count="4">
    <rowHierarchyUsage hierarchyUsage="18"/>
    <rowHierarchyUsage hierarchyUsage="19"/>
    <rowHierarchyUsage hierarchyUsage="20"/>
    <rowHierarchyUsage hierarchyUsage="1"/>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 columnCount="3" cacheId="105622057">
        <x15:pivotRow count="3">
          <x15:c t="e">
            <x15:v>#NUM!</x15:v>
          </x15:c>
          <x15:c t="e">
            <x15:v>#NUM!</x15:v>
          </x15:c>
          <x15:c t="e">
            <x15:v>#NUM!</x15:v>
          </x15:c>
        </x15:pivotRow>
        <x15:pivotRow count="3">
          <x15:c t="e">
            <x15:v>#NUM!</x15:v>
          </x15:c>
          <x15:c t="e">
            <x15:v>#NUM!</x15:v>
          </x15:c>
          <x15:c t="e">
            <x15:v>#NUM!</x15:v>
          </x15:c>
        </x15:pivotRow>
      </x15:pivotTableData>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au croisé dynamique4" cacheId="13" applyNumberFormats="0" applyBorderFormats="0" applyFontFormats="0" applyPatternFormats="0" applyAlignmentFormats="0" applyWidthHeightFormats="1" dataCaption="Valeurs" updatedVersion="7" minRefreshableVersion="3" useAutoFormatting="1" rowGrandTotals="0" itemPrintTitles="1" createdVersion="7" indent="0" outline="1" outlineData="1" multipleFieldFilters="0">
  <location ref="F27:F30" firstHeaderRow="1" firstDataRow="1" firstDataCol="1"/>
  <pivotFields count="4">
    <pivotField showAll="0"/>
    <pivotField axis="axisRow" showAll="0">
      <items count="101">
        <item h="1" x="0"/>
        <item h="1" x="1"/>
        <item h="1" x="2"/>
        <item h="1" x="3"/>
        <item h="1" x="5"/>
        <item h="1" x="6"/>
        <item h="1" x="7"/>
        <item h="1" x="8"/>
        <item h="1" x="9"/>
        <item h="1" x="10"/>
        <item h="1" x="11"/>
        <item h="1" x="66"/>
        <item h="1" x="12"/>
        <item h="1" x="13"/>
        <item h="1" x="14"/>
        <item h="1" x="15"/>
        <item h="1" x="16"/>
        <item h="1" x="17"/>
        <item h="1" x="18"/>
        <item h="1" x="19"/>
        <item h="1" x="20"/>
        <item h="1" x="21"/>
        <item h="1" x="22"/>
        <item h="1" x="78"/>
        <item h="1" x="23"/>
        <item h="1" x="24"/>
        <item h="1" x="25"/>
        <item h="1" x="90"/>
        <item h="1" x="26"/>
        <item h="1" x="27"/>
        <item h="1" x="28"/>
        <item h="1" x="29"/>
        <item h="1" x="31"/>
        <item h="1" x="32"/>
        <item h="1" x="95"/>
        <item h="1" x="96"/>
        <item h="1" x="30"/>
        <item h="1" x="42"/>
        <item h="1" x="51"/>
        <item h="1" x="4"/>
        <item h="1" x="69"/>
        <item h="1" x="73"/>
        <item h="1" x="64"/>
        <item h="1" x="86"/>
        <item h="1" x="67"/>
        <item h="1" x="91"/>
        <item h="1" x="33"/>
        <item h="1" x="34"/>
        <item h="1" x="35"/>
        <item h="1" x="36"/>
        <item h="1" x="37"/>
        <item h="1" x="38"/>
        <item h="1" x="97"/>
        <item h="1" x="39"/>
        <item h="1" x="41"/>
        <item h="1" x="43"/>
        <item h="1" x="44"/>
        <item h="1" x="40"/>
        <item h="1" x="45"/>
        <item h="1" x="46"/>
        <item h="1" x="47"/>
        <item h="1" x="48"/>
        <item h="1" x="49"/>
        <item h="1" x="50"/>
        <item h="1" x="98"/>
        <item h="1" x="52"/>
        <item h="1" x="99"/>
        <item h="1" x="53"/>
        <item h="1" x="54"/>
        <item h="1" x="55"/>
        <item h="1" x="56"/>
        <item h="1" x="57"/>
        <item h="1" x="58"/>
        <item h="1" x="59"/>
        <item h="1" x="60"/>
        <item h="1" x="74"/>
        <item h="1" x="61"/>
        <item h="1" x="62"/>
        <item h="1" x="63"/>
        <item h="1" x="65"/>
        <item h="1" x="68"/>
        <item h="1" x="70"/>
        <item x="71"/>
        <item h="1" x="72"/>
        <item h="1" x="76"/>
        <item h="1" x="75"/>
        <item h="1" x="92"/>
        <item h="1" x="79"/>
        <item h="1" x="80"/>
        <item h="1" x="81"/>
        <item h="1" x="89"/>
        <item h="1" x="94"/>
        <item h="1" x="93"/>
        <item h="1" x="82"/>
        <item h="1" x="83"/>
        <item h="1" x="84"/>
        <item h="1" x="85"/>
        <item h="1" x="87"/>
        <item h="1" x="88"/>
        <item h="1" x="77"/>
        <item t="default"/>
      </items>
    </pivotField>
    <pivotField axis="axisRow" showAll="0">
      <items count="14">
        <item x="8"/>
        <item x="9"/>
        <item x="1"/>
        <item x="4"/>
        <item x="0"/>
        <item x="7"/>
        <item x="6"/>
        <item x="5"/>
        <item x="2"/>
        <item x="3"/>
        <item x="11"/>
        <item x="12"/>
        <item x="10"/>
        <item t="default"/>
      </items>
    </pivotField>
    <pivotField axis="axisRow" showAll="0">
      <items count="15">
        <item h="1" x="0"/>
        <item h="1" x="9"/>
        <item h="1" x="10"/>
        <item h="1" x="7"/>
        <item h="1" x="8"/>
        <item h="1" x="3"/>
        <item h="1" x="1"/>
        <item h="1" x="12"/>
        <item h="1" x="5"/>
        <item h="1" x="6"/>
        <item h="1" x="4"/>
        <item h="1" x="13"/>
        <item x="11"/>
        <item h="1" x="2"/>
        <item t="default"/>
      </items>
    </pivotField>
  </pivotFields>
  <rowFields count="3">
    <field x="3"/>
    <field x="1"/>
    <field x="2"/>
  </rowFields>
  <rowItems count="3">
    <i>
      <x v="12"/>
    </i>
    <i r="1">
      <x v="82"/>
    </i>
    <i r="2">
      <x v="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eau croisé dynamique1" cacheId="12" applyNumberFormats="0" applyBorderFormats="0" applyFontFormats="0" applyPatternFormats="0" applyAlignmentFormats="0" applyWidthHeightFormats="1" dataCaption="Valeurs" updatedVersion="7" minRefreshableVersion="3" useAutoFormatting="1" rowGrandTotals="0" itemPrintTitles="1" createdVersion="6" indent="0" outline="1" outlineData="1" multipleFieldFilters="0">
  <location ref="O13:Q40" firstHeaderRow="0" firstDataRow="1" firstDataCol="1"/>
  <pivotFields count="6">
    <pivotField showAll="0"/>
    <pivotField axis="axisRow" showAll="0">
      <items count="28">
        <item x="0"/>
        <item x="1"/>
        <item x="2"/>
        <item x="3"/>
        <item x="4"/>
        <item x="5"/>
        <item x="6"/>
        <item x="7"/>
        <item x="8"/>
        <item x="9"/>
        <item x="10"/>
        <item x="11"/>
        <item x="12"/>
        <item x="13"/>
        <item x="14"/>
        <item x="15"/>
        <item x="16"/>
        <item x="17"/>
        <item x="18"/>
        <item x="19"/>
        <item x="20"/>
        <item x="21"/>
        <item x="22"/>
        <item x="23"/>
        <item x="24"/>
        <item x="26"/>
        <item x="25"/>
        <item t="default"/>
      </items>
    </pivotField>
    <pivotField showAll="0"/>
    <pivotField showAll="0"/>
    <pivotField dataField="1" showAll="0"/>
    <pivotField dataField="1"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x v="26"/>
    </i>
  </rowItems>
  <colFields count="1">
    <field x="-2"/>
  </colFields>
  <colItems count="2">
    <i>
      <x/>
    </i>
    <i i="1">
      <x v="1"/>
    </i>
  </colItems>
  <dataFields count="2">
    <dataField name="Nombre de DJU(chauffagiste)" fld="4" subtotal="count" baseField="1" baseItem="4"/>
    <dataField name="Nombre de DJU(climaticien)" fld="5" subtotal="count" baseField="1" baseItem="0"/>
  </dataFields>
  <formats count="5">
    <format dxfId="192">
      <pivotArea type="all" dataOnly="0" outline="0" fieldPosition="0"/>
    </format>
    <format dxfId="191">
      <pivotArea outline="0" collapsedLevelsAreSubtotals="1" fieldPosition="0"/>
    </format>
    <format dxfId="190">
      <pivotArea field="1" type="button" dataOnly="0" labelOnly="1" outline="0" axis="axisRow" fieldPosition="0"/>
    </format>
    <format dxfId="189">
      <pivotArea dataOnly="0" labelOnly="1" fieldPosition="0">
        <references count="1">
          <reference field="1" count="0"/>
        </references>
      </pivotArea>
    </format>
    <format dxfId="18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Tableau croisé dynamique3" cacheId="12"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L13:M53" firstHeaderRow="1" firstDataRow="1" firstDataCol="1"/>
  <pivotFields count="6">
    <pivotField showAll="0"/>
    <pivotField axis="axisRow" showAll="0">
      <items count="28">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x="24"/>
        <item sd="0" x="26"/>
        <item sd="0" x="25"/>
        <item t="default" sd="0"/>
      </items>
    </pivotField>
    <pivotField axis="axisRow" showAll="0">
      <items count="18">
        <item x="0"/>
        <item x="2"/>
        <item x="3"/>
        <item x="4"/>
        <item x="5"/>
        <item x="6"/>
        <item x="7"/>
        <item x="8"/>
        <item x="9"/>
        <item x="10"/>
        <item x="11"/>
        <item x="1"/>
        <item x="16"/>
        <item x="12"/>
        <item x="13"/>
        <item x="14"/>
        <item x="15"/>
        <item t="default"/>
      </items>
    </pivotField>
    <pivotField axis="axisRow" showAll="0">
      <items count="14">
        <item sd="0" x="0"/>
        <item sd="0" x="1"/>
        <item sd="0" x="2"/>
        <item sd="0" x="3"/>
        <item sd="0" x="4"/>
        <item sd="0" x="5"/>
        <item sd="0" x="6"/>
        <item sd="0" x="7"/>
        <item sd="0" x="8"/>
        <item sd="0" x="9"/>
        <item sd="0" x="10"/>
        <item sd="0" x="11"/>
        <item x="12"/>
        <item t="default"/>
      </items>
    </pivotField>
    <pivotField showAll="0"/>
    <pivotField dataField="1" showAll="0"/>
  </pivotFields>
  <rowFields count="3">
    <field x="1"/>
    <field x="3"/>
    <field x="2"/>
  </rowFields>
  <rowItems count="40">
    <i>
      <x/>
    </i>
    <i>
      <x v="1"/>
    </i>
    <i>
      <x v="2"/>
    </i>
    <i>
      <x v="3"/>
    </i>
    <i>
      <x v="4"/>
    </i>
    <i>
      <x v="5"/>
    </i>
    <i>
      <x v="6"/>
    </i>
    <i>
      <x v="7"/>
    </i>
    <i>
      <x v="8"/>
    </i>
    <i>
      <x v="9"/>
    </i>
    <i>
      <x v="10"/>
    </i>
    <i>
      <x v="11"/>
    </i>
    <i>
      <x v="12"/>
    </i>
    <i>
      <x v="13"/>
    </i>
    <i>
      <x v="14"/>
    </i>
    <i>
      <x v="15"/>
    </i>
    <i>
      <x v="16"/>
    </i>
    <i>
      <x v="17"/>
    </i>
    <i>
      <x v="18"/>
    </i>
    <i>
      <x v="19"/>
    </i>
    <i>
      <x v="20"/>
    </i>
    <i>
      <x v="21"/>
    </i>
    <i>
      <x v="22"/>
    </i>
    <i>
      <x v="23"/>
    </i>
    <i>
      <x v="24"/>
    </i>
    <i r="1">
      <x/>
    </i>
    <i r="1">
      <x v="1"/>
    </i>
    <i r="1">
      <x v="2"/>
    </i>
    <i r="1">
      <x v="3"/>
    </i>
    <i r="1">
      <x v="4"/>
    </i>
    <i r="1">
      <x v="5"/>
    </i>
    <i r="1">
      <x v="6"/>
    </i>
    <i r="1">
      <x v="7"/>
    </i>
    <i r="1">
      <x v="8"/>
    </i>
    <i r="1">
      <x v="9"/>
    </i>
    <i r="1">
      <x v="10"/>
    </i>
    <i r="1">
      <x v="11"/>
    </i>
    <i>
      <x v="25"/>
    </i>
    <i>
      <x v="26"/>
    </i>
    <i t="grand">
      <x/>
    </i>
  </rowItems>
  <colItems count="1">
    <i/>
  </colItems>
  <dataFields count="1">
    <dataField name="Somme de DJU(climaticien)" fld="5" baseField="0" baseItem="0"/>
  </dataFields>
  <formats count="7">
    <format dxfId="199">
      <pivotArea type="all" dataOnly="0" outline="0" fieldPosition="0"/>
    </format>
    <format dxfId="198">
      <pivotArea outline="0" collapsedLevelsAreSubtotals="1" fieldPosition="0"/>
    </format>
    <format dxfId="197">
      <pivotArea field="1" type="button" dataOnly="0" labelOnly="1" outline="0" axis="axisRow" fieldPosition="0"/>
    </format>
    <format dxfId="196">
      <pivotArea dataOnly="0" labelOnly="1" fieldPosition="0">
        <references count="1">
          <reference field="1" count="0"/>
        </references>
      </pivotArea>
    </format>
    <format dxfId="195">
      <pivotArea dataOnly="0" labelOnly="1" grandRow="1" outline="0" fieldPosition="0"/>
    </format>
    <format dxfId="194">
      <pivotArea dataOnly="0" labelOnly="1" fieldPosition="0">
        <references count="2">
          <reference field="1" count="1" selected="0">
            <x v="24"/>
          </reference>
          <reference field="3" count="12">
            <x v="0"/>
            <x v="1"/>
            <x v="2"/>
            <x v="3"/>
            <x v="4"/>
            <x v="5"/>
            <x v="6"/>
            <x v="7"/>
            <x v="8"/>
            <x v="9"/>
            <x v="10"/>
            <x v="11"/>
          </reference>
        </references>
      </pivotArea>
    </format>
    <format dxfId="1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Tableau croisé dynamique2" cacheId="12"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H13:I57" firstHeaderRow="1" firstDataRow="1" firstDataCol="1"/>
  <pivotFields count="6">
    <pivotField showAll="0"/>
    <pivotField axis="axisRow" showAll="0">
      <items count="28">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x="24"/>
        <item x="26"/>
        <item x="25"/>
        <item t="default" sd="0"/>
      </items>
    </pivotField>
    <pivotField axis="axisRow" showAll="0">
      <items count="18">
        <item x="0"/>
        <item x="2"/>
        <item x="3"/>
        <item x="4"/>
        <item x="5"/>
        <item x="12"/>
        <item x="13"/>
        <item x="14"/>
        <item x="15"/>
        <item x="6"/>
        <item x="7"/>
        <item x="8"/>
        <item x="9"/>
        <item x="10"/>
        <item x="11"/>
        <item x="1"/>
        <item x="16"/>
        <item t="default"/>
      </items>
    </pivotField>
    <pivotField axis="axisRow" showAll="0">
      <items count="14">
        <item sd="0" x="0"/>
        <item sd="0" x="1"/>
        <item sd="0" x="2"/>
        <item sd="0" x="3"/>
        <item sd="0" x="4"/>
        <item sd="0" x="5"/>
        <item sd="0" x="6"/>
        <item sd="0" x="7"/>
        <item sd="0" x="8"/>
        <item sd="0" x="9"/>
        <item sd="0" x="10"/>
        <item sd="0" x="11"/>
        <item x="12"/>
        <item t="default"/>
      </items>
    </pivotField>
    <pivotField dataField="1" showAll="0"/>
    <pivotField showAll="0"/>
  </pivotFields>
  <rowFields count="3">
    <field x="1"/>
    <field x="3"/>
    <field x="2"/>
  </rowFields>
  <rowItems count="44">
    <i>
      <x/>
    </i>
    <i>
      <x v="1"/>
    </i>
    <i>
      <x v="2"/>
    </i>
    <i>
      <x v="3"/>
    </i>
    <i>
      <x v="4"/>
    </i>
    <i>
      <x v="5"/>
    </i>
    <i>
      <x v="6"/>
    </i>
    <i>
      <x v="7"/>
    </i>
    <i>
      <x v="8"/>
    </i>
    <i>
      <x v="9"/>
    </i>
    <i>
      <x v="10"/>
    </i>
    <i>
      <x v="11"/>
    </i>
    <i>
      <x v="12"/>
    </i>
    <i>
      <x v="13"/>
    </i>
    <i>
      <x v="14"/>
    </i>
    <i>
      <x v="15"/>
    </i>
    <i>
      <x v="16"/>
    </i>
    <i>
      <x v="17"/>
    </i>
    <i>
      <x v="18"/>
    </i>
    <i>
      <x v="19"/>
    </i>
    <i>
      <x v="20"/>
    </i>
    <i>
      <x v="21"/>
    </i>
    <i>
      <x v="22"/>
    </i>
    <i>
      <x v="23"/>
    </i>
    <i>
      <x v="24"/>
    </i>
    <i r="1">
      <x/>
    </i>
    <i r="1">
      <x v="1"/>
    </i>
    <i r="1">
      <x v="2"/>
    </i>
    <i r="1">
      <x v="3"/>
    </i>
    <i r="1">
      <x v="4"/>
    </i>
    <i r="1">
      <x v="5"/>
    </i>
    <i r="1">
      <x v="6"/>
    </i>
    <i r="1">
      <x v="7"/>
    </i>
    <i r="1">
      <x v="8"/>
    </i>
    <i r="1">
      <x v="9"/>
    </i>
    <i r="1">
      <x v="10"/>
    </i>
    <i r="1">
      <x v="11"/>
    </i>
    <i>
      <x v="25"/>
    </i>
    <i r="1">
      <x v="12"/>
    </i>
    <i r="2">
      <x v="16"/>
    </i>
    <i>
      <x v="26"/>
    </i>
    <i r="1">
      <x/>
    </i>
    <i r="1">
      <x v="1"/>
    </i>
    <i t="grand">
      <x/>
    </i>
  </rowItems>
  <colItems count="1">
    <i/>
  </colItems>
  <dataFields count="1">
    <dataField name="Somme de DJU(chauffagiste)" fld="4" baseField="0" baseItem="0"/>
  </dataFields>
  <formats count="10">
    <format dxfId="209">
      <pivotArea type="all" dataOnly="0" outline="0" fieldPosition="0"/>
    </format>
    <format dxfId="208">
      <pivotArea outline="0" collapsedLevelsAreSubtotals="1" fieldPosition="0"/>
    </format>
    <format dxfId="207">
      <pivotArea field="1" type="button" dataOnly="0" labelOnly="1" outline="0" axis="axisRow" fieldPosition="0"/>
    </format>
    <format dxfId="206">
      <pivotArea dataOnly="0" labelOnly="1" fieldPosition="0">
        <references count="1">
          <reference field="1" count="0"/>
        </references>
      </pivotArea>
    </format>
    <format dxfId="205">
      <pivotArea dataOnly="0" labelOnly="1" grandRow="1" outline="0" fieldPosition="0"/>
    </format>
    <format dxfId="204">
      <pivotArea dataOnly="0" labelOnly="1" fieldPosition="0">
        <references count="2">
          <reference field="1" count="1" selected="0">
            <x v="24"/>
          </reference>
          <reference field="3" count="12">
            <x v="0"/>
            <x v="1"/>
            <x v="2"/>
            <x v="3"/>
            <x v="4"/>
            <x v="5"/>
            <x v="6"/>
            <x v="7"/>
            <x v="8"/>
            <x v="9"/>
            <x v="10"/>
            <x v="11"/>
          </reference>
        </references>
      </pivotArea>
    </format>
    <format dxfId="203">
      <pivotArea dataOnly="0" labelOnly="1" fieldPosition="0">
        <references count="2">
          <reference field="1" count="1" selected="0">
            <x v="25"/>
          </reference>
          <reference field="3" count="1">
            <x v="12"/>
          </reference>
        </references>
      </pivotArea>
    </format>
    <format dxfId="202">
      <pivotArea dataOnly="0" labelOnly="1" fieldPosition="0">
        <references count="2">
          <reference field="1" count="1" selected="0">
            <x v="26"/>
          </reference>
          <reference field="3" count="2">
            <x v="0"/>
            <x v="1"/>
          </reference>
        </references>
      </pivotArea>
    </format>
    <format dxfId="201">
      <pivotArea dataOnly="0" labelOnly="1" fieldPosition="0">
        <references count="3">
          <reference field="1" count="1" selected="0">
            <x v="25"/>
          </reference>
          <reference field="2" count="1">
            <x v="16"/>
          </reference>
          <reference field="3" count="1" selected="0">
            <x v="12"/>
          </reference>
        </references>
      </pivotArea>
    </format>
    <format dxfId="2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9F5D05C-014D-43E3-B4F0-9AF49F01EF66}" name="Tableau croisé dynamique1" cacheId="10" applyNumberFormats="0" applyBorderFormats="0" applyFontFormats="0" applyPatternFormats="0" applyAlignmentFormats="0" applyWidthHeightFormats="1" dataCaption="Valeurs" tag="14900a23-513b-4c7c-8d5c-83267f78b9b7" updatedVersion="7" minRefreshableVersion="3" useAutoFormatting="1" subtotalHiddenItems="1" itemPrintTitles="1" createdVersion="7" indent="0" outline="1" outlineData="1" multipleFieldFilters="0" chartFormat="4">
  <location ref="C46:D48" firstHeaderRow="1" firstDataRow="1" firstDataCol="1" rowPageCount="4" colPageCount="1"/>
  <pivotFields count="7">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4"/>
  </rowFields>
  <rowItems count="2">
    <i>
      <x/>
    </i>
    <i t="grand">
      <x/>
    </i>
  </rowItems>
  <colItems count="1">
    <i/>
  </colItems>
  <pageFields count="4">
    <pageField fld="0" hier="15" name="[Tab_concat].[Annee].[All]" cap="All"/>
    <pageField fld="1" hier="7" name="[Tab_concat].[Type].[All]" cap="All"/>
    <pageField fld="2" hier="8" name="[Tab_concat].[Source].[All]" cap="All"/>
    <pageField fld="3" hier="16" name="[Tab_concat].[Mois].[All]" cap="All"/>
  </pageFields>
  <dataFields count="1">
    <dataField name="Moyenne de Conso_kWh_PCI" fld="5" subtotal="average" baseField="0" baseItem="0"/>
  </dataFields>
  <chartFormats count="3">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members count="1" level="1">
        <member name="[Tab_concat].[Nom].&amp;[Fioul]"/>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oyenne de Conso_kWh_PCI"/>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01923CA-7F1A-4214-B850-E3DCAF6EEDC0}" name="TCD_Conso_annuel" cacheId="8" applyNumberFormats="0" applyBorderFormats="0" applyFontFormats="0" applyPatternFormats="0" applyAlignmentFormats="0" applyWidthHeightFormats="1" dataCaption="Valeurs" tag="ed477c81-67bc-4317-be4f-446a8df08bdd" updatedVersion="7" minRefreshableVersion="3" useAutoFormatting="1" subtotalHiddenItems="1" itemPrintTitles="1" createdVersion="7" indent="0" outline="1" outlineData="1" multipleFieldFilters="0" chartFormat="5">
  <location ref="C5:D7" firstHeaderRow="1" firstDataRow="1" firstDataCol="1" rowPageCount="3" colPageCount="1"/>
  <pivotFields count="5">
    <pivotField axis="axisRow" allDrilled="1" subtotalTop="0" showAll="0" dataSourceSort="1" defaultSubtotal="0" defaultAttributeDrillState="1">
      <items count="1">
        <item s="1"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2">
    <i>
      <x/>
    </i>
    <i t="grand">
      <x/>
    </i>
  </rowItems>
  <colItems count="1">
    <i/>
  </colItems>
  <pageFields count="3">
    <pageField fld="2" hier="15" name="[Tab_concat].[Annee].[All]" cap="All"/>
    <pageField fld="3" hier="7" name="[Tab_concat].[Type].[All]" cap="All"/>
    <pageField fld="4" hier="8" name="[Tab_concat].[Source].[All]" cap="All"/>
  </pageFields>
  <dataFields count="1">
    <dataField name="Somme de Conso_kWh_PCI" fld="1" baseField="0" baseItem="0"/>
  </dataFields>
  <chartFormats count="4">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3" format="13">
      <pivotArea type="data" outline="0" fieldPosition="0">
        <references count="2">
          <reference field="4294967294" count="1" selected="0">
            <x v="0"/>
          </reference>
          <reference field="0"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épartement1" xr10:uid="{00000000-0013-0000-FFFF-FFFF0A000000}" sourceName="Département">
  <pivotTables>
    <pivotTable tabId="54" name="Tableau croisé dynamique4"/>
  </pivotTables>
  <data>
    <tabular pivotCacheId="902497723">
      <items count="100">
        <i x="43"/>
        <i x="48"/>
        <i x="52"/>
        <i x="71" s="1"/>
        <i x="84"/>
        <i x="0" nd="1"/>
        <i x="1" nd="1"/>
        <i x="2" nd="1"/>
        <i x="3" nd="1"/>
        <i x="5" nd="1"/>
        <i x="6" nd="1"/>
        <i x="7" nd="1"/>
        <i x="8" nd="1"/>
        <i x="9" nd="1"/>
        <i x="10" nd="1"/>
        <i x="11" nd="1"/>
        <i x="66" nd="1"/>
        <i x="12" nd="1"/>
        <i x="13" nd="1"/>
        <i x="14" nd="1"/>
        <i x="15" nd="1"/>
        <i x="16" nd="1"/>
        <i x="17" nd="1"/>
        <i x="18" nd="1"/>
        <i x="19" nd="1"/>
        <i x="20" nd="1"/>
        <i x="21" nd="1"/>
        <i x="22" nd="1"/>
        <i x="78" nd="1"/>
        <i x="23" nd="1"/>
        <i x="24" nd="1"/>
        <i x="25" nd="1"/>
        <i x="90" nd="1"/>
        <i x="26" nd="1"/>
        <i x="27" nd="1"/>
        <i x="28" nd="1"/>
        <i x="29" nd="1"/>
        <i x="31" nd="1"/>
        <i x="32" nd="1"/>
        <i x="95" nd="1"/>
        <i x="96" nd="1"/>
        <i x="30" nd="1"/>
        <i x="42" nd="1"/>
        <i x="51" nd="1"/>
        <i x="4" nd="1"/>
        <i x="69" nd="1"/>
        <i x="73" nd="1"/>
        <i x="64" nd="1"/>
        <i x="86" nd="1"/>
        <i x="67" nd="1"/>
        <i x="91" nd="1"/>
        <i x="33" nd="1"/>
        <i x="34" nd="1"/>
        <i x="35" nd="1"/>
        <i x="36" nd="1"/>
        <i x="37" nd="1"/>
        <i x="38" nd="1"/>
        <i x="97" nd="1"/>
        <i x="39" nd="1"/>
        <i x="41" nd="1"/>
        <i x="44" nd="1"/>
        <i x="40" nd="1"/>
        <i x="45" nd="1"/>
        <i x="46" nd="1"/>
        <i x="47" nd="1"/>
        <i x="49" nd="1"/>
        <i x="50" nd="1"/>
        <i x="98" nd="1"/>
        <i x="99" nd="1"/>
        <i x="53" nd="1"/>
        <i x="54" nd="1"/>
        <i x="55" nd="1"/>
        <i x="56" nd="1"/>
        <i x="57" nd="1"/>
        <i x="58" nd="1"/>
        <i x="59" nd="1"/>
        <i x="60" nd="1"/>
        <i x="74" nd="1"/>
        <i x="61" nd="1"/>
        <i x="62" nd="1"/>
        <i x="63" nd="1"/>
        <i x="65" nd="1"/>
        <i x="68" nd="1"/>
        <i x="70" nd="1"/>
        <i x="72" nd="1"/>
        <i x="76" nd="1"/>
        <i x="75" nd="1"/>
        <i x="92" nd="1"/>
        <i x="79" nd="1"/>
        <i x="80" nd="1"/>
        <i x="81" nd="1"/>
        <i x="89" nd="1"/>
        <i x="94" nd="1"/>
        <i x="93" nd="1"/>
        <i x="82" nd="1"/>
        <i x="83" nd="1"/>
        <i x="85" nd="1"/>
        <i x="87" nd="1"/>
        <i x="88" nd="1"/>
        <i x="7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Region1" xr10:uid="{00000000-0013-0000-FFFF-FFFF0B000000}" sourceName="Region">
  <pivotTables>
    <pivotTable tabId="54" name="Tableau croisé dynamique4"/>
  </pivotTables>
  <data>
    <tabular pivotCacheId="902497723">
      <items count="14">
        <i x="11" s="1"/>
        <i x="0" nd="1"/>
        <i x="9" nd="1"/>
        <i x="10" nd="1"/>
        <i x="7" nd="1"/>
        <i x="8" nd="1"/>
        <i x="3" nd="1"/>
        <i x="1" nd="1"/>
        <i x="12" nd="1"/>
        <i x="5" nd="1"/>
        <i x="6" nd="1"/>
        <i x="4" nd="1"/>
        <i x="13"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Annee" xr10:uid="{404AA96A-4BD6-421B-ADA1-31D7DFB0C7F4}" sourceName="[Tab_concat].[Annee]">
  <pivotTables>
    <pivotTable tabId="24" name="TCD_Conso_annuel"/>
    <pivotTable tabId="24" name="TCD_Cout_annuel"/>
    <pivotTable tabId="24" name="TCD_Conso_annuel_eau"/>
    <pivotTable tabId="24" name="Tableau croisé dynamique1"/>
  </pivotTables>
  <data>
    <olap pivotCacheId="733279335">
      <levels count="2">
        <level uniqueName="[Tab_concat].[Annee].[(All)]" sourceCaption="(All)" count="0"/>
        <level uniqueName="[Tab_concat].[Annee].[Annee]" sourceCaption="Annee" count="1">
          <ranges>
            <range startItem="0">
              <i n="[Tab_concat].[Annee].&amp;[2012]" c="2012"/>
            </range>
          </ranges>
        </level>
      </levels>
      <selections count="1">
        <selection n="[Tab_concat].[Anne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tes__année" xr10:uid="{B491C61D-6D2C-4730-A5D0-1BD4CC5E6D98}" sourceName="[Tab_concat].[Dates (année)]">
  <pivotTables>
    <pivotTable tabId="44" name="TCD_OPERAT"/>
  </pivotTables>
  <data>
    <olap pivotCacheId="1469466803">
      <levels count="2">
        <level uniqueName="[Tab_concat].[Dates (année)].[(All)]" sourceCaption="(All)" count="0"/>
        <level uniqueName="[Tab_concat].[Dates (année)].[Dates (année)]" sourceCaption="Dates (année)" count="1">
          <ranges>
            <range startItem="0">
              <i n="[Tab_concat].[Dates (année)].&amp;[2012]" c="2012"/>
            </range>
          </ranges>
        </level>
      </levels>
      <selections count="1">
        <selection n="[Tab_concat].[Dates (anné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5" xr10:uid="{08C80382-AD53-4125-AE18-E199E0DAA1E0}" sourceName="[Tab_concat].[Nom]">
  <pivotTables>
    <pivotTable tabId="49" name="TCD_Suivi_compteur_1"/>
  </pivotTables>
  <data>
    <olap pivotCacheId="395456856">
      <levels count="2">
        <level uniqueName="[Tab_concat].[Nom].[(All)]" sourceCaption="(All)" count="0"/>
        <level uniqueName="[Tab_concat].[Nom].[Nom]" sourceCaption="Nom" count="1">
          <ranges>
            <range startItem="0">
              <i n="[Tab_concat].[Nom].&amp;[Elec Générale (Factures)]" c="Elec Générale (Factures)"/>
            </range>
          </ranges>
        </level>
      </levels>
      <selections count="1">
        <selection n="[Tab_concat].[Nom].&amp;[Elec Générale (Factu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6" xr10:uid="{E236F6A0-535B-445D-BBB5-60E898699395}" sourceName="[Tab_concat].[Nom]">
  <pivotTables>
    <pivotTable tabId="49" name="TCD_compteur_2"/>
  </pivotTables>
  <data>
    <olap pivotCacheId="143007324">
      <levels count="2">
        <level uniqueName="[Tab_concat].[Nom].[(All)]" sourceCaption="(All)" count="0"/>
        <level uniqueName="[Tab_concat].[Nom].[Nom]" sourceCaption="Nom" count="1">
          <ranges>
            <range startItem="0">
              <i n="[Tab_concat].[Nom].&amp;[Elec Générale (Factures)]" c="Elec Générale (Factures)"/>
            </range>
          </ranges>
        </level>
      </levels>
      <selections count="1">
        <selection n="[Tab_concat].[Nom].[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7" xr10:uid="{2EAE02AD-C514-43CC-AA01-3D0D1929A40B}" sourceName="[Tab_concat].[Nom]">
  <pivotTables>
    <pivotTable tabId="49" name="TCD_ECS_Mensuel"/>
  </pivotTables>
  <data>
    <olap pivotCacheId="1170125884">
      <levels count="2">
        <level uniqueName="[Tab_concat].[Nom].[(All)]" sourceCaption="(All)" count="0"/>
        <level uniqueName="[Tab_concat].[Nom].[Nom]" sourceCaption="Nom" count="1">
          <ranges>
            <range startItem="0">
              <i n="[Tab_concat].[Nom].&amp;[Elec Générale (Factures)]" c="Elec Générale (Factures)"/>
            </range>
          </ranges>
        </level>
      </levels>
      <selections count="1">
        <selection n="[Tab_concat].[Nom].[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tes__mois" xr10:uid="{919249A5-58E2-4C66-AA39-FB26FF6F83A4}" sourceName="[Tab_concat].[Dates (mois)]">
  <pivotTables>
    <pivotTable tabId="43" name="TCD_ECS_ete"/>
  </pivotTables>
  <data>
    <olap pivotCacheId="379902455">
      <levels count="2">
        <level uniqueName="[Tab_concat].[Dates (mois)].[(All)]" sourceCaption="(All)" count="0"/>
        <level uniqueName="[Tab_concat].[Dates (mois)].[Dates (mois)]" sourceCaption="Dates (mois)" count="12">
          <ranges>
            <range startItem="0">
              <i n="[Tab_concat].[Dates (mois)].&amp;[janv]" c="janv"/>
              <i n="[Tab_concat].[Dates (mois)].&amp;[févr]" c="févr"/>
              <i n="[Tab_concat].[Dates (mois)].&amp;[mars]" c="mars"/>
              <i n="[Tab_concat].[Dates (mois)].&amp;[avr]" c="avr"/>
              <i n="[Tab_concat].[Dates (mois)].&amp;[mai]" c="mai"/>
              <i n="[Tab_concat].[Dates (mois)].&amp;[juin]" c="juin"/>
              <i n="[Tab_concat].[Dates (mois)].&amp;[juil]" c="juil"/>
              <i n="[Tab_concat].[Dates (mois)].&amp;[août]" c="août"/>
              <i n="[Tab_concat].[Dates (mois)].&amp;[sept]" c="sept"/>
              <i n="[Tab_concat].[Dates (mois)].&amp;[oct]" c="oct"/>
              <i n="[Tab_concat].[Dates (mois)].&amp;[nov]" c="nov"/>
              <i n="[Tab_concat].[Dates (mois)].&amp;[déc]" c="déc"/>
            </range>
          </ranges>
        </level>
      </levels>
      <selections count="4">
        <selection n="[Tab_concat].[Dates (mois)].&amp;[août]"/>
        <selection n="[Tab_concat].[Dates (mois)].&amp;[juil]"/>
        <selection n="[Tab_concat].[Dates (mois)].&amp;[juin]"/>
        <selection n="[Tab_concat].[Dates (mois)].&amp;[sept]"/>
      </selections>
    </olap>
  </data>
  <extLst>
    <x:ext xmlns:x15="http://schemas.microsoft.com/office/spreadsheetml/2010/11/main" uri="{470722E0-AACD-4C17-9CDC-17EF765DBC7E}">
      <x15:slicerCacheHideItemsWithNoData count="1">
        <x15:slicerCacheOlapLevelName uniqueName="[Tab_concat].[Dates (mois)].[Dates (mois)]"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 xr10:uid="{3B366B14-B107-48C3-A9FA-A1E30C01B588}" sourceName="[Tab_concat].[Nom]">
  <pivotTables>
    <pivotTable tabId="39" name="Tableau croisé dynamique1"/>
  </pivotTables>
  <data>
    <olap pivotCacheId="1823398515">
      <levels count="2">
        <level uniqueName="[Tab_concat].[Nom].[(All)]" sourceCaption="(All)" count="0"/>
        <level uniqueName="[Tab_concat].[Nom].[Nom]" sourceCaption="Nom" count="1">
          <ranges>
            <range startItem="0">
              <i n="[Tab_concat].[Nom].&amp;[Elec Générale (Factures)]" c="Elec Générale (Factures)"/>
            </range>
          </ranges>
        </level>
      </levels>
      <selections count="1">
        <selection n="[Tab_concat].[Nom].[All]"/>
      </selections>
    </olap>
  </data>
  <extLst>
    <x:ext xmlns:x15="http://schemas.microsoft.com/office/spreadsheetml/2010/11/main" uri="{03082B11-2C62-411c-B77F-237D8FCFBE4C}">
      <x15:slicerCachePivotTables>
        <pivotTable tabId="4294967295" name="PivotChartTable3"/>
      </x15:slicerCachePivotTables>
    </x:ext>
    <x:ext xmlns:x15="http://schemas.microsoft.com/office/spreadsheetml/2010/11/main" uri="{470722E0-AACD-4C17-9CDC-17EF765DBC7E}">
      <x15:slicerCacheHideItemsWithNoData count="1">
        <x15:slicerCacheOlapLevelName uniqueName="[Tab_concat].[Nom].[Nom]"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épartement" xr10:uid="{00000000-0014-0000-FFFF-FFFF01000000}" cache="Segment_Département1" caption="Département" rowHeight="241300"/>
  <slicer name="Region" xr10:uid="{00000000-0014-0000-FFFF-FFFF02000000}" cache="Segment_Region1" caption="Region"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épartement 1" xr10:uid="{00000000-0014-0000-FFFF-FFFF03000000}" cache="Segment_Département1" caption="Département" rowHeight="241300"/>
  <slicer name="Region 1" xr10:uid="{00000000-0014-0000-FFFF-FFFF04000000}" cache="Segment_Region1" caption="Region" startItem="10" rowHeight="241300"/>
  <slicer name="Dates (mois)" xr10:uid="{D3ED2D59-2D04-4611-A0C0-746385E1C83E}" cache="Segment_Dates__mois" caption="Sélectionnez les mois sans chauffage" columnCount="4"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nee 1" xr10:uid="{BFD7B0B3-4849-4989-B330-D68B088FFBF1}" cache="Segment_Annee" caption="Annee"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s (année)" xr10:uid="{CEEFD52C-3D41-4D46-8FAD-C1DA256276A4}" cache="Segment_Dates__année" caption="Dates (année)"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 6" xr10:uid="{D81FBB26-0CF0-407C-84E7-957F291A94CF}" cache="Segment_Nom5" caption="Nom" level="1" rowHeight="241300"/>
  <slicer name="Nom 7" xr10:uid="{4A3D46A0-E22E-4204-A742-042B51858020}" cache="Segment_Nom6" caption="Nom" level="1" rowHeight="241300"/>
  <slicer name="Nom 8" xr10:uid="{71E6C64E-228A-4F50-BFEF-EC43FC57E607}" cache="Segment_Nom7" caption="Nom"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_compteur" xr10:uid="{79417936-4823-4FDB-A2CC-6C058CAD6019}" cache="Segment_Nom" caption="Sélectionnez un compteur"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au13" displayName="Tableau13" ref="A27:D127" totalsRowShown="0" headerRowDxfId="214" dataDxfId="213">
  <autoFilter ref="A27:D127" xr:uid="{00000000-0009-0000-0100-00000D000000}"/>
  <tableColumns count="4">
    <tableColumn id="1" xr3:uid="{00000000-0010-0000-0000-000001000000}" name="Numéro" dataDxfId="212"/>
    <tableColumn id="2" xr3:uid="{00000000-0010-0000-0000-000002000000}" name="Département" dataDxfId="211"/>
    <tableColumn id="3" xr3:uid="{00000000-0010-0000-0000-000003000000}" name="Zone climatique" dataDxfId="210"/>
    <tableColumn id="4" xr3:uid="{00000000-0010-0000-0000-000004000000}" name="Regio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_Compteur_6" displayName="Tab_Compteur_6" ref="A2:J243" totalsRowShown="0" headerRowDxfId="111" headerRowBorderDxfId="110" tableBorderDxfId="109">
  <autoFilter ref="A2:J243" xr:uid="{00000000-0009-0000-0100-000006000000}"/>
  <tableColumns count="10">
    <tableColumn id="1" xr3:uid="{00000000-0010-0000-0900-000001000000}" name="Début de période" dataDxfId="108">
      <calculatedColumnFormula>EDATE(B3,-Site!J42)+1</calculatedColumnFormula>
    </tableColumn>
    <tableColumn id="2" xr3:uid="{00000000-0010-0000-0900-000002000000}" name="Fin de période" dataDxfId="107"/>
    <tableColumn id="3" xr3:uid="{00000000-0010-0000-0900-000003000000}" name="Quantité"/>
    <tableColumn id="4" xr3:uid="{00000000-0010-0000-0900-000004000000}" name="Montant" dataDxfId="106" dataCellStyle="Monétaire">
      <calculatedColumnFormula>IF(Tab_Compteur_6[[#This Row],[Fin de période]]&gt;0,IFERROR(B3-A3+1,""),"")</calculatedColumnFormula>
    </tableColumn>
    <tableColumn id="8" xr3:uid="{00000000-0010-0000-0900-000008000000}" name="Index" dataDxfId="105" dataCellStyle="Monétaire"/>
    <tableColumn id="5" xr3:uid="{00000000-0010-0000-0900-000005000000}" name="Delta Jour" dataDxfId="104">
      <calculatedColumnFormula>IFERROR(B3-A3+1,"")</calculatedColumnFormula>
    </tableColumn>
    <tableColumn id="6" xr3:uid="{00000000-0010-0000-0900-000006000000}" name="Demande_jour" dataDxfId="103">
      <calculatedColumnFormula>IFERROR(IF(Str_TypeDonneesCpt6=Cpt_Index,Tab_Compteur_6[[#This Row],[Index]]-M6,Tab_Compteur_6[[#This Row],[Quantité]])/Tab_Compteur_6[[#This Row],[Delta Jour]],"")</calculatedColumnFormula>
    </tableColumn>
    <tableColumn id="7" xr3:uid="{00000000-0010-0000-0900-000007000000}" name="Cout_jour" dataDxfId="102">
      <calculatedColumnFormula>IFERROR(Tab_Compteur_6[[#This Row],[Montant]]/Tab_Compteur_6[[#This Row],[Delta Jour]],"")</calculatedColumnFormula>
    </tableColumn>
    <tableColumn id="10" xr3:uid="{00000000-0010-0000-0900-00000A000000}" name="Conso/Jour" dataDxfId="101">
      <calculatedColumnFormula>G3</calculatedColumnFormula>
    </tableColumn>
    <tableColumn id="9" xr3:uid="{00000000-0010-0000-0900-000009000000}" name="Commentaires" dataDxfId="10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ab_Compteur_7" displayName="Tab_Compteur_7" ref="A2:J243" totalsRowShown="0" headerRowDxfId="99" headerRowBorderDxfId="98" tableBorderDxfId="97">
  <autoFilter ref="A2:J243" xr:uid="{00000000-0009-0000-0100-000007000000}"/>
  <tableColumns count="10">
    <tableColumn id="1" xr3:uid="{00000000-0010-0000-0A00-000001000000}" name="Début de période" dataDxfId="96"/>
    <tableColumn id="2" xr3:uid="{00000000-0010-0000-0A00-000002000000}" name="Fin de période" dataDxfId="95"/>
    <tableColumn id="3" xr3:uid="{00000000-0010-0000-0A00-000003000000}" name="Quantité" dataDxfId="94"/>
    <tableColumn id="4" xr3:uid="{00000000-0010-0000-0A00-000004000000}" name="Montant" dataDxfId="93" dataCellStyle="Monétaire">
      <calculatedColumnFormula>IF(Tab_Compteur_7[[#This Row],[Fin de période]]&gt;0,IFERROR(B3-A3+1,""),"")</calculatedColumnFormula>
    </tableColumn>
    <tableColumn id="8" xr3:uid="{00000000-0010-0000-0A00-000008000000}" name="Index" dataDxfId="92" dataCellStyle="Monétaire"/>
    <tableColumn id="5" xr3:uid="{00000000-0010-0000-0A00-000005000000}" name="Delta Jour" dataDxfId="91">
      <calculatedColumnFormula>IFERROR(B3-A3+1,"")</calculatedColumnFormula>
    </tableColumn>
    <tableColumn id="6" xr3:uid="{00000000-0010-0000-0A00-000006000000}" name="Demande_jour" dataDxfId="90">
      <calculatedColumnFormula>IFERROR(IF(Str_TypeDonneesCpt7=Cpt_Index,Tab_Compteur_7[[#This Row],[Index]]-M6,Tab_Compteur_7[[#This Row],[Quantité]])/Tab_Compteur_7[[#This Row],[Delta Jour]],"")</calculatedColumnFormula>
    </tableColumn>
    <tableColumn id="7" xr3:uid="{00000000-0010-0000-0A00-000007000000}" name="Cout_jour" dataDxfId="89">
      <calculatedColumnFormula>IFERROR(Tab_Compteur_7[[#This Row],[Montant]]/Tab_Compteur_7[[#This Row],[Delta Jour]],"")</calculatedColumnFormula>
    </tableColumn>
    <tableColumn id="10" xr3:uid="{00000000-0010-0000-0A00-00000A000000}" name="Conso/Jour" dataDxfId="88" dataCellStyle="Milliers">
      <calculatedColumnFormula>G3</calculatedColumnFormula>
    </tableColumn>
    <tableColumn id="9" xr3:uid="{00000000-0010-0000-0A00-000009000000}" name="Commentaires" dataDxfId="8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ab_Compteur_8" displayName="Tab_Compteur_8" ref="A2:J243" totalsRowShown="0" headerRowDxfId="86" headerRowBorderDxfId="85" tableBorderDxfId="84">
  <autoFilter ref="A2:J243" xr:uid="{00000000-0009-0000-0100-000008000000}"/>
  <tableColumns count="10">
    <tableColumn id="1" xr3:uid="{00000000-0010-0000-0B00-000001000000}" name="Début de période" dataDxfId="83"/>
    <tableColumn id="2" xr3:uid="{00000000-0010-0000-0B00-000002000000}" name="Fin de période" dataDxfId="82"/>
    <tableColumn id="3" xr3:uid="{00000000-0010-0000-0B00-000003000000}" name="Quantité" dataDxfId="81">
      <calculatedColumnFormula>E3-E2</calculatedColumnFormula>
    </tableColumn>
    <tableColumn id="4" xr3:uid="{00000000-0010-0000-0B00-000004000000}" name="Montant" dataDxfId="80" dataCellStyle="Monétaire">
      <calculatedColumnFormula>IF(Tab_Compteur_8[[#This Row],[Fin de période]]&gt;0,IFERROR(B3-A3+1,""),"")</calculatedColumnFormula>
    </tableColumn>
    <tableColumn id="8" xr3:uid="{00000000-0010-0000-0B00-000008000000}" name="Index" dataDxfId="79" dataCellStyle="Monétaire"/>
    <tableColumn id="5" xr3:uid="{00000000-0010-0000-0B00-000005000000}" name="Delta Jour" dataDxfId="78">
      <calculatedColumnFormula>IFERROR(B3-A3+1,"")</calculatedColumnFormula>
    </tableColumn>
    <tableColumn id="6" xr3:uid="{00000000-0010-0000-0B00-000006000000}" name="Demande_jour" dataDxfId="77">
      <calculatedColumnFormula>IFERROR(IF(Site!$H$45=Liste!$T$17,Tab_Compteur_8[[#This Row],[Index]]-E2,Tab_Compteur_8[[#This Row],[Quantité]])/Tab_Compteur_8[[#This Row],[Delta Jour]],"")</calculatedColumnFormula>
    </tableColumn>
    <tableColumn id="7" xr3:uid="{00000000-0010-0000-0B00-000007000000}" name="Cout_jour" dataDxfId="76">
      <calculatedColumnFormula>IFERROR(Tab_Compteur_8[[#This Row],[Montant]]/Tab_Compteur_8[[#This Row],[Delta Jour]],"")</calculatedColumnFormula>
    </tableColumn>
    <tableColumn id="10" xr3:uid="{00000000-0010-0000-0B00-00000A000000}" name="Conso/Jour" dataDxfId="75" dataCellStyle="Milliers">
      <calculatedColumnFormula>G3</calculatedColumnFormula>
    </tableColumn>
    <tableColumn id="9" xr3:uid="{00000000-0010-0000-0B00-000009000000}" name="Commentaires" dataDxfId="7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eau12" displayName="Tableau12" ref="A1:J238" totalsRowShown="0" tableBorderDxfId="73">
  <autoFilter ref="A1:J238" xr:uid="{00000000-0009-0000-0100-00000C000000}"/>
  <tableColumns count="10">
    <tableColumn id="1" xr3:uid="{00000000-0010-0000-0C00-000001000000}" name="Date de _x000a_relève" dataDxfId="72"/>
    <tableColumn id="2" xr3:uid="{00000000-0010-0000-0C00-000002000000}" name="Quantité restante dans la cuve_x000a_(si remplissage, valeur _x000a_avant le plein)" dataDxfId="71"/>
    <tableColumn id="3" xr3:uid="{00000000-0010-0000-0C00-000003000000}" name="Remplissage / _x000a_Quantité remise" dataDxfId="70"/>
    <tableColumn id="8" xr3:uid="{00000000-0010-0000-0C00-000008000000}" name="Quantité restante dans la cuve après le plein" dataDxfId="69"/>
    <tableColumn id="11" xr3:uid="{00000000-0010-0000-0C00-00000B000000}" name="Quantité_x000a_/Jour" dataDxfId="68"/>
    <tableColumn id="10" xr3:uid="{00000000-0010-0000-0C00-00000A000000}" name="Fin de période" dataDxfId="67"/>
    <tableColumn id="7" xr3:uid="{00000000-0010-0000-0C00-000007000000}" name="Quantité" dataDxfId="66"/>
    <tableColumn id="5" xr3:uid="{00000000-0010-0000-0C00-000005000000}" name="Montant _x000a_HT ou TTC" dataDxfId="65"/>
    <tableColumn id="4" xr3:uid="{00000000-0010-0000-0C00-000004000000}" name="Observations" dataDxfId="64"/>
    <tableColumn id="9" xr3:uid="{00000000-0010-0000-0C00-000009000000}" name="Test Cohérence" dataDxfId="6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ableau9" displayName="Tableau9" ref="A1:F645" totalsRowShown="0" headerRowDxfId="187" dataDxfId="186" tableBorderDxfId="185">
  <autoFilter ref="A1:F645" xr:uid="{00000000-0009-0000-0100-000009000000}"/>
  <tableColumns count="6">
    <tableColumn id="1" xr3:uid="{2A2D97E4-4DF8-4C26-8A8F-4FEA971CFC67}" name="Station Météo" dataDxfId="184"/>
    <tableColumn id="2" xr3:uid="{00000000-0010-0000-0100-000002000000}" name="annee" dataDxfId="183"/>
    <tableColumn id="3" xr3:uid="{00000000-0010-0000-0100-000003000000}" name="mois" dataDxfId="182"/>
    <tableColumn id="6" xr3:uid="{00000000-0010-0000-0100-000006000000}" name="mois_numero" dataDxfId="181"/>
    <tableColumn id="4" xr3:uid="{00000000-0010-0000-0100-000004000000}" name="DJU(chauffagiste)" dataDxfId="180"/>
    <tableColumn id="5" xr3:uid="{00000000-0010-0000-0100-000005000000}" name="DJU(climaticien)" dataDxfId="17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9E338BB-10CF-4960-A9E7-D887197FEB3C}" name="Tableau16" displayName="Tableau16" ref="B6:J14" totalsRowShown="0" headerRowDxfId="170">
  <autoFilter ref="B6:J14" xr:uid="{49E338BB-10CF-4960-A9E7-D887197FEB3C}"/>
  <tableColumns count="9">
    <tableColumn id="1" xr3:uid="{8B17200F-9BD1-47AC-A0F8-BA472EAECD4A}" name="Compteur/Livraison" dataDxfId="169"/>
    <tableColumn id="2" xr3:uid="{BB5F658B-E7EA-4DD6-9EA6-1195C84B614D}" name="Type">
      <calculatedColumnFormula>Site!D38</calculatedColumnFormula>
    </tableColumn>
    <tableColumn id="3" xr3:uid="{28FB958F-701C-4E08-825F-2BE0A5966222}" name="Source">
      <calculatedColumnFormula>Site!E38</calculatedColumnFormula>
    </tableColumn>
    <tableColumn id="4" xr3:uid="{D8546A9A-956E-477C-BA05-20807B6B4B1E}" name="Detail usage">
      <calculatedColumnFormula>Site!F38</calculatedColumnFormula>
    </tableColumn>
    <tableColumn id="5" xr3:uid="{92085F3B-E60E-45E9-8FD0-6812374FDD8F}" name="Combustible ">
      <calculatedColumnFormula>Site!G38</calculatedColumnFormula>
    </tableColumn>
    <tableColumn id="6" xr3:uid="{9764D44B-0958-407E-A787-98EB27C70241}" name="PCI">
      <calculatedColumnFormula>IFERROR(VLOOKUP(F7,Liste!$A$5:$H$19,2,FALSE),0)</calculatedColumnFormula>
    </tableColumn>
    <tableColumn id="7" xr3:uid="{0F42AF64-3E82-47A1-8BC7-C2A19C4E0097}" name="PCI_DEET">
      <calculatedColumnFormula>IFERROR(VLOOKUP(F7,Liste!$A$5:$H$19,3,FALSE),0)</calculatedColumnFormula>
    </tableColumn>
    <tableColumn id="8" xr3:uid="{DB6703DA-7CB3-4D6B-A745-DA051C6E1144}" name="Nom" dataDxfId="168">
      <calculatedColumnFormula>Site!C38</calculatedColumnFormula>
    </tableColumn>
    <tableColumn id="9" xr3:uid="{E2FA0F00-B35E-4165-8B4E-7A9E5CB91FB6}" name="PCI_EP" dataDxfId="167">
      <calculatedColumnFormula>IFERROR(VLOOKUP(F7,Liste!$A$5:$H$19,7,FALSE),0)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_Compteur_1" displayName="Tab_Compteur_1" ref="A2:I243" headerRowDxfId="166">
  <autoFilter ref="A2:I243" xr:uid="{00000000-0009-0000-0100-000004000000}"/>
  <tableColumns count="9">
    <tableColumn id="1" xr3:uid="{00000000-0010-0000-0400-000001000000}" name="Début de période" totalsRowLabel="Total" dataDxfId="165">
      <calculatedColumnFormula>EDATE(B3,-1)</calculatedColumnFormula>
    </tableColumn>
    <tableColumn id="2" xr3:uid="{00000000-0010-0000-0400-000002000000}" name="Fin de période" dataDxfId="164" totalsRowDxfId="163">
      <calculatedColumnFormula>A4-1</calculatedColumnFormula>
    </tableColumn>
    <tableColumn id="3" xr3:uid="{00000000-0010-0000-0400-000003000000}" name="Quantité" dataDxfId="162" totalsRowDxfId="161" dataCellStyle="Milliers"/>
    <tableColumn id="4" xr3:uid="{00000000-0010-0000-0400-000004000000}" name="Montant" totalsRowDxfId="160" dataCellStyle="Monétaire"/>
    <tableColumn id="8" xr3:uid="{00000000-0010-0000-0400-000008000000}" name="Index" dataDxfId="159" totalsRowDxfId="158" dataCellStyle="Monétaire"/>
    <tableColumn id="5" xr3:uid="{00000000-0010-0000-0400-000005000000}" name="Delta Jour" dataDxfId="157">
      <calculatedColumnFormula>IFERROR(B3-A3+1,"")</calculatedColumnFormula>
    </tableColumn>
    <tableColumn id="6" xr3:uid="{00000000-0010-0000-0400-000006000000}" name="Demande_jour" dataDxfId="156">
      <calculatedColumnFormula>IFERROR(IF(Str_TypeDonneesCpt=Cpt_Index,Tab_Compteur_1[[#This Row],[Index]],Tab_Compteur_1[[#This Row],[Quantité]])/Tab_Compteur_1[[#This Row],[Delta Jour]],"")</calculatedColumnFormula>
    </tableColumn>
    <tableColumn id="7" xr3:uid="{00000000-0010-0000-0400-000007000000}" name="Cout_jour" dataDxfId="155">
      <calculatedColumnFormula>IFERROR(Tab_Compteur_1[[#This Row],[Montant]]/Tab_Compteur_1[[#This Row],[Delta Jour]],"")</calculatedColumnFormula>
    </tableColumn>
    <tableColumn id="9" xr3:uid="{00000000-0010-0000-0400-000009000000}" name="Conso/Jour" totalsRowFunction="count" dataDxfId="154" totalsRowDxfId="153" dataCellStyle="Milliers">
      <calculatedColumnFormula>G3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_fériés" displayName="Tab_fériés" ref="O2:R288" totalsRowShown="0">
  <autoFilter ref="O2:R288" xr:uid="{00000000-0009-0000-0100-00000B000000}"/>
  <tableColumns count="4">
    <tableColumn id="1" xr3:uid="{00000000-0010-0000-0300-000001000000}" name="date" dataDxfId="152"/>
    <tableColumn id="2" xr3:uid="{00000000-0010-0000-0300-000002000000}" name="annee"/>
    <tableColumn id="3" xr3:uid="{00000000-0010-0000-0300-000003000000}" name="zone"/>
    <tableColumn id="4" xr3:uid="{00000000-0010-0000-0300-000004000000}" name="nom_jour_feri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_Compteur_2" displayName="Tab_Compteur_2" ref="A2:J243" totalsRowShown="0" headerRowDxfId="151">
  <autoFilter ref="A2:J243" xr:uid="{00000000-0009-0000-0100-000001000000}"/>
  <tableColumns count="10">
    <tableColumn id="1" xr3:uid="{00000000-0010-0000-0500-000001000000}" name="Début de période" dataDxfId="150">
      <calculatedColumnFormula>EDATE(Tab_Compteur_2[[#This Row],[Fin de période]],-1)+1</calculatedColumnFormula>
    </tableColumn>
    <tableColumn id="2" xr3:uid="{00000000-0010-0000-0500-000002000000}" name="Fin de période" dataDxfId="149"/>
    <tableColumn id="3" xr3:uid="{00000000-0010-0000-0500-000003000000}" name="Quantité" dataDxfId="148" dataCellStyle="Milliers"/>
    <tableColumn id="4" xr3:uid="{00000000-0010-0000-0500-000004000000}" name="Colonne1" dataDxfId="147" dataCellStyle="Monétaire">
      <calculatedColumnFormula>Tab_Compteur_2[[#This Row],[Quantité]]/1000*100</calculatedColumnFormula>
    </tableColumn>
    <tableColumn id="8" xr3:uid="{00000000-0010-0000-0500-000008000000}" name="Index" dataDxfId="146" dataCellStyle="Monétaire"/>
    <tableColumn id="5" xr3:uid="{00000000-0010-0000-0500-000005000000}" name="Delta Jour" dataDxfId="145">
      <calculatedColumnFormula>IF(Tab_Compteur_2[[#This Row],[Fin de période]]&gt;0,IFERROR(B3-A3+1,""),"")</calculatedColumnFormula>
    </tableColumn>
    <tableColumn id="6" xr3:uid="{00000000-0010-0000-0500-000006000000}" name="Demande_jour" dataDxfId="144"/>
    <tableColumn id="7" xr3:uid="{00000000-0010-0000-0500-000007000000}" name="Cout_jour" dataDxfId="143"/>
    <tableColumn id="9" xr3:uid="{00000000-0010-0000-0500-000009000000}" name="Conso/Jour" dataDxfId="142" dataCellStyle="Milliers"/>
    <tableColumn id="10" xr3:uid="{77250D45-A343-42D4-90AF-ACBC0097E73D}" name="Colonne2" dataDxfId="14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_Compteur_3" displayName="Tab_Compteur_3" ref="A2:J243" totalsRowShown="0">
  <autoFilter ref="A2:J243" xr:uid="{00000000-0009-0000-0100-000002000000}"/>
  <tableColumns count="10">
    <tableColumn id="7" xr3:uid="{00000000-0010-0000-0600-000007000000}" name="Début de période" dataDxfId="140">
      <calculatedColumnFormula>B2+1</calculatedColumnFormula>
    </tableColumn>
    <tableColumn id="1" xr3:uid="{00000000-0010-0000-0600-000001000000}" name="Fin de période" dataDxfId="139"/>
    <tableColumn id="2" xr3:uid="{00000000-0010-0000-0600-000002000000}" name="Quantité" dataDxfId="138">
      <calculatedColumnFormula>E3-E2</calculatedColumnFormula>
    </tableColumn>
    <tableColumn id="3" xr3:uid="{00000000-0010-0000-0600-000003000000}" name="Montant" dataDxfId="137"/>
    <tableColumn id="8" xr3:uid="{00000000-0010-0000-0600-000008000000}" name="Index" dataDxfId="136" dataCellStyle="Monétaire"/>
    <tableColumn id="4" xr3:uid="{00000000-0010-0000-0600-000004000000}" name="Delta Jour" dataDxfId="135">
      <calculatedColumnFormula>IFERROR(B3-A3+1,"")</calculatedColumnFormula>
    </tableColumn>
    <tableColumn id="5" xr3:uid="{00000000-0010-0000-0600-000005000000}" name="Demande_jour" dataDxfId="134">
      <calculatedColumnFormula>IFERROR(Tab_Compteur_3[[#This Row],[Quantité]]/Tab_Compteur_3[[#This Row],[Delta Jour]],"")</calculatedColumnFormula>
    </tableColumn>
    <tableColumn id="6" xr3:uid="{00000000-0010-0000-0600-000006000000}" name="Cout_jour" dataDxfId="133">
      <calculatedColumnFormula>IFERROR(Tab_Compteur_3[[#This Row],[Montant]]/Tab_Compteur_3[[#This Row],[Delta Jour]],"")</calculatedColumnFormula>
    </tableColumn>
    <tableColumn id="9" xr3:uid="{00000000-0010-0000-0600-000009000000}" name="Conso/Jour" dataDxfId="132">
      <calculatedColumnFormula>G3</calculatedColumnFormula>
    </tableColumn>
    <tableColumn id="10" xr3:uid="{00000000-0010-0000-0600-00000A000000}" name="Commentaires" dataDxfId="13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_Compteur_4" displayName="Tab_Compteur_4" ref="A2:J243" totalsRowShown="0">
  <autoFilter ref="A2:J243" xr:uid="{00000000-0009-0000-0100-000003000000}"/>
  <tableColumns count="10">
    <tableColumn id="7" xr3:uid="{00000000-0010-0000-0700-000007000000}" name="Début de période" dataDxfId="130">
      <calculatedColumnFormula>B2+1</calculatedColumnFormula>
    </tableColumn>
    <tableColumn id="1" xr3:uid="{00000000-0010-0000-0700-000001000000}" name="Fin de période" dataDxfId="129">
      <calculatedColumnFormula>A4-1</calculatedColumnFormula>
    </tableColumn>
    <tableColumn id="2" xr3:uid="{00000000-0010-0000-0700-000002000000}" name="Quantité" dataDxfId="128"/>
    <tableColumn id="3" xr3:uid="{00000000-0010-0000-0700-000003000000}" name="Montant" dataCellStyle="Monétaire"/>
    <tableColumn id="9" xr3:uid="{00000000-0010-0000-0700-000009000000}" name="Index" dataDxfId="127" dataCellStyle="Monétaire"/>
    <tableColumn id="4" xr3:uid="{00000000-0010-0000-0700-000004000000}" name="Delta Jour" dataDxfId="126">
      <calculatedColumnFormula>IFERROR(B3-A3+1,"")</calculatedColumnFormula>
    </tableColumn>
    <tableColumn id="5" xr3:uid="{00000000-0010-0000-0700-000005000000}" name="Demande_jour" dataDxfId="125">
      <calculatedColumnFormula>IFERROR(IF(Str_TypeDonneesCpt4=Cpt_Index,Tab_Compteur_4[[#This Row],[Index]]-M6,Tab_Compteur_4[[#This Row],[Quantité]])/Tab_Compteur_4[[#This Row],[Delta Jour]],"")</calculatedColumnFormula>
    </tableColumn>
    <tableColumn id="6" xr3:uid="{00000000-0010-0000-0700-000006000000}" name="Cout_jour" dataDxfId="124">
      <calculatedColumnFormula>IFERROR(Tab_Compteur_4[[#This Row],[Montant]]/Tab_Compteur_4[[#This Row],[Delta Jour]],"")</calculatedColumnFormula>
    </tableColumn>
    <tableColumn id="8" xr3:uid="{00000000-0010-0000-0700-000008000000}" name="Conso/Jour" dataDxfId="123" dataCellStyle="Milliers">
      <calculatedColumnFormula>G3</calculatedColumnFormula>
    </tableColumn>
    <tableColumn id="10" xr3:uid="{00000000-0010-0000-0700-00000A000000}" name="Commentaires" dataDxfId="12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_Compteur_5" displayName="Tab_Compteur_5" ref="A2:J243" totalsRowShown="0">
  <autoFilter ref="A2:J243" xr:uid="{00000000-0009-0000-0100-00000A000000}"/>
  <tableColumns count="10">
    <tableColumn id="7" xr3:uid="{00000000-0010-0000-0800-000007000000}" name="Début de période" dataDxfId="121">
      <calculatedColumnFormula>IF(#REF!&gt;0,B2+1,"")</calculatedColumnFormula>
    </tableColumn>
    <tableColumn id="1" xr3:uid="{00000000-0010-0000-0800-000001000000}" name="Fin de période" dataDxfId="120">
      <calculatedColumnFormula>A4-1</calculatedColumnFormula>
    </tableColumn>
    <tableColumn id="2" xr3:uid="{00000000-0010-0000-0800-000002000000}" name="Quantité" dataDxfId="119"/>
    <tableColumn id="3" xr3:uid="{00000000-0010-0000-0800-000003000000}" name="Montant" dataDxfId="118" dataCellStyle="Monétaire"/>
    <tableColumn id="8" xr3:uid="{00000000-0010-0000-0800-000008000000}" name="Index" dataDxfId="117" dataCellStyle="Monétaire"/>
    <tableColumn id="4" xr3:uid="{00000000-0010-0000-0800-000004000000}" name="Delta Jour" dataDxfId="116">
      <calculatedColumnFormula>IFERROR(B3-A3+1,"")</calculatedColumnFormula>
    </tableColumn>
    <tableColumn id="5" xr3:uid="{00000000-0010-0000-0800-000005000000}" name="Demande_jour" dataDxfId="115">
      <calculatedColumnFormula>IFERROR(IF(Str_TypeDonneesCpt5=Cpt_Index,Tab_Compteur_5[[#This Row],[Index]]-M6,Tab_Compteur_5[[#This Row],[Quantité]])/Tab_Compteur_5[[#This Row],[Delta Jour]],"")</calculatedColumnFormula>
    </tableColumn>
    <tableColumn id="6" xr3:uid="{00000000-0010-0000-0800-000006000000}" name="Cout_jour" dataDxfId="114">
      <calculatedColumnFormula>IFERROR(Tab_Compteur_5[[#This Row],[Montant]]/Tab_Compteur_5[[#This Row],[Delta Jour]],"")</calculatedColumnFormula>
    </tableColumn>
    <tableColumn id="10" xr3:uid="{00000000-0010-0000-0800-00000A000000}" name="Conso/Jour" dataDxfId="113" dataCellStyle="Milliers">
      <calculatedColumnFormula>G3</calculatedColumnFormula>
    </tableColumn>
    <tableColumn id="9" xr3:uid="{00000000-0010-0000-0800-000009000000}" name="Commentaires" dataDxfId="11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3-09-27T13:08:57.60" personId="{60167206-CCD6-4093-AFD2-6704D86DD72F}" id="{D0FFACD2-8BE7-466C-BE6F-692B13DB66A4}">
    <text xml:space="preserve">La valeur Cabs est l'objectif de consommation en valeur aboslue calculée par la plateforme OPERAT. Elle permet de calculer l'ajustement climatique du chauffage et du refroidissement. La valeur par défaut si la Cabs de votre bâtiment vous est inconnue </text>
  </threadedComment>
</ThreadedComments>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s" xr10:uid="{B0A81E4B-F923-4E29-A6FE-61AD217721E4}" sourceName="[Tab_concat].[Dates]">
  <pivotTables>
    <pivotTable tabId="39" name="Tableau croisé dynamique1"/>
    <pivotTable tabId="4294967295" name="PivotChartTable3"/>
  </pivotTables>
  <state minimalRefreshVersion="6" lastRefreshVersion="6" pivotCacheId="2091885813" filterType="dateBetween">
    <selection startDate="2026-01-01T00:00:00" endDate="2026-12-31T00:00:00"/>
    <bounds startDate="2012-01-01T00:00:00" endDate="2013-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s1" xr10:uid="{03FFFCF9-240F-42A5-A387-DD8D35556636}" sourceName="[Tab_concat].[Dates]">
  <pivotTables>
    <pivotTable tabId="4294967295" name="PivotChartTable1"/>
    <pivotTable tabId="4294967295" name="PivotChartTable2"/>
  </pivotTables>
  <state minimalRefreshVersion="6" lastRefreshVersion="6" pivotCacheId="1042516808" filterType="dateBetween">
    <selection startDate="2026-01-01T00:00:00" endDate="2026-12-31T00:00:00"/>
    <bounds startDate="1899-12-3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s" xr10:uid="{6B96B2EC-48FD-4B9A-A70D-37A4CB20D0CD}" cache="Chronologie_Dates" caption="Dates" showHeader="0" showSelectionLabel="0" level="0" selectionLevel="0" scrollPosition="2012-01-01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s 1" xr10:uid="{A68BFF6A-259C-4E81-A01F-20B5C2BCAA15}" cache="Chronologie_Dates1" caption="Dates" level="0" selectionLevel="0" scrollPosition="2013-01-01T00:00:00"/>
</timeline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operat.ademe.fr/" TargetMode="External"/><Relationship Id="rId1" Type="http://schemas.openxmlformats.org/officeDocument/2006/relationships/pivotTable" Target="../pivotTables/pivotTable13.xml"/><Relationship Id="rId5" Type="http://schemas.microsoft.com/office/2007/relationships/slicer" Target="../slicers/slicer4.xml"/><Relationship Id="rId4"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8" Type="http://schemas.microsoft.com/office/2007/relationships/slicer" Target="../slicers/slicer5.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drawing" Target="../drawings/drawing11.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19.xml"/><Relationship Id="rId5" Type="http://schemas.microsoft.com/office/2011/relationships/timeline" Target="../timelines/timeline1.xml"/><Relationship Id="rId4" Type="http://schemas.microsoft.com/office/2007/relationships/slicer" Target="../slicers/slicer6.xml"/></Relationships>
</file>

<file path=xl/worksheets/_rels/sheet18.xml.rels><?xml version="1.0" encoding="UTF-8" standalone="yes"?>
<Relationships xmlns="http://schemas.openxmlformats.org/package/2006/relationships"><Relationship Id="rId3" Type="http://schemas.microsoft.com/office/2011/relationships/timeline" Target="../timelines/timeline2.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21.bin"/><Relationship Id="rId5" Type="http://schemas.openxmlformats.org/officeDocument/2006/relationships/comments" Target="../comments6.xml"/><Relationship Id="rId4"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2.bin"/><Relationship Id="rId5" Type="http://schemas.openxmlformats.org/officeDocument/2006/relationships/comments" Target="../comments7.xml"/><Relationship Id="rId4" Type="http://schemas.openxmlformats.org/officeDocument/2006/relationships/table" Target="../tables/table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3.bin"/><Relationship Id="rId5" Type="http://schemas.openxmlformats.org/officeDocument/2006/relationships/comments" Target="../comments8.xml"/><Relationship Id="rId4"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5" Type="http://schemas.microsoft.com/office/2007/relationships/slicer" Target="../slicers/slicer1.xm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5.bin"/><Relationship Id="rId5" Type="http://schemas.openxmlformats.org/officeDocument/2006/relationships/comments" Target="../comments10.xml"/><Relationship Id="rId4" Type="http://schemas.openxmlformats.org/officeDocument/2006/relationships/table" Target="../tables/table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6.bin"/><Relationship Id="rId5" Type="http://schemas.openxmlformats.org/officeDocument/2006/relationships/comments" Target="../comments11.xml"/><Relationship Id="rId4"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7.bin"/><Relationship Id="rId5" Type="http://schemas.openxmlformats.org/officeDocument/2006/relationships/comments" Target="../comments12.xml"/><Relationship Id="rId4" Type="http://schemas.openxmlformats.org/officeDocument/2006/relationships/table" Target="../tables/table1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8.bin"/><Relationship Id="rId5" Type="http://schemas.openxmlformats.org/officeDocument/2006/relationships/comments" Target="../comments13.xml"/><Relationship Id="rId4" Type="http://schemas.openxmlformats.org/officeDocument/2006/relationships/table" Target="../tables/table1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9.bin"/><Relationship Id="rId5" Type="http://schemas.openxmlformats.org/officeDocument/2006/relationships/comments" Target="../comments14.xml"/><Relationship Id="rId4" Type="http://schemas.openxmlformats.org/officeDocument/2006/relationships/table" Target="../tables/table1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pivotTable" Target="../pivotTables/pivotTable7.xml"/><Relationship Id="rId7" Type="http://schemas.openxmlformats.org/officeDocument/2006/relationships/vmlDrawing" Target="../drawings/vmlDrawing1.v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infoclimat.fr/climatologie/annee/2024/le-mans-arnage/valeurs/07235.html"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0.xml"/><Relationship Id="rId7" Type="http://schemas.openxmlformats.org/officeDocument/2006/relationships/comments" Target="../comments3.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vmlDrawing" Target="../drawings/vmlDrawing3.vml"/><Relationship Id="rId5" Type="http://schemas.openxmlformats.org/officeDocument/2006/relationships/printerSettings" Target="../printerSettings/printerSettings8.bin"/><Relationship Id="rId4"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2"/>
  <dimension ref="A1:AI395"/>
  <sheetViews>
    <sheetView workbookViewId="0"/>
  </sheetViews>
  <sheetFormatPr baseColWidth="10" defaultColWidth="11.42578125" defaultRowHeight="15"/>
  <cols>
    <col min="1" max="1" width="40.7109375" style="281" customWidth="1"/>
    <col min="2" max="2" width="43.140625" style="281" customWidth="1"/>
    <col min="3" max="3" width="105.5703125" style="281" bestFit="1" customWidth="1"/>
    <col min="4" max="4" width="30.28515625" style="281" customWidth="1"/>
    <col min="5" max="5" width="11.42578125" style="281"/>
    <col min="6" max="6" width="24.5703125" style="281" customWidth="1"/>
    <col min="7" max="7" width="11.42578125" style="281"/>
    <col min="8" max="8" width="17.5703125" style="281" customWidth="1"/>
    <col min="9" max="9" width="31.28515625" style="281" bestFit="1" customWidth="1"/>
    <col min="10" max="10" width="54.140625" style="281" customWidth="1"/>
    <col min="11" max="11" width="27" style="281" customWidth="1"/>
    <col min="12" max="12" width="31.7109375" style="281" bestFit="1" customWidth="1"/>
    <col min="13" max="13" width="23.140625" style="281" bestFit="1" customWidth="1"/>
    <col min="14" max="16" width="11.42578125" style="281"/>
    <col min="17" max="17" width="30.42578125" style="281" customWidth="1"/>
    <col min="18" max="16384" width="11.42578125" style="281"/>
  </cols>
  <sheetData>
    <row r="1" spans="1:35">
      <c r="B1" s="281" t="s">
        <v>135</v>
      </c>
      <c r="D1" s="281" t="str">
        <f>'Surface DEET'!E3</f>
        <v>H2b</v>
      </c>
    </row>
    <row r="2" spans="1:35">
      <c r="B2" s="281" t="s">
        <v>136</v>
      </c>
      <c r="D2" s="281" t="str">
        <f>'Surface DEET'!E4</f>
        <v>Altitude &lt; 400 m</v>
      </c>
    </row>
    <row r="5" spans="1:35">
      <c r="F5" s="281" t="s">
        <v>552</v>
      </c>
      <c r="G5" s="281" t="s">
        <v>553</v>
      </c>
      <c r="H5" s="281" t="s">
        <v>554</v>
      </c>
      <c r="I5" s="281" t="s">
        <v>555</v>
      </c>
      <c r="J5" s="281" t="s">
        <v>556</v>
      </c>
      <c r="K5" s="281" t="s">
        <v>557</v>
      </c>
      <c r="L5" s="281" t="s">
        <v>558</v>
      </c>
      <c r="M5" s="281" t="s">
        <v>559</v>
      </c>
      <c r="N5" s="281" t="s">
        <v>560</v>
      </c>
      <c r="O5" s="281" t="s">
        <v>561</v>
      </c>
      <c r="P5" s="281" t="s">
        <v>562</v>
      </c>
      <c r="Q5" s="281" t="s">
        <v>563</v>
      </c>
      <c r="R5" s="281" t="s">
        <v>564</v>
      </c>
      <c r="S5" s="281" t="s">
        <v>565</v>
      </c>
      <c r="T5" s="281" t="s">
        <v>566</v>
      </c>
      <c r="U5" s="281" t="s">
        <v>567</v>
      </c>
      <c r="V5" s="281" t="s">
        <v>568</v>
      </c>
      <c r="W5" s="281" t="s">
        <v>569</v>
      </c>
      <c r="X5" s="281" t="s">
        <v>570</v>
      </c>
      <c r="Y5" s="281" t="s">
        <v>571</v>
      </c>
      <c r="Z5" s="281" t="s">
        <v>572</v>
      </c>
      <c r="AA5" s="281" t="s">
        <v>573</v>
      </c>
      <c r="AB5" s="281" t="s">
        <v>574</v>
      </c>
      <c r="AC5" s="281" t="s">
        <v>575</v>
      </c>
      <c r="AD5" s="281" t="s">
        <v>576</v>
      </c>
      <c r="AE5" s="281" t="s">
        <v>577</v>
      </c>
      <c r="AF5" s="281" t="s">
        <v>578</v>
      </c>
      <c r="AG5" s="281" t="s">
        <v>579</v>
      </c>
      <c r="AH5" s="281" t="s">
        <v>580</v>
      </c>
      <c r="AI5" s="281" t="s">
        <v>581</v>
      </c>
    </row>
    <row r="6" spans="1:35">
      <c r="F6" s="281" t="str">
        <f>INDEX('Surface DEET'!$E$9:$E$38,COLUMN(Calculs_CABS!F5)-COLUMN(Calculs_CABS!$E$5),1)</f>
        <v>Etablissement d'hébergement pour personnes âgées dépendantes (EHPAD) - Zones de vie</v>
      </c>
      <c r="G6" s="281">
        <f>INDEX('Surface DEET'!$E$9:$E$38,COLUMN(Calculs_CABS!G5)-COLUMN(Calculs_CABS!$E$5),1)</f>
        <v>0</v>
      </c>
      <c r="H6" s="281">
        <f>INDEX('Surface DEET'!$E$9:$E$38,COLUMN(Calculs_CABS!H5)-COLUMN(Calculs_CABS!$E$5),1)</f>
        <v>0</v>
      </c>
      <c r="I6" s="281">
        <f>INDEX('Surface DEET'!$E$9:$E$38,COLUMN(Calculs_CABS!I5)-COLUMN(Calculs_CABS!$E$5),1)</f>
        <v>0</v>
      </c>
      <c r="J6" s="281">
        <f>INDEX('Surface DEET'!$E$9:$E$38,COLUMN(Calculs_CABS!J5)-COLUMN(Calculs_CABS!$E$5),1)</f>
        <v>0</v>
      </c>
      <c r="K6" s="281">
        <f>INDEX('Surface DEET'!$E$9:$E$38,COLUMN(Calculs_CABS!K5)-COLUMN(Calculs_CABS!$E$5),1)</f>
        <v>0</v>
      </c>
      <c r="L6" s="281">
        <f>INDEX('Surface DEET'!$E$9:$E$38,COLUMN(Calculs_CABS!L5)-COLUMN(Calculs_CABS!$E$5),1)</f>
        <v>0</v>
      </c>
      <c r="M6" s="281">
        <f>INDEX('Surface DEET'!$E$9:$E$38,COLUMN(Calculs_CABS!M5)-COLUMN(Calculs_CABS!$E$5),1)</f>
        <v>0</v>
      </c>
      <c r="N6" s="281">
        <f>INDEX('Surface DEET'!$E$9:$E$38,COLUMN(Calculs_CABS!N5)-COLUMN(Calculs_CABS!$E$5),1)</f>
        <v>0</v>
      </c>
      <c r="O6" s="281">
        <f>INDEX('Surface DEET'!$E$9:$E$38,COLUMN(Calculs_CABS!O5)-COLUMN(Calculs_CABS!$E$5),1)</f>
        <v>0</v>
      </c>
      <c r="P6" s="281">
        <f>INDEX('Surface DEET'!$E$9:$E$38,COLUMN(Calculs_CABS!P5)-COLUMN(Calculs_CABS!$E$5),1)</f>
        <v>0</v>
      </c>
      <c r="Q6" s="281">
        <f>INDEX('Surface DEET'!$E$9:$E$38,COLUMN(Calculs_CABS!Q5)-COLUMN(Calculs_CABS!$E$5),1)</f>
        <v>0</v>
      </c>
      <c r="R6" s="281">
        <f>INDEX('Surface DEET'!$E$9:$E$38,COLUMN(Calculs_CABS!R5)-COLUMN(Calculs_CABS!$E$5),1)</f>
        <v>0</v>
      </c>
      <c r="S6" s="281">
        <f>INDEX('Surface DEET'!$E$9:$E$38,COLUMN(Calculs_CABS!S5)-COLUMN(Calculs_CABS!$E$5),1)</f>
        <v>0</v>
      </c>
      <c r="T6" s="281">
        <f>INDEX('Surface DEET'!$E$9:$E$38,COLUMN(Calculs_CABS!T5)-COLUMN(Calculs_CABS!$E$5),1)</f>
        <v>0</v>
      </c>
      <c r="U6" s="281">
        <f>INDEX('Surface DEET'!$E$9:$E$38,COLUMN(Calculs_CABS!U5)-COLUMN(Calculs_CABS!$E$5),1)</f>
        <v>0</v>
      </c>
      <c r="V6" s="281">
        <f>INDEX('Surface DEET'!$E$9:$E$38,COLUMN(Calculs_CABS!V5)-COLUMN(Calculs_CABS!$E$5),1)</f>
        <v>0</v>
      </c>
      <c r="W6" s="281">
        <f>INDEX('Surface DEET'!$E$9:$E$38,COLUMN(Calculs_CABS!W5)-COLUMN(Calculs_CABS!$E$5),1)</f>
        <v>0</v>
      </c>
      <c r="X6" s="281">
        <f>INDEX('Surface DEET'!$E$9:$E$38,COLUMN(Calculs_CABS!X5)-COLUMN(Calculs_CABS!$E$5),1)</f>
        <v>0</v>
      </c>
      <c r="Y6" s="281">
        <f>INDEX('Surface DEET'!$E$9:$E$38,COLUMN(Calculs_CABS!Y5)-COLUMN(Calculs_CABS!$E$5),1)</f>
        <v>0</v>
      </c>
      <c r="Z6" s="281">
        <f>INDEX('Surface DEET'!$E$9:$E$38,COLUMN(Calculs_CABS!Z5)-COLUMN(Calculs_CABS!$E$5),1)</f>
        <v>0</v>
      </c>
      <c r="AA6" s="281">
        <f>INDEX('Surface DEET'!$E$9:$E$38,COLUMN(Calculs_CABS!AA5)-COLUMN(Calculs_CABS!$E$5),1)</f>
        <v>0</v>
      </c>
      <c r="AB6" s="281">
        <f>INDEX('Surface DEET'!$E$9:$E$38,COLUMN(Calculs_CABS!AB5)-COLUMN(Calculs_CABS!$E$5),1)</f>
        <v>0</v>
      </c>
      <c r="AC6" s="281">
        <f>INDEX('Surface DEET'!$E$9:$E$38,COLUMN(Calculs_CABS!AC5)-COLUMN(Calculs_CABS!$E$5),1)</f>
        <v>0</v>
      </c>
      <c r="AD6" s="281">
        <f>INDEX('Surface DEET'!$E$9:$E$38,COLUMN(Calculs_CABS!AD5)-COLUMN(Calculs_CABS!$E$5),1)</f>
        <v>0</v>
      </c>
      <c r="AE6" s="281">
        <f>INDEX('Surface DEET'!$E$9:$E$38,COLUMN(Calculs_CABS!AE5)-COLUMN(Calculs_CABS!$E$5),1)</f>
        <v>0</v>
      </c>
      <c r="AF6" s="281">
        <f>INDEX('Surface DEET'!$E$9:$E$38,COLUMN(Calculs_CABS!AF5)-COLUMN(Calculs_CABS!$E$5),1)</f>
        <v>0</v>
      </c>
      <c r="AG6" s="281">
        <f>INDEX('Surface DEET'!$E$9:$E$38,COLUMN(Calculs_CABS!AG5)-COLUMN(Calculs_CABS!$E$5),1)</f>
        <v>0</v>
      </c>
      <c r="AH6" s="281">
        <f>INDEX('Surface DEET'!$E$9:$E$38,COLUMN(Calculs_CABS!AH5)-COLUMN(Calculs_CABS!$E$5),1)</f>
        <v>0</v>
      </c>
      <c r="AI6" s="281">
        <f>INDEX('Surface DEET'!$E$9:$E$38,COLUMN(Calculs_CABS!AI5)-COLUMN(Calculs_CABS!$E$5),1)</f>
        <v>0</v>
      </c>
    </row>
    <row r="7" spans="1:35">
      <c r="D7" s="32" t="s">
        <v>582</v>
      </c>
      <c r="F7" s="281">
        <f t="array" ref="F7">INDEX($C$9:$AI$900,MATCH(1,($C$9:$C$900=F$6)*($D$9:$D$900="Use modulé"),0),COLUMN(F6)-COLUMN($C$6)+1)</f>
        <v>76</v>
      </c>
      <c r="G7" s="281" t="e">
        <f t="array" ref="G7">INDEX($C$9:$AI$900,MATCH(1,($C$9:$C$900=G$6)*($D$9:$D$900="Use modulé"),0),COLUMN(G6)-COLUMN($C$6)+1)</f>
        <v>#N/A</v>
      </c>
      <c r="H7" s="281" t="e">
        <f t="array" ref="H7">INDEX($C$9:$AI$900,MATCH(1,($C$9:$C$900=H$6)*($D$9:$D$900="Use modulé"),0),COLUMN(H6)-COLUMN($C$6)+1)</f>
        <v>#N/A</v>
      </c>
      <c r="I7" s="281" t="e">
        <f t="array" ref="I7">INDEX($C$9:$AI$900,MATCH(1,($C$9:$C$900=I$6)*($D$9:$D$900="Use modulé"),0),COLUMN(I6)-COLUMN($C$6)+1)</f>
        <v>#N/A</v>
      </c>
      <c r="J7" s="281" t="e">
        <f t="array" ref="J7">INDEX($C$9:$AI$900,MATCH(1,($C$9:$C$900=J$6)*($D$9:$D$900="Use modulé"),0),COLUMN(J6)-COLUMN($C$6)+1)</f>
        <v>#N/A</v>
      </c>
      <c r="K7" s="281" t="e">
        <f t="array" ref="K7">INDEX($C$9:$AI$900,MATCH(1,($C$9:$C$900=K$6)*($D$9:$D$900="Use modulé"),0),COLUMN(K6)-COLUMN($C$6)+1)</f>
        <v>#N/A</v>
      </c>
      <c r="L7" s="281" t="e">
        <f t="array" ref="L7">INDEX($C$9:$AI$900,MATCH(1,($C$9:$C$900=L$6)*($D$9:$D$900="Use modulé"),0),COLUMN(L6)-COLUMN($C$6)+1)</f>
        <v>#N/A</v>
      </c>
      <c r="M7" s="281" t="e">
        <f t="array" ref="M7">INDEX($C$9:$AI$900,MATCH(1,($C$9:$C$900=M$6)*($D$9:$D$900="Use modulé"),0),COLUMN(M6)-COLUMN($C$6)+1)</f>
        <v>#N/A</v>
      </c>
      <c r="N7" s="281" t="e">
        <f t="array" ref="N7">INDEX($C$9:$AI$900,MATCH(1,($C$9:$C$900=N$6)*($D$9:$D$900="Use modulé"),0),COLUMN(N6)-COLUMN($C$6)+1)</f>
        <v>#N/A</v>
      </c>
      <c r="O7" s="281" t="e">
        <f t="array" ref="O7">INDEX($C$9:$AI$900,MATCH(1,($C$9:$C$900=O$6)*($D$9:$D$900="Use modulé"),0),COLUMN(O6)-COLUMN($C$6)+1)</f>
        <v>#N/A</v>
      </c>
      <c r="P7" s="281" t="e">
        <f t="array" ref="P7">INDEX($C$9:$AI$900,MATCH(1,($C$9:$C$900=P$6)*($D$9:$D$900="Use modulé"),0),COLUMN(P6)-COLUMN($C$6)+1)</f>
        <v>#N/A</v>
      </c>
      <c r="Q7" s="281" t="e">
        <f t="array" ref="Q7">INDEX($C$9:$AI$900,MATCH(1,($C$9:$C$900=Q$6)*($D$9:$D$900="Use modulé"),0),COLUMN(Q6)-COLUMN($C$6)+1)</f>
        <v>#N/A</v>
      </c>
      <c r="R7" s="281" t="e">
        <f t="array" ref="R7">INDEX($C$9:$AI$900,MATCH(1,($C$9:$C$900=R$6)*($D$9:$D$900="Use modulé"),0),COLUMN(R6)-COLUMN($C$6)+1)</f>
        <v>#N/A</v>
      </c>
      <c r="S7" s="281" t="e">
        <f t="array" ref="S7">INDEX($C$9:$AI$900,MATCH(1,($C$9:$C$900=S$6)*($D$9:$D$900="Use modulé"),0),COLUMN(S6)-COLUMN($C$6)+1)</f>
        <v>#N/A</v>
      </c>
      <c r="T7" s="281" t="e">
        <f t="array" ref="T7">INDEX($C$9:$AI$900,MATCH(1,($C$9:$C$900=T$6)*($D$9:$D$900="Use modulé"),0),COLUMN(T6)-COLUMN($C$6)+1)</f>
        <v>#N/A</v>
      </c>
      <c r="U7" s="281" t="e">
        <f t="array" ref="U7">INDEX($C$9:$AI$900,MATCH(1,($C$9:$C$900=U$6)*($D$9:$D$900="Use modulé"),0),COLUMN(U6)-COLUMN($C$6)+1)</f>
        <v>#N/A</v>
      </c>
      <c r="V7" s="281" t="e">
        <f t="array" ref="V7">INDEX($C$9:$AI$900,MATCH(1,($C$9:$C$900=V$6)*($D$9:$D$900="Use modulé"),0),COLUMN(V6)-COLUMN($C$6)+1)</f>
        <v>#N/A</v>
      </c>
      <c r="W7" s="281" t="e">
        <f t="array" ref="W7">INDEX($C$9:$AI$900,MATCH(1,($C$9:$C$900=W$6)*($D$9:$D$900="Use modulé"),0),COLUMN(W6)-COLUMN($C$6)+1)</f>
        <v>#N/A</v>
      </c>
      <c r="X7" s="281" t="e">
        <f t="array" ref="X7">INDEX($C$9:$AI$900,MATCH(1,($C$9:$C$900=X$6)*($D$9:$D$900="Use modulé"),0),COLUMN(X6)-COLUMN($C$6)+1)</f>
        <v>#N/A</v>
      </c>
      <c r="Y7" s="281" t="e">
        <f t="array" ref="Y7">INDEX($C$9:$AI$900,MATCH(1,($C$9:$C$900=Y$6)*($D$9:$D$900="Use modulé"),0),COLUMN(Y6)-COLUMN($C$6)+1)</f>
        <v>#N/A</v>
      </c>
      <c r="Z7" s="281" t="e">
        <f t="array" ref="Z7">INDEX($C$9:$AI$900,MATCH(1,($C$9:$C$900=Z$6)*($D$9:$D$900="Use modulé"),0),COLUMN(Z6)-COLUMN($C$6)+1)</f>
        <v>#N/A</v>
      </c>
      <c r="AA7" s="281" t="e">
        <f t="array" ref="AA7">INDEX($C$9:$AI$900,MATCH(1,($C$9:$C$900=AA$6)*($D$9:$D$900="Use modulé"),0),COLUMN(AA6)-COLUMN($C$6)+1)</f>
        <v>#N/A</v>
      </c>
      <c r="AB7" s="281" t="e">
        <f t="array" ref="AB7">INDEX($C$9:$AI$900,MATCH(1,($C$9:$C$900=AB$6)*($D$9:$D$900="Use modulé"),0),COLUMN(AB6)-COLUMN($C$6)+1)</f>
        <v>#N/A</v>
      </c>
      <c r="AC7" s="281" t="e">
        <f t="array" ref="AC7">INDEX($C$9:$AI$900,MATCH(1,($C$9:$C$900=AC$6)*($D$9:$D$900="Use modulé"),0),COLUMN(AC6)-COLUMN($C$6)+1)</f>
        <v>#N/A</v>
      </c>
      <c r="AD7" s="281" t="e">
        <f t="array" ref="AD7">INDEX($C$9:$AI$900,MATCH(1,($C$9:$C$900=AD$6)*($D$9:$D$900="Use modulé"),0),COLUMN(AD6)-COLUMN($C$6)+1)</f>
        <v>#N/A</v>
      </c>
      <c r="AE7" s="281" t="e">
        <f t="array" ref="AE7">INDEX($C$9:$AI$900,MATCH(1,($C$9:$C$900=AE$6)*($D$9:$D$900="Use modulé"),0),COLUMN(AE6)-COLUMN($C$6)+1)</f>
        <v>#N/A</v>
      </c>
      <c r="AF7" s="281" t="e">
        <f t="array" ref="AF7">INDEX($C$9:$AI$900,MATCH(1,($C$9:$C$900=AF$6)*($D$9:$D$900="Use modulé"),0),COLUMN(AF6)-COLUMN($C$6)+1)</f>
        <v>#N/A</v>
      </c>
      <c r="AG7" s="281" t="e">
        <f t="array" ref="AG7">INDEX($C$9:$AI$900,MATCH(1,($C$9:$C$900=AG$6)*($D$9:$D$900="Use modulé"),0),COLUMN(AG6)-COLUMN($C$6)+1)</f>
        <v>#N/A</v>
      </c>
      <c r="AH7" s="281" t="e">
        <f t="array" ref="AH7">INDEX($C$9:$AI$900,MATCH(1,($C$9:$C$900=AH$6)*($D$9:$D$900="Use modulé"),0),COLUMN(AH6)-COLUMN($C$6)+1)</f>
        <v>#N/A</v>
      </c>
      <c r="AI7" s="281" t="e">
        <f t="array" ref="AI7">INDEX($C$9:$AI$900,MATCH(1,($C$9:$C$900=AI$6)*($D$9:$D$900="Use modulé"),0),COLUMN(AI6)-COLUMN($C$6)+1)</f>
        <v>#N/A</v>
      </c>
    </row>
    <row r="8" spans="1:35">
      <c r="B8" s="281" t="s">
        <v>583</v>
      </c>
      <c r="C8" s="281" t="s">
        <v>584</v>
      </c>
      <c r="D8" s="281" t="s">
        <v>585</v>
      </c>
      <c r="E8" s="281" t="s">
        <v>586</v>
      </c>
    </row>
    <row r="9" spans="1:35">
      <c r="B9" s="92" t="s">
        <v>298</v>
      </c>
      <c r="C9" s="281" t="s">
        <v>587</v>
      </c>
      <c r="D9" s="92" t="s">
        <v>298</v>
      </c>
      <c r="E9" s="281">
        <f t="array" ref="E9">INDEX(CABS_CVC!$C$3:$O$894,MATCH(1, (CABS_CVC!$A$3:$A$894=Calculs_CABS!C9)*(CABS_CVC!$B$3:$B$894=Calculs_CABS!$D$2),0),MATCH(Calculs_CABS!$D$1,Liste_CABS!$B$3:$B$15,0))</f>
        <v>50</v>
      </c>
    </row>
    <row r="10" spans="1:35">
      <c r="A10" s="541" t="s">
        <v>587</v>
      </c>
      <c r="B10" s="281" t="s">
        <v>539</v>
      </c>
      <c r="C10" s="281" t="s">
        <v>587</v>
      </c>
      <c r="D10" s="281" t="s">
        <v>539</v>
      </c>
      <c r="E10" s="281">
        <v>50</v>
      </c>
    </row>
    <row r="11" spans="1:35">
      <c r="A11" s="541"/>
      <c r="B11" s="281" t="s">
        <v>540</v>
      </c>
      <c r="C11" s="281" t="s">
        <v>587</v>
      </c>
      <c r="D11" s="281" t="s">
        <v>540</v>
      </c>
      <c r="E11" s="281">
        <f>E9+E10</f>
        <v>100</v>
      </c>
    </row>
    <row r="12" spans="1:35">
      <c r="A12" s="541"/>
      <c r="B12" s="281" t="s">
        <v>541</v>
      </c>
      <c r="C12" s="281" t="s">
        <v>587</v>
      </c>
      <c r="D12" s="281" t="s">
        <v>541</v>
      </c>
      <c r="E12" s="281">
        <v>0.69</v>
      </c>
    </row>
    <row r="13" spans="1:35">
      <c r="A13" s="541"/>
      <c r="B13" s="281" t="s">
        <v>542</v>
      </c>
      <c r="C13" s="281" t="s">
        <v>587</v>
      </c>
      <c r="D13" s="329" t="s">
        <v>588</v>
      </c>
      <c r="E13" s="281">
        <v>3120</v>
      </c>
      <c r="F13" s="281">
        <f>IF(F$6=$C13,IF(INDEX('Surface DEET'!$Q$9:$W$38,COLUMN(F6)-COLUMN($E$5),1)&gt;0,INDEX('Surface DEET'!$Q$9:$W$38,COLUMN(F6)-COLUMN($E$5),1),$E13),0)</f>
        <v>0</v>
      </c>
      <c r="G13" s="281">
        <f>IF(G$6=$C13,IF(INDEX('Surface DEET'!$Q$9:$W$38,COLUMN(G6)-COLUMN($E$5),1)&gt;0,INDEX('Surface DEET'!$Q$9:$W$38,COLUMN(G6)-COLUMN($E$5),1),$E13),0)</f>
        <v>0</v>
      </c>
      <c r="H13" s="281">
        <f>IF(H$6=$C13,IF(INDEX('Surface DEET'!$Q$9:$W$38,COLUMN(H6)-COLUMN($E$5),1)&gt;0,INDEX('Surface DEET'!$Q$9:$W$38,COLUMN(H6)-COLUMN($E$5),1),$E13),0)</f>
        <v>0</v>
      </c>
      <c r="I13" s="281">
        <f>IF(I$6=$C13,IF(INDEX('Surface DEET'!$Q$9:$W$38,COLUMN(I6)-COLUMN($E$5),1)&gt;0,INDEX('Surface DEET'!$Q$9:$W$38,COLUMN(I6)-COLUMN($E$5),1),$E13),0)</f>
        <v>0</v>
      </c>
      <c r="J13" s="281">
        <f>IF(J$6=$C13,IF(INDEX('Surface DEET'!$Q$9:$W$38,COLUMN(J6)-COLUMN($E$5),1)&gt;0,INDEX('Surface DEET'!$Q$9:$W$38,COLUMN(J6)-COLUMN($E$5),1),$E13),0)</f>
        <v>0</v>
      </c>
      <c r="K13" s="281">
        <f>IF(K$6=$C13,IF(INDEX('Surface DEET'!$Q$9:$W$38,COLUMN(K6)-COLUMN($E$5),1)&gt;0,INDEX('Surface DEET'!$Q$9:$W$38,COLUMN(K6)-COLUMN($E$5),1),$E13),0)</f>
        <v>0</v>
      </c>
      <c r="L13" s="281">
        <f>IF(L$6=$C13,IF(INDEX('Surface DEET'!$Q$9:$W$38,COLUMN(L6)-COLUMN($E$5),1)&gt;0,INDEX('Surface DEET'!$Q$9:$W$38,COLUMN(L6)-COLUMN($E$5),1),$E13),0)</f>
        <v>0</v>
      </c>
      <c r="M13" s="281">
        <f>IF(M$6=$C13,IF(INDEX('Surface DEET'!$Q$9:$W$38,COLUMN(M6)-COLUMN($E$5),1)&gt;0,INDEX('Surface DEET'!$Q$9:$W$38,COLUMN(M6)-COLUMN($E$5),1),$E13),0)</f>
        <v>0</v>
      </c>
      <c r="N13" s="281">
        <f>IF(N$6=$C13,IF(INDEX('Surface DEET'!$Q$9:$W$38,COLUMN(N6)-COLUMN($E$5),1)&gt;0,INDEX('Surface DEET'!$Q$9:$W$38,COLUMN(N6)-COLUMN($E$5),1),$E13),0)</f>
        <v>0</v>
      </c>
      <c r="O13" s="281">
        <f>IF(O$6=$C13,IF(INDEX('Surface DEET'!$Q$9:$W$38,COLUMN(O6)-COLUMN($E$5),1)&gt;0,INDEX('Surface DEET'!$Q$9:$W$38,COLUMN(O6)-COLUMN($E$5),1),$E13),0)</f>
        <v>0</v>
      </c>
      <c r="P13" s="281">
        <f>IF(P$6=$C13,IF(INDEX('Surface DEET'!$Q$9:$W$38,COLUMN(P6)-COLUMN($E$5),1)&gt;0,INDEX('Surface DEET'!$Q$9:$W$38,COLUMN(P6)-COLUMN($E$5),1),$E13),0)</f>
        <v>0</v>
      </c>
      <c r="Q13" s="281">
        <f>IF(Q$6=$C13,IF(INDEX('Surface DEET'!$Q$9:$W$38,COLUMN(Q6)-COLUMN($E$5),1)&gt;0,INDEX('Surface DEET'!$Q$9:$W$38,COLUMN(Q6)-COLUMN($E$5),1),$E13),0)</f>
        <v>0</v>
      </c>
      <c r="R13" s="281">
        <f>IF(R$6=$C13,IF(INDEX('Surface DEET'!$Q$9:$W$38,COLUMN(R6)-COLUMN($E$5),1)&gt;0,INDEX('Surface DEET'!$Q$9:$W$38,COLUMN(R6)-COLUMN($E$5),1),$E13),0)</f>
        <v>0</v>
      </c>
      <c r="S13" s="281">
        <f>IF(S$6=$C13,IF(INDEX('Surface DEET'!$Q$9:$W$38,COLUMN(S6)-COLUMN($E$5),1)&gt;0,INDEX('Surface DEET'!$Q$9:$W$38,COLUMN(S6)-COLUMN($E$5),1),$E13),0)</f>
        <v>0</v>
      </c>
      <c r="T13" s="281">
        <f>IF(T$6=$C13,IF(INDEX('Surface DEET'!$Q$9:$W$38,COLUMN(T6)-COLUMN($E$5),1)&gt;0,INDEX('Surface DEET'!$Q$9:$W$38,COLUMN(T6)-COLUMN($E$5),1),$E13),0)</f>
        <v>0</v>
      </c>
      <c r="U13" s="281">
        <f>IF(U$6=$C13,IF(INDEX('Surface DEET'!$Q$9:$W$38,COLUMN(U6)-COLUMN($E$5),1)&gt;0,INDEX('Surface DEET'!$Q$9:$W$38,COLUMN(U6)-COLUMN($E$5),1),$E13),0)</f>
        <v>0</v>
      </c>
      <c r="V13" s="281">
        <f>IF(V$6=$C13,IF(INDEX('Surface DEET'!$Q$9:$W$38,COLUMN(V6)-COLUMN($E$5),1)&gt;0,INDEX('Surface DEET'!$Q$9:$W$38,COLUMN(V6)-COLUMN($E$5),1),$E13),0)</f>
        <v>0</v>
      </c>
      <c r="W13" s="281">
        <f>IF(W$6=$C13,IF(INDEX('Surface DEET'!$Q$9:$W$38,COLUMN(W6)-COLUMN($E$5),1)&gt;0,INDEX('Surface DEET'!$Q$9:$W$38,COLUMN(W6)-COLUMN($E$5),1),$E13),0)</f>
        <v>0</v>
      </c>
      <c r="X13" s="281">
        <f>IF(X$6=$C13,IF(INDEX('Surface DEET'!$Q$9:$W$38,COLUMN(X6)-COLUMN($E$5),1)&gt;0,INDEX('Surface DEET'!$Q$9:$W$38,COLUMN(X6)-COLUMN($E$5),1),$E13),0)</f>
        <v>0</v>
      </c>
      <c r="Y13" s="281">
        <f>IF(Y$6=$C13,IF(INDEX('Surface DEET'!$Q$9:$W$38,COLUMN(Y6)-COLUMN($E$5),1)&gt;0,INDEX('Surface DEET'!$Q$9:$W$38,COLUMN(Y6)-COLUMN($E$5),1),$E13),0)</f>
        <v>0</v>
      </c>
      <c r="Z13" s="281">
        <f>IF(Z$6=$C13,IF(INDEX('Surface DEET'!$Q$9:$W$38,COLUMN(Z6)-COLUMN($E$5),1)&gt;0,INDEX('Surface DEET'!$Q$9:$W$38,COLUMN(Z6)-COLUMN($E$5),1),$E13),0)</f>
        <v>0</v>
      </c>
      <c r="AA13" s="281">
        <f>IF(AA$6=$C13,IF(INDEX('Surface DEET'!$Q$9:$W$38,COLUMN(AA6)-COLUMN($E$5),1)&gt;0,INDEX('Surface DEET'!$Q$9:$W$38,COLUMN(AA6)-COLUMN($E$5),1),$E13),0)</f>
        <v>0</v>
      </c>
      <c r="AB13" s="281">
        <f>IF(AB$6=$C13,IF(INDEX('Surface DEET'!$Q$9:$W$38,COLUMN(AB6)-COLUMN($E$5),1)&gt;0,INDEX('Surface DEET'!$Q$9:$W$38,COLUMN(AB6)-COLUMN($E$5),1),$E13),0)</f>
        <v>0</v>
      </c>
      <c r="AC13" s="281">
        <f>IF(AC$6=$C13,IF(INDEX('Surface DEET'!$Q$9:$W$38,COLUMN(AC6)-COLUMN($E$5),1)&gt;0,INDEX('Surface DEET'!$Q$9:$W$38,COLUMN(AC6)-COLUMN($E$5),1),$E13),0)</f>
        <v>0</v>
      </c>
      <c r="AD13" s="281">
        <f>IF(AD$6=$C13,IF(INDEX('Surface DEET'!$Q$9:$W$38,COLUMN(AD6)-COLUMN($E$5),1)&gt;0,INDEX('Surface DEET'!$Q$9:$W$38,COLUMN(AD6)-COLUMN($E$5),1),$E13),0)</f>
        <v>0</v>
      </c>
      <c r="AE13" s="281">
        <f>IF(AE$6=$C13,IF(INDEX('Surface DEET'!$Q$9:$W$38,COLUMN(AE6)-COLUMN($E$5),1)&gt;0,INDEX('Surface DEET'!$Q$9:$W$38,COLUMN(AE6)-COLUMN($E$5),1),$E13),0)</f>
        <v>0</v>
      </c>
      <c r="AF13" s="281">
        <f>IF(AF$6=$C13,IF(INDEX('Surface DEET'!$Q$9:$W$38,COLUMN(AF6)-COLUMN($E$5),1)&gt;0,INDEX('Surface DEET'!$Q$9:$W$38,COLUMN(AF6)-COLUMN($E$5),1),$E13),0)</f>
        <v>0</v>
      </c>
      <c r="AG13" s="281">
        <f>IF(AG$6=$C13,IF(INDEX('Surface DEET'!$Q$9:$W$38,COLUMN(AG6)-COLUMN($E$5),1)&gt;0,INDEX('Surface DEET'!$Q$9:$W$38,COLUMN(AG6)-COLUMN($E$5),1),$E13),0)</f>
        <v>0</v>
      </c>
      <c r="AH13" s="281">
        <f>IF(AH$6=$C13,IF(INDEX('Surface DEET'!$Q$9:$W$38,COLUMN(AH6)-COLUMN($E$5),1)&gt;0,INDEX('Surface DEET'!$Q$9:$W$38,COLUMN(AH6)-COLUMN($E$5),1),$E13),0)</f>
        <v>0</v>
      </c>
      <c r="AI13" s="281">
        <f>IF(AI$6=$C13,IF(INDEX('Surface DEET'!$Q$9:$W$38,COLUMN(AI6)-COLUMN($E$5),1)&gt;0,INDEX('Surface DEET'!$Q$9:$W$38,COLUMN(AI6)-COLUMN($E$5),1),$E13),0)</f>
        <v>0</v>
      </c>
    </row>
    <row r="14" spans="1:35">
      <c r="A14" s="541"/>
      <c r="B14" s="281" t="s">
        <v>545</v>
      </c>
      <c r="C14" s="281" t="s">
        <v>587</v>
      </c>
      <c r="D14" s="329" t="s">
        <v>589</v>
      </c>
      <c r="E14" s="281">
        <v>18</v>
      </c>
      <c r="F14" s="281">
        <f>IF(F$6=$C14,IF(INDEX('Surface DEET'!$Q$9:$W$38,COLUMN(F7)-COLUMN($E$5),4)&gt;0,INDEX('Surface DEET'!$Q$9:$W$38,COLUMN(F7)-COLUMN($E$5),4),$E14),0)</f>
        <v>0</v>
      </c>
      <c r="G14" s="281">
        <f>IF(G$6=$C14,IF(INDEX('Surface DEET'!$Q$9:$W$38,COLUMN(G7)-COLUMN($E$5),4)&gt;0,INDEX('Surface DEET'!$Q$9:$W$38,COLUMN(G7)-COLUMN($E$5),4),$E14),0)</f>
        <v>0</v>
      </c>
      <c r="H14" s="281">
        <f>IF(H$6=$C14,IF(INDEX('Surface DEET'!$Q$9:$W$38,COLUMN(H7)-COLUMN($E$5),4)&gt;0,INDEX('Surface DEET'!$Q$9:$W$38,COLUMN(H7)-COLUMN($E$5),4),$E14),0)</f>
        <v>0</v>
      </c>
      <c r="I14" s="281">
        <f>IF(I$6=$C14,IF(INDEX('Surface DEET'!$Q$9:$W$38,COLUMN(I7)-COLUMN($E$5),4)&gt;0,INDEX('Surface DEET'!$Q$9:$W$38,COLUMN(I7)-COLUMN($E$5),4),$E14),0)</f>
        <v>0</v>
      </c>
      <c r="J14" s="281">
        <f>IF(J$6=$C14,IF(INDEX('Surface DEET'!$Q$9:$W$38,COLUMN(J7)-COLUMN($E$5),4)&gt;0,INDEX('Surface DEET'!$Q$9:$W$38,COLUMN(J7)-COLUMN($E$5),4),$E14),0)</f>
        <v>0</v>
      </c>
      <c r="K14" s="281">
        <f>IF(K$6=$C14,IF(INDEX('Surface DEET'!$Q$9:$W$38,COLUMN(K7)-COLUMN($E$5),4)&gt;0,INDEX('Surface DEET'!$Q$9:$W$38,COLUMN(K7)-COLUMN($E$5),4),$E14),0)</f>
        <v>0</v>
      </c>
      <c r="L14" s="281">
        <f>IF(L$6=$C14,IF(INDEX('Surface DEET'!$Q$9:$W$38,COLUMN(L7)-COLUMN($E$5),4)&gt;0,INDEX('Surface DEET'!$Q$9:$W$38,COLUMN(L7)-COLUMN($E$5),4),$E14),0)</f>
        <v>0</v>
      </c>
      <c r="M14" s="281">
        <f>IF(M$6=$C14,IF(INDEX('Surface DEET'!$Q$9:$W$38,COLUMN(M7)-COLUMN($E$5),4)&gt;0,INDEX('Surface DEET'!$Q$9:$W$38,COLUMN(M7)-COLUMN($E$5),4),$E14),0)</f>
        <v>0</v>
      </c>
      <c r="N14" s="281">
        <f>IF(N$6=$C14,IF(INDEX('Surface DEET'!$Q$9:$W$38,COLUMN(N7)-COLUMN($E$5),4)&gt;0,INDEX('Surface DEET'!$Q$9:$W$38,COLUMN(N7)-COLUMN($E$5),4),$E14),0)</f>
        <v>0</v>
      </c>
      <c r="O14" s="281">
        <f>IF(O$6=$C14,IF(INDEX('Surface DEET'!$Q$9:$W$38,COLUMN(O7)-COLUMN($E$5),4)&gt;0,INDEX('Surface DEET'!$Q$9:$W$38,COLUMN(O7)-COLUMN($E$5),4),$E14),0)</f>
        <v>0</v>
      </c>
      <c r="P14" s="281">
        <f>IF(P$6=$C14,IF(INDEX('Surface DEET'!$Q$9:$W$38,COLUMN(P7)-COLUMN($E$5),4)&gt;0,INDEX('Surface DEET'!$Q$9:$W$38,COLUMN(P7)-COLUMN($E$5),4),$E14),0)</f>
        <v>0</v>
      </c>
      <c r="Q14" s="281">
        <f>IF(Q$6=$C14,IF(INDEX('Surface DEET'!$Q$9:$W$38,COLUMN(Q7)-COLUMN($E$5),4)&gt;0,INDEX('Surface DEET'!$Q$9:$W$38,COLUMN(Q7)-COLUMN($E$5),4),$E14),0)</f>
        <v>0</v>
      </c>
      <c r="R14" s="281">
        <f>IF(R$6=$C14,IF(INDEX('Surface DEET'!$Q$9:$W$38,COLUMN(R7)-COLUMN($E$5),4)&gt;0,INDEX('Surface DEET'!$Q$9:$W$38,COLUMN(R7)-COLUMN($E$5),4),$E14),0)</f>
        <v>0</v>
      </c>
      <c r="S14" s="281">
        <f>IF(S$6=$C14,IF(INDEX('Surface DEET'!$Q$9:$W$38,COLUMN(S7)-COLUMN($E$5),4)&gt;0,INDEX('Surface DEET'!$Q$9:$W$38,COLUMN(S7)-COLUMN($E$5),4),$E14),0)</f>
        <v>0</v>
      </c>
      <c r="T14" s="281">
        <f>IF(T$6=$C14,IF(INDEX('Surface DEET'!$Q$9:$W$38,COLUMN(T7)-COLUMN($E$5),4)&gt;0,INDEX('Surface DEET'!$Q$9:$W$38,COLUMN(T7)-COLUMN($E$5),4),$E14),0)</f>
        <v>0</v>
      </c>
      <c r="U14" s="281">
        <f>IF(U$6=$C14,IF(INDEX('Surface DEET'!$Q$9:$W$38,COLUMN(U7)-COLUMN($E$5),4)&gt;0,INDEX('Surface DEET'!$Q$9:$W$38,COLUMN(U7)-COLUMN($E$5),4),$E14),0)</f>
        <v>0</v>
      </c>
      <c r="V14" s="281">
        <f>IF(V$6=$C14,IF(INDEX('Surface DEET'!$Q$9:$W$38,COLUMN(V7)-COLUMN($E$5),4)&gt;0,INDEX('Surface DEET'!$Q$9:$W$38,COLUMN(V7)-COLUMN($E$5),4),$E14),0)</f>
        <v>0</v>
      </c>
      <c r="W14" s="281">
        <f>IF(W$6=$C14,IF(INDEX('Surface DEET'!$Q$9:$W$38,COLUMN(W7)-COLUMN($E$5),4)&gt;0,INDEX('Surface DEET'!$Q$9:$W$38,COLUMN(W7)-COLUMN($E$5),4),$E14),0)</f>
        <v>0</v>
      </c>
      <c r="X14" s="281">
        <f>IF(X$6=$C14,IF(INDEX('Surface DEET'!$Q$9:$W$38,COLUMN(X7)-COLUMN($E$5),4)&gt;0,INDEX('Surface DEET'!$Q$9:$W$38,COLUMN(X7)-COLUMN($E$5),4),$E14),0)</f>
        <v>0</v>
      </c>
      <c r="Y14" s="281">
        <f>IF(Y$6=$C14,IF(INDEX('Surface DEET'!$Q$9:$W$38,COLUMN(Y7)-COLUMN($E$5),4)&gt;0,INDEX('Surface DEET'!$Q$9:$W$38,COLUMN(Y7)-COLUMN($E$5),4),$E14),0)</f>
        <v>0</v>
      </c>
      <c r="Z14" s="281">
        <f>IF(Z$6=$C14,IF(INDEX('Surface DEET'!$Q$9:$W$38,COLUMN(Z7)-COLUMN($E$5),4)&gt;0,INDEX('Surface DEET'!$Q$9:$W$38,COLUMN(Z7)-COLUMN($E$5),4),$E14),0)</f>
        <v>0</v>
      </c>
      <c r="AA14" s="281">
        <f>IF(AA$6=$C14,IF(INDEX('Surface DEET'!$Q$9:$W$38,COLUMN(AA7)-COLUMN($E$5),4)&gt;0,INDEX('Surface DEET'!$Q$9:$W$38,COLUMN(AA7)-COLUMN($E$5),4),$E14),0)</f>
        <v>0</v>
      </c>
      <c r="AB14" s="281">
        <f>IF(AB$6=$C14,IF(INDEX('Surface DEET'!$Q$9:$W$38,COLUMN(AB7)-COLUMN($E$5),4)&gt;0,INDEX('Surface DEET'!$Q$9:$W$38,COLUMN(AB7)-COLUMN($E$5),4),$E14),0)</f>
        <v>0</v>
      </c>
      <c r="AC14" s="281">
        <f>IF(AC$6=$C14,IF(INDEX('Surface DEET'!$Q$9:$W$38,COLUMN(AC7)-COLUMN($E$5),4)&gt;0,INDEX('Surface DEET'!$Q$9:$W$38,COLUMN(AC7)-COLUMN($E$5),4),$E14),0)</f>
        <v>0</v>
      </c>
      <c r="AD14" s="281">
        <f>IF(AD$6=$C14,IF(INDEX('Surface DEET'!$Q$9:$W$38,COLUMN(AD7)-COLUMN($E$5),4)&gt;0,INDEX('Surface DEET'!$Q$9:$W$38,COLUMN(AD7)-COLUMN($E$5),4),$E14),0)</f>
        <v>0</v>
      </c>
      <c r="AE14" s="281">
        <f>IF(AE$6=$C14,IF(INDEX('Surface DEET'!$Q$9:$W$38,COLUMN(AE7)-COLUMN($E$5),4)&gt;0,INDEX('Surface DEET'!$Q$9:$W$38,COLUMN(AE7)-COLUMN($E$5),4),$E14),0)</f>
        <v>0</v>
      </c>
      <c r="AF14" s="281">
        <f>IF(AF$6=$C14,IF(INDEX('Surface DEET'!$Q$9:$W$38,COLUMN(AF7)-COLUMN($E$5),4)&gt;0,INDEX('Surface DEET'!$Q$9:$W$38,COLUMN(AF7)-COLUMN($E$5),4),$E14),0)</f>
        <v>0</v>
      </c>
      <c r="AG14" s="281">
        <f>IF(AG$6=$C14,IF(INDEX('Surface DEET'!$Q$9:$W$38,COLUMN(AG7)-COLUMN($E$5),4)&gt;0,INDEX('Surface DEET'!$Q$9:$W$38,COLUMN(AG7)-COLUMN($E$5),4),$E14),0)</f>
        <v>0</v>
      </c>
      <c r="AH14" s="281">
        <f>IF(AH$6=$C14,IF(INDEX('Surface DEET'!$Q$9:$W$38,COLUMN(AH7)-COLUMN($E$5),4)&gt;0,INDEX('Surface DEET'!$Q$9:$W$38,COLUMN(AH7)-COLUMN($E$5),4),$E14),0)</f>
        <v>0</v>
      </c>
      <c r="AI14" s="281">
        <f>IF(AI$6=$C14,IF(INDEX('Surface DEET'!$Q$9:$W$38,COLUMN(AI7)-COLUMN($E$5),4)&gt;0,INDEX('Surface DEET'!$Q$9:$W$38,COLUMN(AI7)-COLUMN($E$5),4),$E14),0)</f>
        <v>0</v>
      </c>
    </row>
    <row r="15" spans="1:35">
      <c r="A15" s="541"/>
      <c r="B15" s="281" t="s">
        <v>548</v>
      </c>
      <c r="C15" s="281" t="s">
        <v>587</v>
      </c>
      <c r="D15" s="329" t="s">
        <v>590</v>
      </c>
      <c r="E15" s="281">
        <v>70</v>
      </c>
      <c r="F15" s="281">
        <f>IF(F$6=$C15,IF(INDEX('Surface DEET'!$Q$9:$W$38,COLUMN(F8)-COLUMN($E$5),7)&gt;0,INDEX('Surface DEET'!$Q$9:$W$38,COLUMN(F8)-COLUMN($E$5),7),$E15),0)</f>
        <v>0</v>
      </c>
      <c r="G15" s="281">
        <f>IF(G$6=$C15,IF(INDEX('Surface DEET'!$Q$9:$W$38,COLUMN(G8)-COLUMN($E$5),7)&gt;0,INDEX('Surface DEET'!$Q$9:$W$38,COLUMN(G8)-COLUMN($E$5),7),$E15),0)</f>
        <v>0</v>
      </c>
      <c r="H15" s="281">
        <f>IF(H$6=$C15,IF(INDEX('Surface DEET'!$Q$9:$W$38,COLUMN(H8)-COLUMN($E$5),7)&gt;0,INDEX('Surface DEET'!$Q$9:$W$38,COLUMN(H8)-COLUMN($E$5),7),$E15),0)</f>
        <v>0</v>
      </c>
      <c r="I15" s="281">
        <f>IF(I$6=$C15,IF(INDEX('Surface DEET'!$Q$9:$W$38,COLUMN(I8)-COLUMN($E$5),7)&gt;0,INDEX('Surface DEET'!$Q$9:$W$38,COLUMN(I8)-COLUMN($E$5),7),$E15),0)</f>
        <v>0</v>
      </c>
      <c r="J15" s="281">
        <f>IF(J$6=$C15,IF(INDEX('Surface DEET'!$Q$9:$W$38,COLUMN(J8)-COLUMN($E$5),7)&gt;0,INDEX('Surface DEET'!$Q$9:$W$38,COLUMN(J8)-COLUMN($E$5),7),$E15),0)</f>
        <v>0</v>
      </c>
      <c r="K15" s="281">
        <f>IF(K$6=$C15,IF(INDEX('Surface DEET'!$Q$9:$W$38,COLUMN(K8)-COLUMN($E$5),7)&gt;0,INDEX('Surface DEET'!$Q$9:$W$38,COLUMN(K8)-COLUMN($E$5),7),$E15),0)</f>
        <v>0</v>
      </c>
      <c r="L15" s="281">
        <f>IF(L$6=$C15,IF(INDEX('Surface DEET'!$Q$9:$W$38,COLUMN(L8)-COLUMN($E$5),7)&gt;0,INDEX('Surface DEET'!$Q$9:$W$38,COLUMN(L8)-COLUMN($E$5),7),$E15),0)</f>
        <v>0</v>
      </c>
      <c r="M15" s="281">
        <f>IF(M$6=$C15,IF(INDEX('Surface DEET'!$Q$9:$W$38,COLUMN(M8)-COLUMN($E$5),7)&gt;0,INDEX('Surface DEET'!$Q$9:$W$38,COLUMN(M8)-COLUMN($E$5),7),$E15),0)</f>
        <v>0</v>
      </c>
      <c r="N15" s="281">
        <f>IF(N$6=$C15,IF(INDEX('Surface DEET'!$Q$9:$W$38,COLUMN(N8)-COLUMN($E$5),7)&gt;0,INDEX('Surface DEET'!$Q$9:$W$38,COLUMN(N8)-COLUMN($E$5),7),$E15),0)</f>
        <v>0</v>
      </c>
      <c r="O15" s="281">
        <f>IF(O$6=$C15,IF(INDEX('Surface DEET'!$Q$9:$W$38,COLUMN(O8)-COLUMN($E$5),7)&gt;0,INDEX('Surface DEET'!$Q$9:$W$38,COLUMN(O8)-COLUMN($E$5),7),$E15),0)</f>
        <v>0</v>
      </c>
      <c r="P15" s="281">
        <f>IF(P$6=$C15,IF(INDEX('Surface DEET'!$Q$9:$W$38,COLUMN(P8)-COLUMN($E$5),7)&gt;0,INDEX('Surface DEET'!$Q$9:$W$38,COLUMN(P8)-COLUMN($E$5),7),$E15),0)</f>
        <v>0</v>
      </c>
      <c r="Q15" s="281">
        <f>IF(Q$6=$C15,IF(INDEX('Surface DEET'!$Q$9:$W$38,COLUMN(Q8)-COLUMN($E$5),7)&gt;0,INDEX('Surface DEET'!$Q$9:$W$38,COLUMN(Q8)-COLUMN($E$5),7),$E15),0)</f>
        <v>0</v>
      </c>
      <c r="R15" s="281">
        <f>IF(R$6=$C15,IF(INDEX('Surface DEET'!$Q$9:$W$38,COLUMN(R8)-COLUMN($E$5),7)&gt;0,INDEX('Surface DEET'!$Q$9:$W$38,COLUMN(R8)-COLUMN($E$5),7),$E15),0)</f>
        <v>0</v>
      </c>
      <c r="S15" s="281">
        <f>IF(S$6=$C15,IF(INDEX('Surface DEET'!$Q$9:$W$38,COLUMN(S8)-COLUMN($E$5),7)&gt;0,INDEX('Surface DEET'!$Q$9:$W$38,COLUMN(S8)-COLUMN($E$5),7),$E15),0)</f>
        <v>0</v>
      </c>
      <c r="T15" s="281">
        <f>IF(T$6=$C15,IF(INDEX('Surface DEET'!$Q$9:$W$38,COLUMN(T8)-COLUMN($E$5),7)&gt;0,INDEX('Surface DEET'!$Q$9:$W$38,COLUMN(T8)-COLUMN($E$5),7),$E15),0)</f>
        <v>0</v>
      </c>
      <c r="U15" s="281">
        <f>IF(U$6=$C15,IF(INDEX('Surface DEET'!$Q$9:$W$38,COLUMN(U8)-COLUMN($E$5),7)&gt;0,INDEX('Surface DEET'!$Q$9:$W$38,COLUMN(U8)-COLUMN($E$5),7),$E15),0)</f>
        <v>0</v>
      </c>
      <c r="V15" s="281">
        <f>IF(V$6=$C15,IF(INDEX('Surface DEET'!$Q$9:$W$38,COLUMN(V8)-COLUMN($E$5),7)&gt;0,INDEX('Surface DEET'!$Q$9:$W$38,COLUMN(V8)-COLUMN($E$5),7),$E15),0)</f>
        <v>0</v>
      </c>
      <c r="W15" s="281">
        <f>IF(W$6=$C15,IF(INDEX('Surface DEET'!$Q$9:$W$38,COLUMN(W8)-COLUMN($E$5),7)&gt;0,INDEX('Surface DEET'!$Q$9:$W$38,COLUMN(W8)-COLUMN($E$5),7),$E15),0)</f>
        <v>0</v>
      </c>
      <c r="X15" s="281">
        <f>IF(X$6=$C15,IF(INDEX('Surface DEET'!$Q$9:$W$38,COLUMN(X8)-COLUMN($E$5),7)&gt;0,INDEX('Surface DEET'!$Q$9:$W$38,COLUMN(X8)-COLUMN($E$5),7),$E15),0)</f>
        <v>0</v>
      </c>
      <c r="Y15" s="281">
        <f>IF(Y$6=$C15,IF(INDEX('Surface DEET'!$Q$9:$W$38,COLUMN(Y8)-COLUMN($E$5),7)&gt;0,INDEX('Surface DEET'!$Q$9:$W$38,COLUMN(Y8)-COLUMN($E$5),7),$E15),0)</f>
        <v>0</v>
      </c>
      <c r="Z15" s="281">
        <f>IF(Z$6=$C15,IF(INDEX('Surface DEET'!$Q$9:$W$38,COLUMN(Z8)-COLUMN($E$5),7)&gt;0,INDEX('Surface DEET'!$Q$9:$W$38,COLUMN(Z8)-COLUMN($E$5),7),$E15),0)</f>
        <v>0</v>
      </c>
      <c r="AA15" s="281">
        <f>IF(AA$6=$C15,IF(INDEX('Surface DEET'!$Q$9:$W$38,COLUMN(AA8)-COLUMN($E$5),7)&gt;0,INDEX('Surface DEET'!$Q$9:$W$38,COLUMN(AA8)-COLUMN($E$5),7),$E15),0)</f>
        <v>0</v>
      </c>
      <c r="AB15" s="281">
        <f>IF(AB$6=$C15,IF(INDEX('Surface DEET'!$Q$9:$W$38,COLUMN(AB8)-COLUMN($E$5),7)&gt;0,INDEX('Surface DEET'!$Q$9:$W$38,COLUMN(AB8)-COLUMN($E$5),7),$E15),0)</f>
        <v>0</v>
      </c>
      <c r="AC15" s="281">
        <f>IF(AC$6=$C15,IF(INDEX('Surface DEET'!$Q$9:$W$38,COLUMN(AC8)-COLUMN($E$5),7)&gt;0,INDEX('Surface DEET'!$Q$9:$W$38,COLUMN(AC8)-COLUMN($E$5),7),$E15),0)</f>
        <v>0</v>
      </c>
      <c r="AD15" s="281">
        <f>IF(AD$6=$C15,IF(INDEX('Surface DEET'!$Q$9:$W$38,COLUMN(AD8)-COLUMN($E$5),7)&gt;0,INDEX('Surface DEET'!$Q$9:$W$38,COLUMN(AD8)-COLUMN($E$5),7),$E15),0)</f>
        <v>0</v>
      </c>
      <c r="AE15" s="281">
        <f>IF(AE$6=$C15,IF(INDEX('Surface DEET'!$Q$9:$W$38,COLUMN(AE8)-COLUMN($E$5),7)&gt;0,INDEX('Surface DEET'!$Q$9:$W$38,COLUMN(AE8)-COLUMN($E$5),7),$E15),0)</f>
        <v>0</v>
      </c>
      <c r="AF15" s="281">
        <f>IF(AF$6=$C15,IF(INDEX('Surface DEET'!$Q$9:$W$38,COLUMN(AF8)-COLUMN($E$5),7)&gt;0,INDEX('Surface DEET'!$Q$9:$W$38,COLUMN(AF8)-COLUMN($E$5),7),$E15),0)</f>
        <v>0</v>
      </c>
      <c r="AG15" s="281">
        <f>IF(AG$6=$C15,IF(INDEX('Surface DEET'!$Q$9:$W$38,COLUMN(AG8)-COLUMN($E$5),7)&gt;0,INDEX('Surface DEET'!$Q$9:$W$38,COLUMN(AG8)-COLUMN($E$5),7),$E15),0)</f>
        <v>0</v>
      </c>
      <c r="AH15" s="281">
        <f>IF(AH$6=$C15,IF(INDEX('Surface DEET'!$Q$9:$W$38,COLUMN(AH8)-COLUMN($E$5),7)&gt;0,INDEX('Surface DEET'!$Q$9:$W$38,COLUMN(AH8)-COLUMN($E$5),7),$E15),0)</f>
        <v>0</v>
      </c>
      <c r="AI15" s="281">
        <f>IF(AI$6=$C15,IF(INDEX('Surface DEET'!$Q$9:$W$38,COLUMN(AI8)-COLUMN($E$5),7)&gt;0,INDEX('Surface DEET'!$Q$9:$W$38,COLUMN(AI8)-COLUMN($E$5),7),$E15),0)</f>
        <v>0</v>
      </c>
    </row>
    <row r="16" spans="1:35">
      <c r="A16" s="541"/>
      <c r="B16" s="281" t="s">
        <v>538</v>
      </c>
      <c r="C16" s="281" t="s">
        <v>587</v>
      </c>
      <c r="D16" s="281" t="s">
        <v>538</v>
      </c>
      <c r="F16" s="281">
        <f>$E$10*(F13/$E$13)*($E$12*(F14/$E$14)*(F15/$E$15)+(1-$E$12))+0.28*(F13-$E$13)/$E$13</f>
        <v>-0.28000000000000003</v>
      </c>
      <c r="G16" s="281">
        <f t="shared" ref="G16:AI16" si="0">$E$10*(G13/$E$13)*($E$12*(G14/$E$14)*(G15/$E$15)+(1-$E$12))+0.28*(G13-$E$13)/$E$13</f>
        <v>-0.28000000000000003</v>
      </c>
      <c r="H16" s="281">
        <f t="shared" si="0"/>
        <v>-0.28000000000000003</v>
      </c>
      <c r="I16" s="281">
        <f t="shared" si="0"/>
        <v>-0.28000000000000003</v>
      </c>
      <c r="J16" s="281">
        <f t="shared" si="0"/>
        <v>-0.28000000000000003</v>
      </c>
      <c r="K16" s="281">
        <f t="shared" si="0"/>
        <v>-0.28000000000000003</v>
      </c>
      <c r="L16" s="281">
        <f t="shared" si="0"/>
        <v>-0.28000000000000003</v>
      </c>
      <c r="M16" s="281">
        <f t="shared" si="0"/>
        <v>-0.28000000000000003</v>
      </c>
      <c r="N16" s="281">
        <f t="shared" si="0"/>
        <v>-0.28000000000000003</v>
      </c>
      <c r="O16" s="281">
        <f t="shared" si="0"/>
        <v>-0.28000000000000003</v>
      </c>
      <c r="P16" s="281">
        <f t="shared" si="0"/>
        <v>-0.28000000000000003</v>
      </c>
      <c r="Q16" s="281">
        <f t="shared" si="0"/>
        <v>-0.28000000000000003</v>
      </c>
      <c r="R16" s="281">
        <f t="shared" si="0"/>
        <v>-0.28000000000000003</v>
      </c>
      <c r="S16" s="281">
        <f t="shared" si="0"/>
        <v>-0.28000000000000003</v>
      </c>
      <c r="T16" s="281">
        <f t="shared" si="0"/>
        <v>-0.28000000000000003</v>
      </c>
      <c r="U16" s="281">
        <f t="shared" si="0"/>
        <v>-0.28000000000000003</v>
      </c>
      <c r="V16" s="281">
        <f t="shared" si="0"/>
        <v>-0.28000000000000003</v>
      </c>
      <c r="W16" s="281">
        <f t="shared" si="0"/>
        <v>-0.28000000000000003</v>
      </c>
      <c r="X16" s="281">
        <f t="shared" si="0"/>
        <v>-0.28000000000000003</v>
      </c>
      <c r="Y16" s="281">
        <f t="shared" si="0"/>
        <v>-0.28000000000000003</v>
      </c>
      <c r="Z16" s="281">
        <f t="shared" si="0"/>
        <v>-0.28000000000000003</v>
      </c>
      <c r="AA16" s="281">
        <f t="shared" si="0"/>
        <v>-0.28000000000000003</v>
      </c>
      <c r="AB16" s="281">
        <f t="shared" si="0"/>
        <v>-0.28000000000000003</v>
      </c>
      <c r="AC16" s="281">
        <f t="shared" si="0"/>
        <v>-0.28000000000000003</v>
      </c>
      <c r="AD16" s="281">
        <f t="shared" si="0"/>
        <v>-0.28000000000000003</v>
      </c>
      <c r="AE16" s="281">
        <f t="shared" si="0"/>
        <v>-0.28000000000000003</v>
      </c>
      <c r="AF16" s="281">
        <f t="shared" si="0"/>
        <v>-0.28000000000000003</v>
      </c>
      <c r="AG16" s="281">
        <f t="shared" si="0"/>
        <v>-0.28000000000000003</v>
      </c>
      <c r="AH16" s="281">
        <f t="shared" si="0"/>
        <v>-0.28000000000000003</v>
      </c>
      <c r="AI16" s="281">
        <f t="shared" si="0"/>
        <v>-0.28000000000000003</v>
      </c>
    </row>
    <row r="17" spans="1:35">
      <c r="A17" s="541" t="s">
        <v>591</v>
      </c>
      <c r="B17" s="92" t="s">
        <v>298</v>
      </c>
      <c r="C17" s="32" t="s">
        <v>591</v>
      </c>
      <c r="D17" s="92" t="s">
        <v>298</v>
      </c>
      <c r="E17" s="281">
        <f t="array" ref="E17">INDEX(CABS_CVC!$C$3:$O$894,MATCH(1, (CABS_CVC!$A$3:$A$894=Calculs_CABS!C17)*(CABS_CVC!$B$3:$B$894=Calculs_CABS!$D$2),0),MATCH(Calculs_CABS!$D$1,Liste_CABS!$B$3:$B$15,0))</f>
        <v>50</v>
      </c>
    </row>
    <row r="18" spans="1:35">
      <c r="A18" s="541"/>
      <c r="B18" s="281" t="s">
        <v>539</v>
      </c>
      <c r="C18" s="32" t="s">
        <v>591</v>
      </c>
      <c r="D18" s="281" t="s">
        <v>539</v>
      </c>
      <c r="E18" s="281">
        <v>26</v>
      </c>
    </row>
    <row r="19" spans="1:35">
      <c r="A19" s="541"/>
      <c r="B19" s="281" t="s">
        <v>540</v>
      </c>
      <c r="C19" s="32" t="s">
        <v>591</v>
      </c>
      <c r="D19" s="281" t="s">
        <v>540</v>
      </c>
      <c r="E19" s="281">
        <f>E17+E18</f>
        <v>76</v>
      </c>
    </row>
    <row r="20" spans="1:35">
      <c r="A20" s="541"/>
      <c r="B20" s="281" t="s">
        <v>541</v>
      </c>
      <c r="C20" s="32" t="s">
        <v>591</v>
      </c>
      <c r="D20" s="281" t="s">
        <v>541</v>
      </c>
      <c r="E20" s="281">
        <v>0.67</v>
      </c>
    </row>
    <row r="21" spans="1:35">
      <c r="A21" s="541"/>
      <c r="B21" s="281" t="s">
        <v>542</v>
      </c>
      <c r="C21" s="32" t="s">
        <v>591</v>
      </c>
      <c r="D21" s="329" t="s">
        <v>588</v>
      </c>
      <c r="E21" s="281">
        <v>3120</v>
      </c>
      <c r="F21" s="281">
        <f>IF(F$6=$C21,IF(INDEX('Surface DEET'!$Q$9:$W$38,COLUMN(F14)-COLUMN($E$5),1)&gt;0,INDEX('Surface DEET'!$Q$9:$W$38,COLUMN(F14)-COLUMN($E$5),1),$E21),0)</f>
        <v>0</v>
      </c>
      <c r="G21" s="281">
        <f>IF(G$6=$C21,IF(INDEX('Surface DEET'!$Q$9:$W$38,COLUMN(G14)-COLUMN($E$5),1)&gt;0,INDEX('Surface DEET'!$Q$9:$W$38,COLUMN(G14)-COLUMN($E$5),1),$E21),0)</f>
        <v>0</v>
      </c>
      <c r="H21" s="281">
        <f>IF(H$6=$C21,IF(INDEX('Surface DEET'!$Q$9:$W$38,COLUMN(H14)-COLUMN($E$5),1)&gt;0,INDEX('Surface DEET'!$Q$9:$W$38,COLUMN(H14)-COLUMN($E$5),1),$E21),0)</f>
        <v>0</v>
      </c>
      <c r="I21" s="281">
        <f>IF(I$6=$C21,IF(INDEX('Surface DEET'!$Q$9:$W$38,COLUMN(I14)-COLUMN($E$5),1)&gt;0,INDEX('Surface DEET'!$Q$9:$W$38,COLUMN(I14)-COLUMN($E$5),1),$E21),0)</f>
        <v>0</v>
      </c>
      <c r="J21" s="281">
        <f>IF(J$6=$C21,IF(INDEX('Surface DEET'!$Q$9:$W$38,COLUMN(J14)-COLUMN($E$5),1)&gt;0,INDEX('Surface DEET'!$Q$9:$W$38,COLUMN(J14)-COLUMN($E$5),1),$E21),0)</f>
        <v>0</v>
      </c>
      <c r="K21" s="281">
        <f>IF(K$6=$C21,IF(INDEX('Surface DEET'!$Q$9:$W$38,COLUMN(K14)-COLUMN($E$5),1)&gt;0,INDEX('Surface DEET'!$Q$9:$W$38,COLUMN(K14)-COLUMN($E$5),1),$E21),0)</f>
        <v>0</v>
      </c>
      <c r="L21" s="281">
        <f>IF(L$6=$C21,IF(INDEX('Surface DEET'!$Q$9:$W$38,COLUMN(L14)-COLUMN($E$5),1)&gt;0,INDEX('Surface DEET'!$Q$9:$W$38,COLUMN(L14)-COLUMN($E$5),1),$E21),0)</f>
        <v>0</v>
      </c>
      <c r="M21" s="281">
        <f>IF(M$6=$C21,IF(INDEX('Surface DEET'!$Q$9:$W$38,COLUMN(M14)-COLUMN($E$5),1)&gt;0,INDEX('Surface DEET'!$Q$9:$W$38,COLUMN(M14)-COLUMN($E$5),1),$E21),0)</f>
        <v>0</v>
      </c>
      <c r="N21" s="281">
        <f>IF(N$6=$C21,IF(INDEX('Surface DEET'!$Q$9:$W$38,COLUMN(N14)-COLUMN($E$5),1)&gt;0,INDEX('Surface DEET'!$Q$9:$W$38,COLUMN(N14)-COLUMN($E$5),1),$E21),0)</f>
        <v>0</v>
      </c>
      <c r="O21" s="281">
        <f>IF(O$6=$C21,IF(INDEX('Surface DEET'!$Q$9:$W$38,COLUMN(O14)-COLUMN($E$5),1)&gt;0,INDEX('Surface DEET'!$Q$9:$W$38,COLUMN(O14)-COLUMN($E$5),1),$E21),0)</f>
        <v>0</v>
      </c>
      <c r="P21" s="281">
        <f>IF(P$6=$C21,IF(INDEX('Surface DEET'!$Q$9:$W$38,COLUMN(P14)-COLUMN($E$5),1)&gt;0,INDEX('Surface DEET'!$Q$9:$W$38,COLUMN(P14)-COLUMN($E$5),1),$E21),0)</f>
        <v>0</v>
      </c>
      <c r="Q21" s="281">
        <f>IF(Q$6=$C21,IF(INDEX('Surface DEET'!$Q$9:$W$38,COLUMN(Q14)-COLUMN($E$5),1)&gt;0,INDEX('Surface DEET'!$Q$9:$W$38,COLUMN(Q14)-COLUMN($E$5),1),$E21),0)</f>
        <v>0</v>
      </c>
      <c r="R21" s="281">
        <f>IF(R$6=$C21,IF(INDEX('Surface DEET'!$Q$9:$W$38,COLUMN(R14)-COLUMN($E$5),1)&gt;0,INDEX('Surface DEET'!$Q$9:$W$38,COLUMN(R14)-COLUMN($E$5),1),$E21),0)</f>
        <v>0</v>
      </c>
      <c r="S21" s="281">
        <f>IF(S$6=$C21,IF(INDEX('Surface DEET'!$Q$9:$W$38,COLUMN(S14)-COLUMN($E$5),1)&gt;0,INDEX('Surface DEET'!$Q$9:$W$38,COLUMN(S14)-COLUMN($E$5),1),$E21),0)</f>
        <v>0</v>
      </c>
      <c r="T21" s="281">
        <f>IF(T$6=$C21,IF(INDEX('Surface DEET'!$Q$9:$W$38,COLUMN(T14)-COLUMN($E$5),1)&gt;0,INDEX('Surface DEET'!$Q$9:$W$38,COLUMN(T14)-COLUMN($E$5),1),$E21),0)</f>
        <v>0</v>
      </c>
      <c r="U21" s="281">
        <f>IF(U$6=$C21,IF(INDEX('Surface DEET'!$Q$9:$W$38,COLUMN(U14)-COLUMN($E$5),1)&gt;0,INDEX('Surface DEET'!$Q$9:$W$38,COLUMN(U14)-COLUMN($E$5),1),$E21),0)</f>
        <v>0</v>
      </c>
      <c r="V21" s="281">
        <f>IF(V$6=$C21,IF(INDEX('Surface DEET'!$Q$9:$W$38,COLUMN(V14)-COLUMN($E$5),1)&gt;0,INDEX('Surface DEET'!$Q$9:$W$38,COLUMN(V14)-COLUMN($E$5),1),$E21),0)</f>
        <v>0</v>
      </c>
      <c r="W21" s="281">
        <f>IF(W$6=$C21,IF(INDEX('Surface DEET'!$Q$9:$W$38,COLUMN(W14)-COLUMN($E$5),1)&gt;0,INDEX('Surface DEET'!$Q$9:$W$38,COLUMN(W14)-COLUMN($E$5),1),$E21),0)</f>
        <v>0</v>
      </c>
      <c r="X21" s="281">
        <f>IF(X$6=$C21,IF(INDEX('Surface DEET'!$Q$9:$W$38,COLUMN(X14)-COLUMN($E$5),1)&gt;0,INDEX('Surface DEET'!$Q$9:$W$38,COLUMN(X14)-COLUMN($E$5),1),$E21),0)</f>
        <v>0</v>
      </c>
      <c r="Y21" s="281">
        <f>IF(Y$6=$C21,IF(INDEX('Surface DEET'!$Q$9:$W$38,COLUMN(Y14)-COLUMN($E$5),1)&gt;0,INDEX('Surface DEET'!$Q$9:$W$38,COLUMN(Y14)-COLUMN($E$5),1),$E21),0)</f>
        <v>0</v>
      </c>
      <c r="Z21" s="281">
        <f>IF(Z$6=$C21,IF(INDEX('Surface DEET'!$Q$9:$W$38,COLUMN(Z14)-COLUMN($E$5),1)&gt;0,INDEX('Surface DEET'!$Q$9:$W$38,COLUMN(Z14)-COLUMN($E$5),1),$E21),0)</f>
        <v>0</v>
      </c>
      <c r="AA21" s="281">
        <f>IF(AA$6=$C21,IF(INDEX('Surface DEET'!$Q$9:$W$38,COLUMN(AA14)-COLUMN($E$5),1)&gt;0,INDEX('Surface DEET'!$Q$9:$W$38,COLUMN(AA14)-COLUMN($E$5),1),$E21),0)</f>
        <v>0</v>
      </c>
      <c r="AB21" s="281">
        <f>IF(AB$6=$C21,IF(INDEX('Surface DEET'!$Q$9:$W$38,COLUMN(AB14)-COLUMN($E$5),1)&gt;0,INDEX('Surface DEET'!$Q$9:$W$38,COLUMN(AB14)-COLUMN($E$5),1),$E21),0)</f>
        <v>0</v>
      </c>
      <c r="AC21" s="281">
        <f>IF(AC$6=$C21,IF(INDEX('Surface DEET'!$Q$9:$W$38,COLUMN(AC14)-COLUMN($E$5),1)&gt;0,INDEX('Surface DEET'!$Q$9:$W$38,COLUMN(AC14)-COLUMN($E$5),1),$E21),0)</f>
        <v>0</v>
      </c>
      <c r="AD21" s="281">
        <f>IF(AD$6=$C21,IF(INDEX('Surface DEET'!$Q$9:$W$38,COLUMN(AD14)-COLUMN($E$5),1)&gt;0,INDEX('Surface DEET'!$Q$9:$W$38,COLUMN(AD14)-COLUMN($E$5),1),$E21),0)</f>
        <v>0</v>
      </c>
      <c r="AE21" s="281">
        <f>IF(AE$6=$C21,IF(INDEX('Surface DEET'!$Q$9:$W$38,COLUMN(AE14)-COLUMN($E$5),1)&gt;0,INDEX('Surface DEET'!$Q$9:$W$38,COLUMN(AE14)-COLUMN($E$5),1),$E21),0)</f>
        <v>0</v>
      </c>
      <c r="AF21" s="281">
        <f>IF(AF$6=$C21,IF(INDEX('Surface DEET'!$Q$9:$W$38,COLUMN(AF14)-COLUMN($E$5),1)&gt;0,INDEX('Surface DEET'!$Q$9:$W$38,COLUMN(AF14)-COLUMN($E$5),1),$E21),0)</f>
        <v>0</v>
      </c>
      <c r="AG21" s="281">
        <f>IF(AG$6=$C21,IF(INDEX('Surface DEET'!$Q$9:$W$38,COLUMN(AG14)-COLUMN($E$5),1)&gt;0,INDEX('Surface DEET'!$Q$9:$W$38,COLUMN(AG14)-COLUMN($E$5),1),$E21),0)</f>
        <v>0</v>
      </c>
      <c r="AH21" s="281">
        <f>IF(AH$6=$C21,IF(INDEX('Surface DEET'!$Q$9:$W$38,COLUMN(AH14)-COLUMN($E$5),1)&gt;0,INDEX('Surface DEET'!$Q$9:$W$38,COLUMN(AH14)-COLUMN($E$5),1),$E21),0)</f>
        <v>0</v>
      </c>
      <c r="AI21" s="281">
        <f>IF(AI$6=$C21,IF(INDEX('Surface DEET'!$Q$9:$W$38,COLUMN(AI14)-COLUMN($E$5),1)&gt;0,INDEX('Surface DEET'!$Q$9:$W$38,COLUMN(AI14)-COLUMN($E$5),1),$E21),0)</f>
        <v>0</v>
      </c>
    </row>
    <row r="22" spans="1:35">
      <c r="A22" s="541"/>
      <c r="B22" s="281" t="s">
        <v>545</v>
      </c>
      <c r="C22" s="32" t="s">
        <v>591</v>
      </c>
      <c r="D22" s="329" t="s">
        <v>592</v>
      </c>
      <c r="E22" s="281">
        <v>31</v>
      </c>
      <c r="F22" s="281">
        <f>IF(F$6=$C22,IF(INDEX('Surface DEET'!$Q$9:$W$38,COLUMN(F15)-COLUMN($E$5),4)&gt;0,INDEX('Surface DEET'!$Q$9:$W$38,COLUMN(F15)-COLUMN($E$5),4),$E22),0)</f>
        <v>0</v>
      </c>
      <c r="G22" s="281">
        <f>IF(G$6=$C22,IF(INDEX('Surface DEET'!$Q$9:$W$38,COLUMN(G15)-COLUMN($E$5),4)&gt;0,INDEX('Surface DEET'!$Q$9:$W$38,COLUMN(G15)-COLUMN($E$5),4),$E22),0)</f>
        <v>0</v>
      </c>
      <c r="H22" s="281">
        <f>IF(H$6=$C22,IF(INDEX('Surface DEET'!$Q$9:$W$38,COLUMN(H15)-COLUMN($E$5),4)&gt;0,INDEX('Surface DEET'!$Q$9:$W$38,COLUMN(H15)-COLUMN($E$5),4),$E22),0)</f>
        <v>0</v>
      </c>
      <c r="I22" s="281">
        <f>IF(I$6=$C22,IF(INDEX('Surface DEET'!$Q$9:$W$38,COLUMN(I15)-COLUMN($E$5),4)&gt;0,INDEX('Surface DEET'!$Q$9:$W$38,COLUMN(I15)-COLUMN($E$5),4),$E22),0)</f>
        <v>0</v>
      </c>
      <c r="J22" s="281">
        <f>IF(J$6=$C22,IF(INDEX('Surface DEET'!$Q$9:$W$38,COLUMN(J15)-COLUMN($E$5),4)&gt;0,INDEX('Surface DEET'!$Q$9:$W$38,COLUMN(J15)-COLUMN($E$5),4),$E22),0)</f>
        <v>0</v>
      </c>
      <c r="K22" s="281">
        <f>IF(K$6=$C22,IF(INDEX('Surface DEET'!$Q$9:$W$38,COLUMN(K15)-COLUMN($E$5),4)&gt;0,INDEX('Surface DEET'!$Q$9:$W$38,COLUMN(K15)-COLUMN($E$5),4),$E22),0)</f>
        <v>0</v>
      </c>
      <c r="L22" s="281">
        <f>IF(L$6=$C22,IF(INDEX('Surface DEET'!$Q$9:$W$38,COLUMN(L15)-COLUMN($E$5),4)&gt;0,INDEX('Surface DEET'!$Q$9:$W$38,COLUMN(L15)-COLUMN($E$5),4),$E22),0)</f>
        <v>0</v>
      </c>
      <c r="M22" s="281">
        <f>IF(M$6=$C22,IF(INDEX('Surface DEET'!$Q$9:$W$38,COLUMN(M15)-COLUMN($E$5),4)&gt;0,INDEX('Surface DEET'!$Q$9:$W$38,COLUMN(M15)-COLUMN($E$5),4),$E22),0)</f>
        <v>0</v>
      </c>
      <c r="N22" s="281">
        <f>IF(N$6=$C22,IF(INDEX('Surface DEET'!$Q$9:$W$38,COLUMN(N15)-COLUMN($E$5),4)&gt;0,INDEX('Surface DEET'!$Q$9:$W$38,COLUMN(N15)-COLUMN($E$5),4),$E22),0)</f>
        <v>0</v>
      </c>
      <c r="O22" s="281">
        <f>IF(O$6=$C22,IF(INDEX('Surface DEET'!$Q$9:$W$38,COLUMN(O15)-COLUMN($E$5),4)&gt;0,INDEX('Surface DEET'!$Q$9:$W$38,COLUMN(O15)-COLUMN($E$5),4),$E22),0)</f>
        <v>0</v>
      </c>
      <c r="P22" s="281">
        <f>IF(P$6=$C22,IF(INDEX('Surface DEET'!$Q$9:$W$38,COLUMN(P15)-COLUMN($E$5),4)&gt;0,INDEX('Surface DEET'!$Q$9:$W$38,COLUMN(P15)-COLUMN($E$5),4),$E22),0)</f>
        <v>0</v>
      </c>
      <c r="Q22" s="281">
        <f>IF(Q$6=$C22,IF(INDEX('Surface DEET'!$Q$9:$W$38,COLUMN(Q15)-COLUMN($E$5),4)&gt;0,INDEX('Surface DEET'!$Q$9:$W$38,COLUMN(Q15)-COLUMN($E$5),4),$E22),0)</f>
        <v>0</v>
      </c>
      <c r="R22" s="281">
        <f>IF(R$6=$C22,IF(INDEX('Surface DEET'!$Q$9:$W$38,COLUMN(R15)-COLUMN($E$5),4)&gt;0,INDEX('Surface DEET'!$Q$9:$W$38,COLUMN(R15)-COLUMN($E$5),4),$E22),0)</f>
        <v>0</v>
      </c>
      <c r="S22" s="281">
        <f>IF(S$6=$C22,IF(INDEX('Surface DEET'!$Q$9:$W$38,COLUMN(S15)-COLUMN($E$5),4)&gt;0,INDEX('Surface DEET'!$Q$9:$W$38,COLUMN(S15)-COLUMN($E$5),4),$E22),0)</f>
        <v>0</v>
      </c>
      <c r="T22" s="281">
        <f>IF(T$6=$C22,IF(INDEX('Surface DEET'!$Q$9:$W$38,COLUMN(T15)-COLUMN($E$5),4)&gt;0,INDEX('Surface DEET'!$Q$9:$W$38,COLUMN(T15)-COLUMN($E$5),4),$E22),0)</f>
        <v>0</v>
      </c>
      <c r="U22" s="281">
        <f>IF(U$6=$C22,IF(INDEX('Surface DEET'!$Q$9:$W$38,COLUMN(U15)-COLUMN($E$5),4)&gt;0,INDEX('Surface DEET'!$Q$9:$W$38,COLUMN(U15)-COLUMN($E$5),4),$E22),0)</f>
        <v>0</v>
      </c>
      <c r="V22" s="281">
        <f>IF(V$6=$C22,IF(INDEX('Surface DEET'!$Q$9:$W$38,COLUMN(V15)-COLUMN($E$5),4)&gt;0,INDEX('Surface DEET'!$Q$9:$W$38,COLUMN(V15)-COLUMN($E$5),4),$E22),0)</f>
        <v>0</v>
      </c>
      <c r="W22" s="281">
        <f>IF(W$6=$C22,IF(INDEX('Surface DEET'!$Q$9:$W$38,COLUMN(W15)-COLUMN($E$5),4)&gt;0,INDEX('Surface DEET'!$Q$9:$W$38,COLUMN(W15)-COLUMN($E$5),4),$E22),0)</f>
        <v>0</v>
      </c>
      <c r="X22" s="281">
        <f>IF(X$6=$C22,IF(INDEX('Surface DEET'!$Q$9:$W$38,COLUMN(X15)-COLUMN($E$5),4)&gt;0,INDEX('Surface DEET'!$Q$9:$W$38,COLUMN(X15)-COLUMN($E$5),4),$E22),0)</f>
        <v>0</v>
      </c>
      <c r="Y22" s="281">
        <f>IF(Y$6=$C22,IF(INDEX('Surface DEET'!$Q$9:$W$38,COLUMN(Y15)-COLUMN($E$5),4)&gt;0,INDEX('Surface DEET'!$Q$9:$W$38,COLUMN(Y15)-COLUMN($E$5),4),$E22),0)</f>
        <v>0</v>
      </c>
      <c r="Z22" s="281">
        <f>IF(Z$6=$C22,IF(INDEX('Surface DEET'!$Q$9:$W$38,COLUMN(Z15)-COLUMN($E$5),4)&gt;0,INDEX('Surface DEET'!$Q$9:$W$38,COLUMN(Z15)-COLUMN($E$5),4),$E22),0)</f>
        <v>0</v>
      </c>
      <c r="AA22" s="281">
        <f>IF(AA$6=$C22,IF(INDEX('Surface DEET'!$Q$9:$W$38,COLUMN(AA15)-COLUMN($E$5),4)&gt;0,INDEX('Surface DEET'!$Q$9:$W$38,COLUMN(AA15)-COLUMN($E$5),4),$E22),0)</f>
        <v>0</v>
      </c>
      <c r="AB22" s="281">
        <f>IF(AB$6=$C22,IF(INDEX('Surface DEET'!$Q$9:$W$38,COLUMN(AB15)-COLUMN($E$5),4)&gt;0,INDEX('Surface DEET'!$Q$9:$W$38,COLUMN(AB15)-COLUMN($E$5),4),$E22),0)</f>
        <v>0</v>
      </c>
      <c r="AC22" s="281">
        <f>IF(AC$6=$C22,IF(INDEX('Surface DEET'!$Q$9:$W$38,COLUMN(AC15)-COLUMN($E$5),4)&gt;0,INDEX('Surface DEET'!$Q$9:$W$38,COLUMN(AC15)-COLUMN($E$5),4),$E22),0)</f>
        <v>0</v>
      </c>
      <c r="AD22" s="281">
        <f>IF(AD$6=$C22,IF(INDEX('Surface DEET'!$Q$9:$W$38,COLUMN(AD15)-COLUMN($E$5),4)&gt;0,INDEX('Surface DEET'!$Q$9:$W$38,COLUMN(AD15)-COLUMN($E$5),4),$E22),0)</f>
        <v>0</v>
      </c>
      <c r="AE22" s="281">
        <f>IF(AE$6=$C22,IF(INDEX('Surface DEET'!$Q$9:$W$38,COLUMN(AE15)-COLUMN($E$5),4)&gt;0,INDEX('Surface DEET'!$Q$9:$W$38,COLUMN(AE15)-COLUMN($E$5),4),$E22),0)</f>
        <v>0</v>
      </c>
      <c r="AF22" s="281">
        <f>IF(AF$6=$C22,IF(INDEX('Surface DEET'!$Q$9:$W$38,COLUMN(AF15)-COLUMN($E$5),4)&gt;0,INDEX('Surface DEET'!$Q$9:$W$38,COLUMN(AF15)-COLUMN($E$5),4),$E22),0)</f>
        <v>0</v>
      </c>
      <c r="AG22" s="281">
        <f>IF(AG$6=$C22,IF(INDEX('Surface DEET'!$Q$9:$W$38,COLUMN(AG15)-COLUMN($E$5),4)&gt;0,INDEX('Surface DEET'!$Q$9:$W$38,COLUMN(AG15)-COLUMN($E$5),4),$E22),0)</f>
        <v>0</v>
      </c>
      <c r="AH22" s="281">
        <f>IF(AH$6=$C22,IF(INDEX('Surface DEET'!$Q$9:$W$38,COLUMN(AH15)-COLUMN($E$5),4)&gt;0,INDEX('Surface DEET'!$Q$9:$W$38,COLUMN(AH15)-COLUMN($E$5),4),$E22),0)</f>
        <v>0</v>
      </c>
      <c r="AI22" s="281">
        <f>IF(AI$6=$C22,IF(INDEX('Surface DEET'!$Q$9:$W$38,COLUMN(AI15)-COLUMN($E$5),4)&gt;0,INDEX('Surface DEET'!$Q$9:$W$38,COLUMN(AI15)-COLUMN($E$5),4),$E22),0)</f>
        <v>0</v>
      </c>
    </row>
    <row r="23" spans="1:35">
      <c r="A23" s="541"/>
      <c r="B23" s="281" t="s">
        <v>538</v>
      </c>
      <c r="C23" s="32" t="s">
        <v>591</v>
      </c>
      <c r="D23" s="281" t="s">
        <v>538</v>
      </c>
      <c r="F23" s="281">
        <f>IFERROR($E$18*(F21/$E$21)*($E$20*($E$22/F22)+(1-$E$20))+0.28*$E$17*(F21-$E$21)/$E$21,0)</f>
        <v>0</v>
      </c>
      <c r="G23" s="281">
        <f>IFERROR($E$18*(G21/$E$21)*($E$20*($E$22/G22)+(1-$E$20))+0.28*$E$17*(G21-$E$21)/$E$21,0)</f>
        <v>0</v>
      </c>
      <c r="H23" s="281">
        <f t="shared" ref="H23:AI23" si="1">IFERROR($E$18*(H21/$E$21)*($E$20*($E$22/H22)+(1-$E$20))+0.28*$E$17*(H21-$E$21)/$E$21,0)</f>
        <v>0</v>
      </c>
      <c r="I23" s="281">
        <f t="shared" si="1"/>
        <v>0</v>
      </c>
      <c r="J23" s="281">
        <f t="shared" si="1"/>
        <v>0</v>
      </c>
      <c r="K23" s="281">
        <f t="shared" si="1"/>
        <v>0</v>
      </c>
      <c r="L23" s="281">
        <f t="shared" si="1"/>
        <v>0</v>
      </c>
      <c r="M23" s="281">
        <f t="shared" si="1"/>
        <v>0</v>
      </c>
      <c r="N23" s="281">
        <f t="shared" si="1"/>
        <v>0</v>
      </c>
      <c r="O23" s="281">
        <f t="shared" si="1"/>
        <v>0</v>
      </c>
      <c r="P23" s="281">
        <f t="shared" si="1"/>
        <v>0</v>
      </c>
      <c r="Q23" s="281">
        <f t="shared" si="1"/>
        <v>0</v>
      </c>
      <c r="R23" s="281">
        <f t="shared" si="1"/>
        <v>0</v>
      </c>
      <c r="S23" s="281">
        <f t="shared" si="1"/>
        <v>0</v>
      </c>
      <c r="T23" s="281">
        <f t="shared" si="1"/>
        <v>0</v>
      </c>
      <c r="U23" s="281">
        <f t="shared" si="1"/>
        <v>0</v>
      </c>
      <c r="V23" s="281">
        <f t="shared" si="1"/>
        <v>0</v>
      </c>
      <c r="W23" s="281">
        <f t="shared" si="1"/>
        <v>0</v>
      </c>
      <c r="X23" s="281">
        <f t="shared" si="1"/>
        <v>0</v>
      </c>
      <c r="Y23" s="281">
        <f t="shared" si="1"/>
        <v>0</v>
      </c>
      <c r="Z23" s="281">
        <f t="shared" si="1"/>
        <v>0</v>
      </c>
      <c r="AA23" s="281">
        <f t="shared" si="1"/>
        <v>0</v>
      </c>
      <c r="AB23" s="281">
        <f t="shared" si="1"/>
        <v>0</v>
      </c>
      <c r="AC23" s="281">
        <f t="shared" si="1"/>
        <v>0</v>
      </c>
      <c r="AD23" s="281">
        <f t="shared" si="1"/>
        <v>0</v>
      </c>
      <c r="AE23" s="281">
        <f t="shared" si="1"/>
        <v>0</v>
      </c>
      <c r="AF23" s="281">
        <f t="shared" si="1"/>
        <v>0</v>
      </c>
      <c r="AG23" s="281">
        <f t="shared" si="1"/>
        <v>0</v>
      </c>
      <c r="AH23" s="281">
        <f t="shared" si="1"/>
        <v>0</v>
      </c>
      <c r="AI23" s="281">
        <f t="shared" si="1"/>
        <v>0</v>
      </c>
    </row>
    <row r="24" spans="1:35">
      <c r="A24" s="541" t="s">
        <v>593</v>
      </c>
      <c r="B24" s="92" t="s">
        <v>298</v>
      </c>
      <c r="C24" s="32" t="s">
        <v>593</v>
      </c>
      <c r="D24" s="92" t="s">
        <v>298</v>
      </c>
      <c r="E24" s="281">
        <f t="array" ref="E24">INDEX(CABS_CVC!$C$3:$O$894,MATCH(1, (CABS_CVC!$A$3:$A$894=Calculs_CABS!C24)*(CABS_CVC!$B$3:$B$894=Calculs_CABS!$D$2),0),MATCH(Calculs_CABS!$D$1,Liste_CABS!$B$3:$B$15,0))</f>
        <v>50</v>
      </c>
    </row>
    <row r="25" spans="1:35">
      <c r="A25" s="541"/>
      <c r="B25" s="281" t="s">
        <v>539</v>
      </c>
      <c r="C25" s="32" t="s">
        <v>593</v>
      </c>
      <c r="D25" s="281" t="s">
        <v>539</v>
      </c>
      <c r="E25" s="281">
        <v>26</v>
      </c>
    </row>
    <row r="26" spans="1:35">
      <c r="A26" s="541"/>
      <c r="B26" s="281" t="s">
        <v>540</v>
      </c>
      <c r="C26" s="32" t="s">
        <v>593</v>
      </c>
      <c r="D26" s="281" t="s">
        <v>540</v>
      </c>
      <c r="E26" s="281">
        <f>E24+E25</f>
        <v>76</v>
      </c>
    </row>
    <row r="27" spans="1:35">
      <c r="A27" s="541"/>
      <c r="B27" s="281" t="s">
        <v>541</v>
      </c>
      <c r="C27" s="32" t="s">
        <v>593</v>
      </c>
      <c r="D27" s="281" t="s">
        <v>541</v>
      </c>
      <c r="E27" s="281">
        <v>0.67</v>
      </c>
    </row>
    <row r="28" spans="1:35" ht="15.75" customHeight="1">
      <c r="A28" s="541"/>
      <c r="B28" s="281" t="s">
        <v>542</v>
      </c>
      <c r="C28" s="32" t="s">
        <v>593</v>
      </c>
      <c r="D28" s="329" t="s">
        <v>588</v>
      </c>
      <c r="E28" s="281">
        <v>3120</v>
      </c>
      <c r="F28" s="281">
        <f>IF(F$6=$C28,IF(INDEX('Surface DEET'!$Q$9:$W$38,COLUMN(F21)-COLUMN($E$5),1)&gt;0,INDEX('Surface DEET'!$Q$9:$W$38,COLUMN(F21)-COLUMN($E$5),1),$E28),0)</f>
        <v>0</v>
      </c>
      <c r="G28" s="281">
        <f>IF(G$6=$C28,IF(INDEX('Surface DEET'!$Q$9:$W$38,COLUMN(G21)-COLUMN($E$5),1)&gt;0,INDEX('Surface DEET'!$Q$9:$W$38,COLUMN(G21)-COLUMN($E$5),1),$E28),0)</f>
        <v>0</v>
      </c>
      <c r="H28" s="281">
        <f>IF(H$6=$C28,IF(INDEX('Surface DEET'!$Q$9:$W$38,COLUMN(H21)-COLUMN($E$5),1)&gt;0,INDEX('Surface DEET'!$Q$9:$W$38,COLUMN(H21)-COLUMN($E$5),1),$E28),0)</f>
        <v>0</v>
      </c>
      <c r="I28" s="281">
        <f>IF(I$6=$C28,IF(INDEX('Surface DEET'!$Q$9:$W$38,COLUMN(I21)-COLUMN($E$5),1)&gt;0,INDEX('Surface DEET'!$Q$9:$W$38,COLUMN(I21)-COLUMN($E$5),1),$E28),0)</f>
        <v>0</v>
      </c>
      <c r="J28" s="281">
        <f>IF(J$6=$C28,IF(INDEX('Surface DEET'!$Q$9:$W$38,COLUMN(J21)-COLUMN($E$5),1)&gt;0,INDEX('Surface DEET'!$Q$9:$W$38,COLUMN(J21)-COLUMN($E$5),1),$E28),0)</f>
        <v>0</v>
      </c>
      <c r="K28" s="281">
        <f>IF(K$6=$C28,IF(INDEX('Surface DEET'!$Q$9:$W$38,COLUMN(K21)-COLUMN($E$5),1)&gt;0,INDEX('Surface DEET'!$Q$9:$W$38,COLUMN(K21)-COLUMN($E$5),1),$E28),0)</f>
        <v>0</v>
      </c>
      <c r="L28" s="281">
        <f>IF(L$6=$C28,IF(INDEX('Surface DEET'!$Q$9:$W$38,COLUMN(L21)-COLUMN($E$5),1)&gt;0,INDEX('Surface DEET'!$Q$9:$W$38,COLUMN(L21)-COLUMN($E$5),1),$E28),0)</f>
        <v>0</v>
      </c>
      <c r="M28" s="281">
        <f>IF(M$6=$C28,IF(INDEX('Surface DEET'!$Q$9:$W$38,COLUMN(M21)-COLUMN($E$5),1)&gt;0,INDEX('Surface DEET'!$Q$9:$W$38,COLUMN(M21)-COLUMN($E$5),1),$E28),0)</f>
        <v>0</v>
      </c>
      <c r="N28" s="281">
        <f>IF(N$6=$C28,IF(INDEX('Surface DEET'!$Q$9:$W$38,COLUMN(N21)-COLUMN($E$5),1)&gt;0,INDEX('Surface DEET'!$Q$9:$W$38,COLUMN(N21)-COLUMN($E$5),1),$E28),0)</f>
        <v>0</v>
      </c>
      <c r="O28" s="281">
        <f>IF(O$6=$C28,IF(INDEX('Surface DEET'!$Q$9:$W$38,COLUMN(O21)-COLUMN($E$5),1)&gt;0,INDEX('Surface DEET'!$Q$9:$W$38,COLUMN(O21)-COLUMN($E$5),1),$E28),0)</f>
        <v>0</v>
      </c>
      <c r="P28" s="281">
        <f>IF(P$6=$C28,IF(INDEX('Surface DEET'!$Q$9:$W$38,COLUMN(P21)-COLUMN($E$5),1)&gt;0,INDEX('Surface DEET'!$Q$9:$W$38,COLUMN(P21)-COLUMN($E$5),1),$E28),0)</f>
        <v>0</v>
      </c>
      <c r="Q28" s="281">
        <f>IF(Q$6=$C28,IF(INDEX('Surface DEET'!$Q$9:$W$38,COLUMN(Q21)-COLUMN($E$5),1)&gt;0,INDEX('Surface DEET'!$Q$9:$W$38,COLUMN(Q21)-COLUMN($E$5),1),$E28),0)</f>
        <v>0</v>
      </c>
      <c r="R28" s="281">
        <f>IF(R$6=$C28,IF(INDEX('Surface DEET'!$Q$9:$W$38,COLUMN(R21)-COLUMN($E$5),1)&gt;0,INDEX('Surface DEET'!$Q$9:$W$38,COLUMN(R21)-COLUMN($E$5),1),$E28),0)</f>
        <v>0</v>
      </c>
      <c r="S28" s="281">
        <f>IF(S$6=$C28,IF(INDEX('Surface DEET'!$Q$9:$W$38,COLUMN(S21)-COLUMN($E$5),1)&gt;0,INDEX('Surface DEET'!$Q$9:$W$38,COLUMN(S21)-COLUMN($E$5),1),$E28),0)</f>
        <v>0</v>
      </c>
      <c r="T28" s="281">
        <f>IF(T$6=$C28,IF(INDEX('Surface DEET'!$Q$9:$W$38,COLUMN(T21)-COLUMN($E$5),1)&gt;0,INDEX('Surface DEET'!$Q$9:$W$38,COLUMN(T21)-COLUMN($E$5),1),$E28),0)</f>
        <v>0</v>
      </c>
      <c r="U28" s="281">
        <f>IF(U$6=$C28,IF(INDEX('Surface DEET'!$Q$9:$W$38,COLUMN(U21)-COLUMN($E$5),1)&gt;0,INDEX('Surface DEET'!$Q$9:$W$38,COLUMN(U21)-COLUMN($E$5),1),$E28),0)</f>
        <v>0</v>
      </c>
      <c r="V28" s="281">
        <f>IF(V$6=$C28,IF(INDEX('Surface DEET'!$Q$9:$W$38,COLUMN(V21)-COLUMN($E$5),1)&gt;0,INDEX('Surface DEET'!$Q$9:$W$38,COLUMN(V21)-COLUMN($E$5),1),$E28),0)</f>
        <v>0</v>
      </c>
      <c r="W28" s="281">
        <f>IF(W$6=$C28,IF(INDEX('Surface DEET'!$Q$9:$W$38,COLUMN(W21)-COLUMN($E$5),1)&gt;0,INDEX('Surface DEET'!$Q$9:$W$38,COLUMN(W21)-COLUMN($E$5),1),$E28),0)</f>
        <v>0</v>
      </c>
      <c r="X28" s="281">
        <f>IF(X$6=$C28,IF(INDEX('Surface DEET'!$Q$9:$W$38,COLUMN(X21)-COLUMN($E$5),1)&gt;0,INDEX('Surface DEET'!$Q$9:$W$38,COLUMN(X21)-COLUMN($E$5),1),$E28),0)</f>
        <v>0</v>
      </c>
      <c r="Y28" s="281">
        <f>IF(Y$6=$C28,IF(INDEX('Surface DEET'!$Q$9:$W$38,COLUMN(Y21)-COLUMN($E$5),1)&gt;0,INDEX('Surface DEET'!$Q$9:$W$38,COLUMN(Y21)-COLUMN($E$5),1),$E28),0)</f>
        <v>0</v>
      </c>
      <c r="Z28" s="281">
        <f>IF(Z$6=$C28,IF(INDEX('Surface DEET'!$Q$9:$W$38,COLUMN(Z21)-COLUMN($E$5),1)&gt;0,INDEX('Surface DEET'!$Q$9:$W$38,COLUMN(Z21)-COLUMN($E$5),1),$E28),0)</f>
        <v>0</v>
      </c>
      <c r="AA28" s="281">
        <f>IF(AA$6=$C28,IF(INDEX('Surface DEET'!$Q$9:$W$38,COLUMN(AA21)-COLUMN($E$5),1)&gt;0,INDEX('Surface DEET'!$Q$9:$W$38,COLUMN(AA21)-COLUMN($E$5),1),$E28),0)</f>
        <v>0</v>
      </c>
      <c r="AB28" s="281">
        <f>IF(AB$6=$C28,IF(INDEX('Surface DEET'!$Q$9:$W$38,COLUMN(AB21)-COLUMN($E$5),1)&gt;0,INDEX('Surface DEET'!$Q$9:$W$38,COLUMN(AB21)-COLUMN($E$5),1),$E28),0)</f>
        <v>0</v>
      </c>
      <c r="AC28" s="281">
        <f>IF(AC$6=$C28,IF(INDEX('Surface DEET'!$Q$9:$W$38,COLUMN(AC21)-COLUMN($E$5),1)&gt;0,INDEX('Surface DEET'!$Q$9:$W$38,COLUMN(AC21)-COLUMN($E$5),1),$E28),0)</f>
        <v>0</v>
      </c>
      <c r="AD28" s="281">
        <f>IF(AD$6=$C28,IF(INDEX('Surface DEET'!$Q$9:$W$38,COLUMN(AD21)-COLUMN($E$5),1)&gt;0,INDEX('Surface DEET'!$Q$9:$W$38,COLUMN(AD21)-COLUMN($E$5),1),$E28),0)</f>
        <v>0</v>
      </c>
      <c r="AE28" s="281">
        <f>IF(AE$6=$C28,IF(INDEX('Surface DEET'!$Q$9:$W$38,COLUMN(AE21)-COLUMN($E$5),1)&gt;0,INDEX('Surface DEET'!$Q$9:$W$38,COLUMN(AE21)-COLUMN($E$5),1),$E28),0)</f>
        <v>0</v>
      </c>
      <c r="AF28" s="281">
        <f>IF(AF$6=$C28,IF(INDEX('Surface DEET'!$Q$9:$W$38,COLUMN(AF21)-COLUMN($E$5),1)&gt;0,INDEX('Surface DEET'!$Q$9:$W$38,COLUMN(AF21)-COLUMN($E$5),1),$E28),0)</f>
        <v>0</v>
      </c>
      <c r="AG28" s="281">
        <f>IF(AG$6=$C28,IF(INDEX('Surface DEET'!$Q$9:$W$38,COLUMN(AG21)-COLUMN($E$5),1)&gt;0,INDEX('Surface DEET'!$Q$9:$W$38,COLUMN(AG21)-COLUMN($E$5),1),$E28),0)</f>
        <v>0</v>
      </c>
      <c r="AH28" s="281">
        <f>IF(AH$6=$C28,IF(INDEX('Surface DEET'!$Q$9:$W$38,COLUMN(AH21)-COLUMN($E$5),1)&gt;0,INDEX('Surface DEET'!$Q$9:$W$38,COLUMN(AH21)-COLUMN($E$5),1),$E28),0)</f>
        <v>0</v>
      </c>
      <c r="AI28" s="281">
        <f>IF(AI$6=$C28,IF(INDEX('Surface DEET'!$Q$9:$W$38,COLUMN(AI21)-COLUMN($E$5),1)&gt;0,INDEX('Surface DEET'!$Q$9:$W$38,COLUMN(AI21)-COLUMN($E$5),1),$E28),0)</f>
        <v>0</v>
      </c>
    </row>
    <row r="29" spans="1:35">
      <c r="A29" s="541"/>
      <c r="B29" s="281" t="s">
        <v>545</v>
      </c>
      <c r="C29" s="32" t="s">
        <v>593</v>
      </c>
      <c r="D29" s="329" t="s">
        <v>592</v>
      </c>
      <c r="E29" s="281">
        <v>31</v>
      </c>
      <c r="F29" s="281">
        <f>IF(F$6=$C29,IF(INDEX('Surface DEET'!$Q$9:$W$38,COLUMN(F22)-COLUMN($E$5),4)&gt;0,INDEX('Surface DEET'!$Q$9:$W$38,COLUMN(F22)-COLUMN($E$5),4),$E29),0)</f>
        <v>0</v>
      </c>
      <c r="G29" s="281">
        <f>IF(G$6=$C29,IF(INDEX('Surface DEET'!$Q$9:$W$38,COLUMN(G22)-COLUMN($E$5),4)&gt;0,INDEX('Surface DEET'!$Q$9:$W$38,COLUMN(G22)-COLUMN($E$5),4),$E29),0)</f>
        <v>0</v>
      </c>
      <c r="H29" s="281">
        <f>IF(H$6=$C29,IF(INDEX('Surface DEET'!$Q$9:$W$38,COLUMN(H22)-COLUMN($E$5),4)&gt;0,INDEX('Surface DEET'!$Q$9:$W$38,COLUMN(H22)-COLUMN($E$5),4),$E29),0)</f>
        <v>0</v>
      </c>
      <c r="I29" s="281">
        <f>IF(I$6=$C29,IF(INDEX('Surface DEET'!$Q$9:$W$38,COLUMN(I22)-COLUMN($E$5),4)&gt;0,INDEX('Surface DEET'!$Q$9:$W$38,COLUMN(I22)-COLUMN($E$5),4),$E29),0)</f>
        <v>0</v>
      </c>
      <c r="J29" s="281">
        <f>IF(J$6=$C29,IF(INDEX('Surface DEET'!$Q$9:$W$38,COLUMN(J22)-COLUMN($E$5),4)&gt;0,INDEX('Surface DEET'!$Q$9:$W$38,COLUMN(J22)-COLUMN($E$5),4),$E29),0)</f>
        <v>0</v>
      </c>
      <c r="K29" s="281">
        <f>IF(K$6=$C29,IF(INDEX('Surface DEET'!$Q$9:$W$38,COLUMN(K22)-COLUMN($E$5),4)&gt;0,INDEX('Surface DEET'!$Q$9:$W$38,COLUMN(K22)-COLUMN($E$5),4),$E29),0)</f>
        <v>0</v>
      </c>
      <c r="L29" s="281">
        <f>IF(L$6=$C29,IF(INDEX('Surface DEET'!$Q$9:$W$38,COLUMN(L22)-COLUMN($E$5),4)&gt;0,INDEX('Surface DEET'!$Q$9:$W$38,COLUMN(L22)-COLUMN($E$5),4),$E29),0)</f>
        <v>0</v>
      </c>
      <c r="M29" s="281">
        <f>IF(M$6=$C29,IF(INDEX('Surface DEET'!$Q$9:$W$38,COLUMN(M22)-COLUMN($E$5),4)&gt;0,INDEX('Surface DEET'!$Q$9:$W$38,COLUMN(M22)-COLUMN($E$5),4),$E29),0)</f>
        <v>0</v>
      </c>
      <c r="N29" s="281">
        <f>IF(N$6=$C29,IF(INDEX('Surface DEET'!$Q$9:$W$38,COLUMN(N22)-COLUMN($E$5),4)&gt;0,INDEX('Surface DEET'!$Q$9:$W$38,COLUMN(N22)-COLUMN($E$5),4),$E29),0)</f>
        <v>0</v>
      </c>
      <c r="O29" s="281">
        <f>IF(O$6=$C29,IF(INDEX('Surface DEET'!$Q$9:$W$38,COLUMN(O22)-COLUMN($E$5),4)&gt;0,INDEX('Surface DEET'!$Q$9:$W$38,COLUMN(O22)-COLUMN($E$5),4),$E29),0)</f>
        <v>0</v>
      </c>
      <c r="P29" s="281">
        <f>IF(P$6=$C29,IF(INDEX('Surface DEET'!$Q$9:$W$38,COLUMN(P22)-COLUMN($E$5),4)&gt;0,INDEX('Surface DEET'!$Q$9:$W$38,COLUMN(P22)-COLUMN($E$5),4),$E29),0)</f>
        <v>0</v>
      </c>
      <c r="Q29" s="281">
        <f>IF(Q$6=$C29,IF(INDEX('Surface DEET'!$Q$9:$W$38,COLUMN(Q22)-COLUMN($E$5),4)&gt;0,INDEX('Surface DEET'!$Q$9:$W$38,COLUMN(Q22)-COLUMN($E$5),4),$E29),0)</f>
        <v>0</v>
      </c>
      <c r="R29" s="281">
        <f>IF(R$6=$C29,IF(INDEX('Surface DEET'!$Q$9:$W$38,COLUMN(R22)-COLUMN($E$5),4)&gt;0,INDEX('Surface DEET'!$Q$9:$W$38,COLUMN(R22)-COLUMN($E$5),4),$E29),0)</f>
        <v>0</v>
      </c>
      <c r="S29" s="281">
        <f>IF(S$6=$C29,IF(INDEX('Surface DEET'!$Q$9:$W$38,COLUMN(S22)-COLUMN($E$5),4)&gt;0,INDEX('Surface DEET'!$Q$9:$W$38,COLUMN(S22)-COLUMN($E$5),4),$E29),0)</f>
        <v>0</v>
      </c>
      <c r="T29" s="281">
        <f>IF(T$6=$C29,IF(INDEX('Surface DEET'!$Q$9:$W$38,COLUMN(T22)-COLUMN($E$5),4)&gt;0,INDEX('Surface DEET'!$Q$9:$W$38,COLUMN(T22)-COLUMN($E$5),4),$E29),0)</f>
        <v>0</v>
      </c>
      <c r="U29" s="281">
        <f>IF(U$6=$C29,IF(INDEX('Surface DEET'!$Q$9:$W$38,COLUMN(U22)-COLUMN($E$5),4)&gt;0,INDEX('Surface DEET'!$Q$9:$W$38,COLUMN(U22)-COLUMN($E$5),4),$E29),0)</f>
        <v>0</v>
      </c>
      <c r="V29" s="281">
        <f>IF(V$6=$C29,IF(INDEX('Surface DEET'!$Q$9:$W$38,COLUMN(V22)-COLUMN($E$5),4)&gt;0,INDEX('Surface DEET'!$Q$9:$W$38,COLUMN(V22)-COLUMN($E$5),4),$E29),0)</f>
        <v>0</v>
      </c>
      <c r="W29" s="281">
        <f>IF(W$6=$C29,IF(INDEX('Surface DEET'!$Q$9:$W$38,COLUMN(W22)-COLUMN($E$5),4)&gt;0,INDEX('Surface DEET'!$Q$9:$W$38,COLUMN(W22)-COLUMN($E$5),4),$E29),0)</f>
        <v>0</v>
      </c>
      <c r="X29" s="281">
        <f>IF(X$6=$C29,IF(INDEX('Surface DEET'!$Q$9:$W$38,COLUMN(X22)-COLUMN($E$5),4)&gt;0,INDEX('Surface DEET'!$Q$9:$W$38,COLUMN(X22)-COLUMN($E$5),4),$E29),0)</f>
        <v>0</v>
      </c>
      <c r="Y29" s="281">
        <f>IF(Y$6=$C29,IF(INDEX('Surface DEET'!$Q$9:$W$38,COLUMN(Y22)-COLUMN($E$5),4)&gt;0,INDEX('Surface DEET'!$Q$9:$W$38,COLUMN(Y22)-COLUMN($E$5),4),$E29),0)</f>
        <v>0</v>
      </c>
      <c r="Z29" s="281">
        <f>IF(Z$6=$C29,IF(INDEX('Surface DEET'!$Q$9:$W$38,COLUMN(Z22)-COLUMN($E$5),4)&gt;0,INDEX('Surface DEET'!$Q$9:$W$38,COLUMN(Z22)-COLUMN($E$5),4),$E29),0)</f>
        <v>0</v>
      </c>
      <c r="AA29" s="281">
        <f>IF(AA$6=$C29,IF(INDEX('Surface DEET'!$Q$9:$W$38,COLUMN(AA22)-COLUMN($E$5),4)&gt;0,INDEX('Surface DEET'!$Q$9:$W$38,COLUMN(AA22)-COLUMN($E$5),4),$E29),0)</f>
        <v>0</v>
      </c>
      <c r="AB29" s="281">
        <f>IF(AB$6=$C29,IF(INDEX('Surface DEET'!$Q$9:$W$38,COLUMN(AB22)-COLUMN($E$5),4)&gt;0,INDEX('Surface DEET'!$Q$9:$W$38,COLUMN(AB22)-COLUMN($E$5),4),$E29),0)</f>
        <v>0</v>
      </c>
      <c r="AC29" s="281">
        <f>IF(AC$6=$C29,IF(INDEX('Surface DEET'!$Q$9:$W$38,COLUMN(AC22)-COLUMN($E$5),4)&gt;0,INDEX('Surface DEET'!$Q$9:$W$38,COLUMN(AC22)-COLUMN($E$5),4),$E29),0)</f>
        <v>0</v>
      </c>
      <c r="AD29" s="281">
        <f>IF(AD$6=$C29,IF(INDEX('Surface DEET'!$Q$9:$W$38,COLUMN(AD22)-COLUMN($E$5),4)&gt;0,INDEX('Surface DEET'!$Q$9:$W$38,COLUMN(AD22)-COLUMN($E$5),4),$E29),0)</f>
        <v>0</v>
      </c>
      <c r="AE29" s="281">
        <f>IF(AE$6=$C29,IF(INDEX('Surface DEET'!$Q$9:$W$38,COLUMN(AE22)-COLUMN($E$5),4)&gt;0,INDEX('Surface DEET'!$Q$9:$W$38,COLUMN(AE22)-COLUMN($E$5),4),$E29),0)</f>
        <v>0</v>
      </c>
      <c r="AF29" s="281">
        <f>IF(AF$6=$C29,IF(INDEX('Surface DEET'!$Q$9:$W$38,COLUMN(AF22)-COLUMN($E$5),4)&gt;0,INDEX('Surface DEET'!$Q$9:$W$38,COLUMN(AF22)-COLUMN($E$5),4),$E29),0)</f>
        <v>0</v>
      </c>
      <c r="AG29" s="281">
        <f>IF(AG$6=$C29,IF(INDEX('Surface DEET'!$Q$9:$W$38,COLUMN(AG22)-COLUMN($E$5),4)&gt;0,INDEX('Surface DEET'!$Q$9:$W$38,COLUMN(AG22)-COLUMN($E$5),4),$E29),0)</f>
        <v>0</v>
      </c>
      <c r="AH29" s="281">
        <f>IF(AH$6=$C29,IF(INDEX('Surface DEET'!$Q$9:$W$38,COLUMN(AH22)-COLUMN($E$5),4)&gt;0,INDEX('Surface DEET'!$Q$9:$W$38,COLUMN(AH22)-COLUMN($E$5),4),$E29),0)</f>
        <v>0</v>
      </c>
      <c r="AI29" s="281">
        <f>IF(AI$6=$C29,IF(INDEX('Surface DEET'!$Q$9:$W$38,COLUMN(AI22)-COLUMN($E$5),4)&gt;0,INDEX('Surface DEET'!$Q$9:$W$38,COLUMN(AI22)-COLUMN($E$5),4),$E29),0)</f>
        <v>0</v>
      </c>
    </row>
    <row r="30" spans="1:35">
      <c r="A30" s="541"/>
      <c r="B30" s="281" t="s">
        <v>538</v>
      </c>
      <c r="C30" s="32" t="s">
        <v>593</v>
      </c>
      <c r="D30" s="281" t="s">
        <v>538</v>
      </c>
      <c r="F30" s="281">
        <f>IFERROR($E$25*(F28/$E$28)*($E$27*($E$29/F29)+(1-$E$27))+0.28*$E$24*(F28-$E$28)/$E$28,0)</f>
        <v>0</v>
      </c>
      <c r="G30" s="281">
        <f>IFERROR($E$25*(G28/$E$28)*($E$27*($E$29/G29)+(1-$E$27))+0.28*$E$24*(G28-$E$28)/$E$28,0)</f>
        <v>0</v>
      </c>
      <c r="H30" s="281">
        <f>IFERROR($E$25*(H28/$E$28)*($E$27*($E$29/H29)+(1-$E$27))+0.28*$E$24*(H28-$E$28)/$E$28,0)</f>
        <v>0</v>
      </c>
      <c r="I30" s="281">
        <f t="shared" ref="I30:AI30" si="2">IFERROR($E$25*(I28/$E$28)*($E$27*($E$29/I29)+(1-$E$27))+0.28*$E$24*(I28-$E$28)/$E$28,0)</f>
        <v>0</v>
      </c>
      <c r="J30" s="281">
        <f t="shared" si="2"/>
        <v>0</v>
      </c>
      <c r="K30" s="281">
        <f t="shared" si="2"/>
        <v>0</v>
      </c>
      <c r="L30" s="281">
        <f t="shared" si="2"/>
        <v>0</v>
      </c>
      <c r="M30" s="281">
        <f t="shared" si="2"/>
        <v>0</v>
      </c>
      <c r="N30" s="281">
        <f t="shared" si="2"/>
        <v>0</v>
      </c>
      <c r="O30" s="281">
        <f t="shared" si="2"/>
        <v>0</v>
      </c>
      <c r="P30" s="281">
        <f t="shared" si="2"/>
        <v>0</v>
      </c>
      <c r="Q30" s="281">
        <f t="shared" si="2"/>
        <v>0</v>
      </c>
      <c r="R30" s="281">
        <f t="shared" si="2"/>
        <v>0</v>
      </c>
      <c r="S30" s="281">
        <f t="shared" si="2"/>
        <v>0</v>
      </c>
      <c r="T30" s="281">
        <f t="shared" si="2"/>
        <v>0</v>
      </c>
      <c r="U30" s="281">
        <f t="shared" si="2"/>
        <v>0</v>
      </c>
      <c r="V30" s="281">
        <f t="shared" si="2"/>
        <v>0</v>
      </c>
      <c r="W30" s="281">
        <f t="shared" si="2"/>
        <v>0</v>
      </c>
      <c r="X30" s="281">
        <f t="shared" si="2"/>
        <v>0</v>
      </c>
      <c r="Y30" s="281">
        <f t="shared" si="2"/>
        <v>0</v>
      </c>
      <c r="Z30" s="281">
        <f t="shared" si="2"/>
        <v>0</v>
      </c>
      <c r="AA30" s="281">
        <f t="shared" si="2"/>
        <v>0</v>
      </c>
      <c r="AB30" s="281">
        <f t="shared" si="2"/>
        <v>0</v>
      </c>
      <c r="AC30" s="281">
        <f t="shared" si="2"/>
        <v>0</v>
      </c>
      <c r="AD30" s="281">
        <f t="shared" si="2"/>
        <v>0</v>
      </c>
      <c r="AE30" s="281">
        <f t="shared" si="2"/>
        <v>0</v>
      </c>
      <c r="AF30" s="281">
        <f t="shared" si="2"/>
        <v>0</v>
      </c>
      <c r="AG30" s="281">
        <f t="shared" si="2"/>
        <v>0</v>
      </c>
      <c r="AH30" s="281">
        <f t="shared" si="2"/>
        <v>0</v>
      </c>
      <c r="AI30" s="281">
        <f t="shared" si="2"/>
        <v>0</v>
      </c>
    </row>
    <row r="31" spans="1:35">
      <c r="A31" s="541" t="s">
        <v>594</v>
      </c>
      <c r="B31" s="92" t="s">
        <v>298</v>
      </c>
      <c r="C31" s="32" t="s">
        <v>594</v>
      </c>
      <c r="D31" s="92" t="s">
        <v>298</v>
      </c>
      <c r="E31" s="281">
        <f t="array" ref="E31">INDEX(CABS_CVC!$C$3:$O$894,MATCH(1, (CABS_CVC!$A$3:$A$894=Calculs_CABS!C31)*(CABS_CVC!$B$3:$B$894=Calculs_CABS!$D$2),0),MATCH(Calculs_CABS!$D$1,Liste_CABS!$B$3:$B$15,0))</f>
        <v>62</v>
      </c>
    </row>
    <row r="32" spans="1:35">
      <c r="A32" s="541"/>
      <c r="B32" s="281" t="s">
        <v>539</v>
      </c>
      <c r="C32" s="32" t="s">
        <v>594</v>
      </c>
      <c r="D32" s="281" t="s">
        <v>539</v>
      </c>
      <c r="E32" s="281">
        <v>76</v>
      </c>
    </row>
    <row r="33" spans="1:35">
      <c r="A33" s="541"/>
      <c r="B33" s="281" t="s">
        <v>540</v>
      </c>
      <c r="C33" s="32" t="s">
        <v>594</v>
      </c>
      <c r="D33" s="281" t="s">
        <v>540</v>
      </c>
      <c r="E33" s="281">
        <f>E31+E32</f>
        <v>138</v>
      </c>
    </row>
    <row r="34" spans="1:35">
      <c r="A34" s="541"/>
      <c r="B34" s="281" t="s">
        <v>541</v>
      </c>
      <c r="C34" s="32" t="s">
        <v>594</v>
      </c>
      <c r="D34" s="281" t="s">
        <v>541</v>
      </c>
      <c r="E34" s="281">
        <v>0.64</v>
      </c>
    </row>
    <row r="35" spans="1:35">
      <c r="A35" s="541"/>
      <c r="B35" s="281" t="s">
        <v>542</v>
      </c>
      <c r="C35" s="32" t="s">
        <v>594</v>
      </c>
      <c r="D35" s="329" t="s">
        <v>588</v>
      </c>
      <c r="E35" s="281">
        <v>8760</v>
      </c>
      <c r="F35" s="281">
        <f>IF(F$6=$C35,IF(INDEX('Surface DEET'!$Q$9:$W$38,COLUMN(F28)-COLUMN($E$5),1)&gt;0,INDEX('Surface DEET'!$Q$9:$W$38,COLUMN(F28)-COLUMN($E$5),1),$E35),0)</f>
        <v>8760</v>
      </c>
      <c r="G35" s="281">
        <f>IF(G$6=$C35,IF(INDEX('Surface DEET'!$Q$9:$W$38,COLUMN(G28)-COLUMN($E$5),1)&gt;0,INDEX('Surface DEET'!$Q$9:$W$38,COLUMN(G28)-COLUMN($E$5),1),$E35),0)</f>
        <v>0</v>
      </c>
      <c r="H35" s="281">
        <f>IF(H$6=$C35,IF(INDEX('Surface DEET'!$Q$9:$W$38,COLUMN(H28)-COLUMN($E$5),1)&gt;0,INDEX('Surface DEET'!$Q$9:$W$38,COLUMN(H28)-COLUMN($E$5),1),$E35),0)</f>
        <v>0</v>
      </c>
      <c r="I35" s="281">
        <f>IF(I$6=$C35,IF(INDEX('Surface DEET'!$Q$9:$W$38,COLUMN(I28)-COLUMN($E$5),1)&gt;0,INDEX('Surface DEET'!$Q$9:$W$38,COLUMN(I28)-COLUMN($E$5),1),$E35),0)</f>
        <v>0</v>
      </c>
      <c r="J35" s="281">
        <f>IF(J$6=$C35,IF(INDEX('Surface DEET'!$Q$9:$W$38,COLUMN(J28)-COLUMN($E$5),1)&gt;0,INDEX('Surface DEET'!$Q$9:$W$38,COLUMN(J28)-COLUMN($E$5),1),$E35),0)</f>
        <v>0</v>
      </c>
      <c r="K35" s="281">
        <f>IF(K$6=$C35,IF(INDEX('Surface DEET'!$Q$9:$W$38,COLUMN(K28)-COLUMN($E$5),1)&gt;0,INDEX('Surface DEET'!$Q$9:$W$38,COLUMN(K28)-COLUMN($E$5),1),$E35),0)</f>
        <v>0</v>
      </c>
      <c r="L35" s="281">
        <f>IF(L$6=$C35,IF(INDEX('Surface DEET'!$Q$9:$W$38,COLUMN(L28)-COLUMN($E$5),1)&gt;0,INDEX('Surface DEET'!$Q$9:$W$38,COLUMN(L28)-COLUMN($E$5),1),$E35),0)</f>
        <v>0</v>
      </c>
      <c r="M35" s="281">
        <f>IF(M$6=$C35,IF(INDEX('Surface DEET'!$Q$9:$W$38,COLUMN(M28)-COLUMN($E$5),1)&gt;0,INDEX('Surface DEET'!$Q$9:$W$38,COLUMN(M28)-COLUMN($E$5),1),$E35),0)</f>
        <v>0</v>
      </c>
      <c r="N35" s="281">
        <f>IF(N$6=$C35,IF(INDEX('Surface DEET'!$Q$9:$W$38,COLUMN(N28)-COLUMN($E$5),1)&gt;0,INDEX('Surface DEET'!$Q$9:$W$38,COLUMN(N28)-COLUMN($E$5),1),$E35),0)</f>
        <v>0</v>
      </c>
      <c r="O35" s="281">
        <f>IF(O$6=$C35,IF(INDEX('Surface DEET'!$Q$9:$W$38,COLUMN(O28)-COLUMN($E$5),1)&gt;0,INDEX('Surface DEET'!$Q$9:$W$38,COLUMN(O28)-COLUMN($E$5),1),$E35),0)</f>
        <v>0</v>
      </c>
      <c r="P35" s="281">
        <f>IF(P$6=$C35,IF(INDEX('Surface DEET'!$Q$9:$W$38,COLUMN(P28)-COLUMN($E$5),1)&gt;0,INDEX('Surface DEET'!$Q$9:$W$38,COLUMN(P28)-COLUMN($E$5),1),$E35),0)</f>
        <v>0</v>
      </c>
      <c r="Q35" s="281">
        <f>IF(Q$6=$C35,IF(INDEX('Surface DEET'!$Q$9:$W$38,COLUMN(Q28)-COLUMN($E$5),1)&gt;0,INDEX('Surface DEET'!$Q$9:$W$38,COLUMN(Q28)-COLUMN($E$5),1),$E35),0)</f>
        <v>0</v>
      </c>
      <c r="R35" s="281">
        <f>IF(R$6=$C35,IF(INDEX('Surface DEET'!$Q$9:$W$38,COLUMN(R28)-COLUMN($E$5),1)&gt;0,INDEX('Surface DEET'!$Q$9:$W$38,COLUMN(R28)-COLUMN($E$5),1),$E35),0)</f>
        <v>0</v>
      </c>
      <c r="S35" s="281">
        <f>IF(S$6=$C35,IF(INDEX('Surface DEET'!$Q$9:$W$38,COLUMN(S28)-COLUMN($E$5),1)&gt;0,INDEX('Surface DEET'!$Q$9:$W$38,COLUMN(S28)-COLUMN($E$5),1),$E35),0)</f>
        <v>0</v>
      </c>
      <c r="T35" s="281">
        <f>IF(T$6=$C35,IF(INDEX('Surface DEET'!$Q$9:$W$38,COLUMN(T28)-COLUMN($E$5),1)&gt;0,INDEX('Surface DEET'!$Q$9:$W$38,COLUMN(T28)-COLUMN($E$5),1),$E35),0)</f>
        <v>0</v>
      </c>
      <c r="U35" s="281">
        <f>IF(U$6=$C35,IF(INDEX('Surface DEET'!$Q$9:$W$38,COLUMN(U28)-COLUMN($E$5),1)&gt;0,INDEX('Surface DEET'!$Q$9:$W$38,COLUMN(U28)-COLUMN($E$5),1),$E35),0)</f>
        <v>0</v>
      </c>
      <c r="V35" s="281">
        <f>IF(V$6=$C35,IF(INDEX('Surface DEET'!$Q$9:$W$38,COLUMN(V28)-COLUMN($E$5),1)&gt;0,INDEX('Surface DEET'!$Q$9:$W$38,COLUMN(V28)-COLUMN($E$5),1),$E35),0)</f>
        <v>0</v>
      </c>
      <c r="W35" s="281">
        <f>IF(W$6=$C35,IF(INDEX('Surface DEET'!$Q$9:$W$38,COLUMN(W28)-COLUMN($E$5),1)&gt;0,INDEX('Surface DEET'!$Q$9:$W$38,COLUMN(W28)-COLUMN($E$5),1),$E35),0)</f>
        <v>0</v>
      </c>
      <c r="X35" s="281">
        <f>IF(X$6=$C35,IF(INDEX('Surface DEET'!$Q$9:$W$38,COLUMN(X28)-COLUMN($E$5),1)&gt;0,INDEX('Surface DEET'!$Q$9:$W$38,COLUMN(X28)-COLUMN($E$5),1),$E35),0)</f>
        <v>0</v>
      </c>
      <c r="Y35" s="281">
        <f>IF(Y$6=$C35,IF(INDEX('Surface DEET'!$Q$9:$W$38,COLUMN(Y28)-COLUMN($E$5),1)&gt;0,INDEX('Surface DEET'!$Q$9:$W$38,COLUMN(Y28)-COLUMN($E$5),1),$E35),0)</f>
        <v>0</v>
      </c>
      <c r="Z35" s="281">
        <f>IF(Z$6=$C35,IF(INDEX('Surface DEET'!$Q$9:$W$38,COLUMN(Z28)-COLUMN($E$5),1)&gt;0,INDEX('Surface DEET'!$Q$9:$W$38,COLUMN(Z28)-COLUMN($E$5),1),$E35),0)</f>
        <v>0</v>
      </c>
      <c r="AA35" s="281">
        <f>IF(AA$6=$C35,IF(INDEX('Surface DEET'!$Q$9:$W$38,COLUMN(AA28)-COLUMN($E$5),1)&gt;0,INDEX('Surface DEET'!$Q$9:$W$38,COLUMN(AA28)-COLUMN($E$5),1),$E35),0)</f>
        <v>0</v>
      </c>
      <c r="AB35" s="281">
        <f>IF(AB$6=$C35,IF(INDEX('Surface DEET'!$Q$9:$W$38,COLUMN(AB28)-COLUMN($E$5),1)&gt;0,INDEX('Surface DEET'!$Q$9:$W$38,COLUMN(AB28)-COLUMN($E$5),1),$E35),0)</f>
        <v>0</v>
      </c>
      <c r="AC35" s="281">
        <f>IF(AC$6=$C35,IF(INDEX('Surface DEET'!$Q$9:$W$38,COLUMN(AC28)-COLUMN($E$5),1)&gt;0,INDEX('Surface DEET'!$Q$9:$W$38,COLUMN(AC28)-COLUMN($E$5),1),$E35),0)</f>
        <v>0</v>
      </c>
      <c r="AD35" s="281">
        <f>IF(AD$6=$C35,IF(INDEX('Surface DEET'!$Q$9:$W$38,COLUMN(AD28)-COLUMN($E$5),1)&gt;0,INDEX('Surface DEET'!$Q$9:$W$38,COLUMN(AD28)-COLUMN($E$5),1),$E35),0)</f>
        <v>0</v>
      </c>
      <c r="AE35" s="281">
        <f>IF(AE$6=$C35,IF(INDEX('Surface DEET'!$Q$9:$W$38,COLUMN(AE28)-COLUMN($E$5),1)&gt;0,INDEX('Surface DEET'!$Q$9:$W$38,COLUMN(AE28)-COLUMN($E$5),1),$E35),0)</f>
        <v>0</v>
      </c>
      <c r="AF35" s="281">
        <f>IF(AF$6=$C35,IF(INDEX('Surface DEET'!$Q$9:$W$38,COLUMN(AF28)-COLUMN($E$5),1)&gt;0,INDEX('Surface DEET'!$Q$9:$W$38,COLUMN(AF28)-COLUMN($E$5),1),$E35),0)</f>
        <v>0</v>
      </c>
      <c r="AG35" s="281">
        <f>IF(AG$6=$C35,IF(INDEX('Surface DEET'!$Q$9:$W$38,COLUMN(AG28)-COLUMN($E$5),1)&gt;0,INDEX('Surface DEET'!$Q$9:$W$38,COLUMN(AG28)-COLUMN($E$5),1),$E35),0)</f>
        <v>0</v>
      </c>
      <c r="AH35" s="281">
        <f>IF(AH$6=$C35,IF(INDEX('Surface DEET'!$Q$9:$W$38,COLUMN(AH28)-COLUMN($E$5),1)&gt;0,INDEX('Surface DEET'!$Q$9:$W$38,COLUMN(AH28)-COLUMN($E$5),1),$E35),0)</f>
        <v>0</v>
      </c>
      <c r="AI35" s="281">
        <f>IF(AI$6=$C35,IF(INDEX('Surface DEET'!$Q$9:$W$38,COLUMN(AI28)-COLUMN($E$5),1)&gt;0,INDEX('Surface DEET'!$Q$9:$W$38,COLUMN(AI28)-COLUMN($E$5),1),$E35),0)</f>
        <v>0</v>
      </c>
    </row>
    <row r="36" spans="1:35">
      <c r="A36" s="541"/>
      <c r="B36" s="281" t="s">
        <v>545</v>
      </c>
      <c r="C36" s="32" t="s">
        <v>594</v>
      </c>
      <c r="D36" s="329" t="s">
        <v>595</v>
      </c>
      <c r="E36" s="281">
        <v>20</v>
      </c>
      <c r="F36" s="281">
        <f>IF(F$6=$C36,IF(INDEX('Surface DEET'!$Q$9:$W$38,COLUMN(F29)-COLUMN($E$5),4)&gt;0,INDEX('Surface DEET'!$Q$9:$W$38,COLUMN(F29)-COLUMN($E$5),4),$E36),0)</f>
        <v>20</v>
      </c>
      <c r="G36" s="281">
        <f>IF(G$6=$C36,IF(INDEX('Surface DEET'!$Q$9:$W$38,COLUMN(G29)-COLUMN($E$5),4)&gt;0,INDEX('Surface DEET'!$Q$9:$W$38,COLUMN(G29)-COLUMN($E$5),4),$E36),0)</f>
        <v>0</v>
      </c>
      <c r="H36" s="281">
        <f>IF(H$6=$C36,IF(INDEX('Surface DEET'!$Q$9:$W$38,COLUMN(H29)-COLUMN($E$5),4)&gt;0,INDEX('Surface DEET'!$Q$9:$W$38,COLUMN(H29)-COLUMN($E$5),4),$E36),0)</f>
        <v>0</v>
      </c>
      <c r="I36" s="281">
        <f>IF(I$6=$C36,IF(INDEX('Surface DEET'!$Q$9:$W$38,COLUMN(I29)-COLUMN($E$5),4)&gt;0,INDEX('Surface DEET'!$Q$9:$W$38,COLUMN(I29)-COLUMN($E$5),4),$E36),0)</f>
        <v>0</v>
      </c>
      <c r="J36" s="281">
        <f>IF(J$6=$C36,IF(INDEX('Surface DEET'!$Q$9:$W$38,COLUMN(J29)-COLUMN($E$5),4)&gt;0,INDEX('Surface DEET'!$Q$9:$W$38,COLUMN(J29)-COLUMN($E$5),4),$E36),0)</f>
        <v>0</v>
      </c>
      <c r="K36" s="281">
        <f>IF(K$6=$C36,IF(INDEX('Surface DEET'!$Q$9:$W$38,COLUMN(K29)-COLUMN($E$5),4)&gt;0,INDEX('Surface DEET'!$Q$9:$W$38,COLUMN(K29)-COLUMN($E$5),4),$E36),0)</f>
        <v>0</v>
      </c>
      <c r="L36" s="281">
        <f>IF(L$6=$C36,IF(INDEX('Surface DEET'!$Q$9:$W$38,COLUMN(L29)-COLUMN($E$5),4)&gt;0,INDEX('Surface DEET'!$Q$9:$W$38,COLUMN(L29)-COLUMN($E$5),4),$E36),0)</f>
        <v>0</v>
      </c>
      <c r="M36" s="281">
        <f>IF(M$6=$C36,IF(INDEX('Surface DEET'!$Q$9:$W$38,COLUMN(M29)-COLUMN($E$5),4)&gt;0,INDEX('Surface DEET'!$Q$9:$W$38,COLUMN(M29)-COLUMN($E$5),4),$E36),0)</f>
        <v>0</v>
      </c>
      <c r="N36" s="281">
        <f>IF(N$6=$C36,IF(INDEX('Surface DEET'!$Q$9:$W$38,COLUMN(N29)-COLUMN($E$5),4)&gt;0,INDEX('Surface DEET'!$Q$9:$W$38,COLUMN(N29)-COLUMN($E$5),4),$E36),0)</f>
        <v>0</v>
      </c>
      <c r="O36" s="281">
        <f>IF(O$6=$C36,IF(INDEX('Surface DEET'!$Q$9:$W$38,COLUMN(O29)-COLUMN($E$5),4)&gt;0,INDEX('Surface DEET'!$Q$9:$W$38,COLUMN(O29)-COLUMN($E$5),4),$E36),0)</f>
        <v>0</v>
      </c>
      <c r="P36" s="281">
        <f>IF(P$6=$C36,IF(INDEX('Surface DEET'!$Q$9:$W$38,COLUMN(P29)-COLUMN($E$5),4)&gt;0,INDEX('Surface DEET'!$Q$9:$W$38,COLUMN(P29)-COLUMN($E$5),4),$E36),0)</f>
        <v>0</v>
      </c>
      <c r="Q36" s="281">
        <f>IF(Q$6=$C36,IF(INDEX('Surface DEET'!$Q$9:$W$38,COLUMN(Q29)-COLUMN($E$5),4)&gt;0,INDEX('Surface DEET'!$Q$9:$W$38,COLUMN(Q29)-COLUMN($E$5),4),$E36),0)</f>
        <v>0</v>
      </c>
      <c r="R36" s="281">
        <f>IF(R$6=$C36,IF(INDEX('Surface DEET'!$Q$9:$W$38,COLUMN(R29)-COLUMN($E$5),4)&gt;0,INDEX('Surface DEET'!$Q$9:$W$38,COLUMN(R29)-COLUMN($E$5),4),$E36),0)</f>
        <v>0</v>
      </c>
      <c r="S36" s="281">
        <f>IF(S$6=$C36,IF(INDEX('Surface DEET'!$Q$9:$W$38,COLUMN(S29)-COLUMN($E$5),4)&gt;0,INDEX('Surface DEET'!$Q$9:$W$38,COLUMN(S29)-COLUMN($E$5),4),$E36),0)</f>
        <v>0</v>
      </c>
      <c r="T36" s="281">
        <f>IF(T$6=$C36,IF(INDEX('Surface DEET'!$Q$9:$W$38,COLUMN(T29)-COLUMN($E$5),4)&gt;0,INDEX('Surface DEET'!$Q$9:$W$38,COLUMN(T29)-COLUMN($E$5),4),$E36),0)</f>
        <v>0</v>
      </c>
      <c r="U36" s="281">
        <f>IF(U$6=$C36,IF(INDEX('Surface DEET'!$Q$9:$W$38,COLUMN(U29)-COLUMN($E$5),4)&gt;0,INDEX('Surface DEET'!$Q$9:$W$38,COLUMN(U29)-COLUMN($E$5),4),$E36),0)</f>
        <v>0</v>
      </c>
      <c r="V36" s="281">
        <f>IF(V$6=$C36,IF(INDEX('Surface DEET'!$Q$9:$W$38,COLUMN(V29)-COLUMN($E$5),4)&gt;0,INDEX('Surface DEET'!$Q$9:$W$38,COLUMN(V29)-COLUMN($E$5),4),$E36),0)</f>
        <v>0</v>
      </c>
      <c r="W36" s="281">
        <f>IF(W$6=$C36,IF(INDEX('Surface DEET'!$Q$9:$W$38,COLUMN(W29)-COLUMN($E$5),4)&gt;0,INDEX('Surface DEET'!$Q$9:$W$38,COLUMN(W29)-COLUMN($E$5),4),$E36),0)</f>
        <v>0</v>
      </c>
      <c r="X36" s="281">
        <f>IF(X$6=$C36,IF(INDEX('Surface DEET'!$Q$9:$W$38,COLUMN(X29)-COLUMN($E$5),4)&gt;0,INDEX('Surface DEET'!$Q$9:$W$38,COLUMN(X29)-COLUMN($E$5),4),$E36),0)</f>
        <v>0</v>
      </c>
      <c r="Y36" s="281">
        <f>IF(Y$6=$C36,IF(INDEX('Surface DEET'!$Q$9:$W$38,COLUMN(Y29)-COLUMN($E$5),4)&gt;0,INDEX('Surface DEET'!$Q$9:$W$38,COLUMN(Y29)-COLUMN($E$5),4),$E36),0)</f>
        <v>0</v>
      </c>
      <c r="Z36" s="281">
        <f>IF(Z$6=$C36,IF(INDEX('Surface DEET'!$Q$9:$W$38,COLUMN(Z29)-COLUMN($E$5),4)&gt;0,INDEX('Surface DEET'!$Q$9:$W$38,COLUMN(Z29)-COLUMN($E$5),4),$E36),0)</f>
        <v>0</v>
      </c>
      <c r="AA36" s="281">
        <f>IF(AA$6=$C36,IF(INDEX('Surface DEET'!$Q$9:$W$38,COLUMN(AA29)-COLUMN($E$5),4)&gt;0,INDEX('Surface DEET'!$Q$9:$W$38,COLUMN(AA29)-COLUMN($E$5),4),$E36),0)</f>
        <v>0</v>
      </c>
      <c r="AB36" s="281">
        <f>IF(AB$6=$C36,IF(INDEX('Surface DEET'!$Q$9:$W$38,COLUMN(AB29)-COLUMN($E$5),4)&gt;0,INDEX('Surface DEET'!$Q$9:$W$38,COLUMN(AB29)-COLUMN($E$5),4),$E36),0)</f>
        <v>0</v>
      </c>
      <c r="AC36" s="281">
        <f>IF(AC$6=$C36,IF(INDEX('Surface DEET'!$Q$9:$W$38,COLUMN(AC29)-COLUMN($E$5),4)&gt;0,INDEX('Surface DEET'!$Q$9:$W$38,COLUMN(AC29)-COLUMN($E$5),4),$E36),0)</f>
        <v>0</v>
      </c>
      <c r="AD36" s="281">
        <f>IF(AD$6=$C36,IF(INDEX('Surface DEET'!$Q$9:$W$38,COLUMN(AD29)-COLUMN($E$5),4)&gt;0,INDEX('Surface DEET'!$Q$9:$W$38,COLUMN(AD29)-COLUMN($E$5),4),$E36),0)</f>
        <v>0</v>
      </c>
      <c r="AE36" s="281">
        <f>IF(AE$6=$C36,IF(INDEX('Surface DEET'!$Q$9:$W$38,COLUMN(AE29)-COLUMN($E$5),4)&gt;0,INDEX('Surface DEET'!$Q$9:$W$38,COLUMN(AE29)-COLUMN($E$5),4),$E36),0)</f>
        <v>0</v>
      </c>
      <c r="AF36" s="281">
        <f>IF(AF$6=$C36,IF(INDEX('Surface DEET'!$Q$9:$W$38,COLUMN(AF29)-COLUMN($E$5),4)&gt;0,INDEX('Surface DEET'!$Q$9:$W$38,COLUMN(AF29)-COLUMN($E$5),4),$E36),0)</f>
        <v>0</v>
      </c>
      <c r="AG36" s="281">
        <f>IF(AG$6=$C36,IF(INDEX('Surface DEET'!$Q$9:$W$38,COLUMN(AG29)-COLUMN($E$5),4)&gt;0,INDEX('Surface DEET'!$Q$9:$W$38,COLUMN(AG29)-COLUMN($E$5),4),$E36),0)</f>
        <v>0</v>
      </c>
      <c r="AH36" s="281">
        <f>IF(AH$6=$C36,IF(INDEX('Surface DEET'!$Q$9:$W$38,COLUMN(AH29)-COLUMN($E$5),4)&gt;0,INDEX('Surface DEET'!$Q$9:$W$38,COLUMN(AH29)-COLUMN($E$5),4),$E36),0)</f>
        <v>0</v>
      </c>
      <c r="AI36" s="281">
        <f>IF(AI$6=$C36,IF(INDEX('Surface DEET'!$Q$9:$W$38,COLUMN(AI29)-COLUMN($E$5),4)&gt;0,INDEX('Surface DEET'!$Q$9:$W$38,COLUMN(AI29)-COLUMN($E$5),4),$E36),0)</f>
        <v>0</v>
      </c>
    </row>
    <row r="37" spans="1:35">
      <c r="A37" s="541"/>
      <c r="B37" s="281" t="s">
        <v>548</v>
      </c>
      <c r="C37" s="32" t="s">
        <v>594</v>
      </c>
      <c r="D37" s="330" t="s">
        <v>596</v>
      </c>
      <c r="E37" s="281">
        <v>90</v>
      </c>
      <c r="F37" s="281">
        <f>IF(F$6=$C37,IF(INDEX('Surface DEET'!$Q$9:$W$38,COLUMN(F30)-COLUMN($E$5),7)&gt;0,INDEX('Surface DEET'!$Q$9:$W$38,COLUMN(F30)-COLUMN($E$5),7),$E37),0)</f>
        <v>90</v>
      </c>
      <c r="G37" s="281">
        <f>IF(G$6=$C37,IF(INDEX('Surface DEET'!$Q$9:$W$38,COLUMN(G30)-COLUMN($E$5),7)&gt;0,INDEX('Surface DEET'!$Q$9:$W$38,COLUMN(G30)-COLUMN($E$5),7),$E37),0)</f>
        <v>0</v>
      </c>
      <c r="H37" s="281">
        <f>IF(H$6=$C37,IF(INDEX('Surface DEET'!$Q$9:$W$38,COLUMN(H30)-COLUMN($E$5),7)&gt;0,INDEX('Surface DEET'!$Q$9:$W$38,COLUMN(H30)-COLUMN($E$5),7),$E37),0)</f>
        <v>0</v>
      </c>
      <c r="I37" s="281">
        <f>IF(I$6=$C37,IF(INDEX('Surface DEET'!$Q$9:$W$38,COLUMN(I30)-COLUMN($E$5),7)&gt;0,INDEX('Surface DEET'!$Q$9:$W$38,COLUMN(I30)-COLUMN($E$5),7),$E37),0)</f>
        <v>0</v>
      </c>
      <c r="J37" s="281">
        <f>IF(J$6=$C37,IF(INDEX('Surface DEET'!$Q$9:$W$38,COLUMN(J30)-COLUMN($E$5),7)&gt;0,INDEX('Surface DEET'!$Q$9:$W$38,COLUMN(J30)-COLUMN($E$5),7),$E37),0)</f>
        <v>0</v>
      </c>
      <c r="K37" s="281">
        <f>IF(K$6=$C37,IF(INDEX('Surface DEET'!$Q$9:$W$38,COLUMN(K30)-COLUMN($E$5),7)&gt;0,INDEX('Surface DEET'!$Q$9:$W$38,COLUMN(K30)-COLUMN($E$5),7),$E37),0)</f>
        <v>0</v>
      </c>
      <c r="L37" s="281">
        <f>IF(L$6=$C37,IF(INDEX('Surface DEET'!$Q$9:$W$38,COLUMN(L30)-COLUMN($E$5),7)&gt;0,INDEX('Surface DEET'!$Q$9:$W$38,COLUMN(L30)-COLUMN($E$5),7),$E37),0)</f>
        <v>0</v>
      </c>
      <c r="M37" s="281">
        <f>IF(M$6=$C37,IF(INDEX('Surface DEET'!$Q$9:$W$38,COLUMN(M30)-COLUMN($E$5),7)&gt;0,INDEX('Surface DEET'!$Q$9:$W$38,COLUMN(M30)-COLUMN($E$5),7),$E37),0)</f>
        <v>0</v>
      </c>
      <c r="N37" s="281">
        <f>IF(N$6=$C37,IF(INDEX('Surface DEET'!$Q$9:$W$38,COLUMN(N30)-COLUMN($E$5),7)&gt;0,INDEX('Surface DEET'!$Q$9:$W$38,COLUMN(N30)-COLUMN($E$5),7),$E37),0)</f>
        <v>0</v>
      </c>
      <c r="O37" s="281">
        <f>IF(O$6=$C37,IF(INDEX('Surface DEET'!$Q$9:$W$38,COLUMN(O30)-COLUMN($E$5),7)&gt;0,INDEX('Surface DEET'!$Q$9:$W$38,COLUMN(O30)-COLUMN($E$5),7),$E37),0)</f>
        <v>0</v>
      </c>
      <c r="P37" s="281">
        <f>IF(P$6=$C37,IF(INDEX('Surface DEET'!$Q$9:$W$38,COLUMN(P30)-COLUMN($E$5),7)&gt;0,INDEX('Surface DEET'!$Q$9:$W$38,COLUMN(P30)-COLUMN($E$5),7),$E37),0)</f>
        <v>0</v>
      </c>
      <c r="Q37" s="281">
        <f>IF(Q$6=$C37,IF(INDEX('Surface DEET'!$Q$9:$W$38,COLUMN(Q30)-COLUMN($E$5),7)&gt;0,INDEX('Surface DEET'!$Q$9:$W$38,COLUMN(Q30)-COLUMN($E$5),7),$E37),0)</f>
        <v>0</v>
      </c>
      <c r="R37" s="281">
        <f>IF(R$6=$C37,IF(INDEX('Surface DEET'!$Q$9:$W$38,COLUMN(R30)-COLUMN($E$5),7)&gt;0,INDEX('Surface DEET'!$Q$9:$W$38,COLUMN(R30)-COLUMN($E$5),7),$E37),0)</f>
        <v>0</v>
      </c>
      <c r="S37" s="281">
        <f>IF(S$6=$C37,IF(INDEX('Surface DEET'!$Q$9:$W$38,COLUMN(S30)-COLUMN($E$5),7)&gt;0,INDEX('Surface DEET'!$Q$9:$W$38,COLUMN(S30)-COLUMN($E$5),7),$E37),0)</f>
        <v>0</v>
      </c>
      <c r="T37" s="281">
        <f>IF(T$6=$C37,IF(INDEX('Surface DEET'!$Q$9:$W$38,COLUMN(T30)-COLUMN($E$5),7)&gt;0,INDEX('Surface DEET'!$Q$9:$W$38,COLUMN(T30)-COLUMN($E$5),7),$E37),0)</f>
        <v>0</v>
      </c>
      <c r="U37" s="281">
        <f>IF(U$6=$C37,IF(INDEX('Surface DEET'!$Q$9:$W$38,COLUMN(U30)-COLUMN($E$5),7)&gt;0,INDEX('Surface DEET'!$Q$9:$W$38,COLUMN(U30)-COLUMN($E$5),7),$E37),0)</f>
        <v>0</v>
      </c>
      <c r="V37" s="281">
        <f>IF(V$6=$C37,IF(INDEX('Surface DEET'!$Q$9:$W$38,COLUMN(V30)-COLUMN($E$5),7)&gt;0,INDEX('Surface DEET'!$Q$9:$W$38,COLUMN(V30)-COLUMN($E$5),7),$E37),0)</f>
        <v>0</v>
      </c>
      <c r="W37" s="281">
        <f>IF(W$6=$C37,IF(INDEX('Surface DEET'!$Q$9:$W$38,COLUMN(W30)-COLUMN($E$5),7)&gt;0,INDEX('Surface DEET'!$Q$9:$W$38,COLUMN(W30)-COLUMN($E$5),7),$E37),0)</f>
        <v>0</v>
      </c>
      <c r="X37" s="281">
        <f>IF(X$6=$C37,IF(INDEX('Surface DEET'!$Q$9:$W$38,COLUMN(X30)-COLUMN($E$5),7)&gt;0,INDEX('Surface DEET'!$Q$9:$W$38,COLUMN(X30)-COLUMN($E$5),7),$E37),0)</f>
        <v>0</v>
      </c>
      <c r="Y37" s="281">
        <f>IF(Y$6=$C37,IF(INDEX('Surface DEET'!$Q$9:$W$38,COLUMN(Y30)-COLUMN($E$5),7)&gt;0,INDEX('Surface DEET'!$Q$9:$W$38,COLUMN(Y30)-COLUMN($E$5),7),$E37),0)</f>
        <v>0</v>
      </c>
      <c r="Z37" s="281">
        <f>IF(Z$6=$C37,IF(INDEX('Surface DEET'!$Q$9:$W$38,COLUMN(Z30)-COLUMN($E$5),7)&gt;0,INDEX('Surface DEET'!$Q$9:$W$38,COLUMN(Z30)-COLUMN($E$5),7),$E37),0)</f>
        <v>0</v>
      </c>
      <c r="AA37" s="281">
        <f>IF(AA$6=$C37,IF(INDEX('Surface DEET'!$Q$9:$W$38,COLUMN(AA30)-COLUMN($E$5),7)&gt;0,INDEX('Surface DEET'!$Q$9:$W$38,COLUMN(AA30)-COLUMN($E$5),7),$E37),0)</f>
        <v>0</v>
      </c>
      <c r="AB37" s="281">
        <f>IF(AB$6=$C37,IF(INDEX('Surface DEET'!$Q$9:$W$38,COLUMN(AB30)-COLUMN($E$5),7)&gt;0,INDEX('Surface DEET'!$Q$9:$W$38,COLUMN(AB30)-COLUMN($E$5),7),$E37),0)</f>
        <v>0</v>
      </c>
      <c r="AC37" s="281">
        <f>IF(AC$6=$C37,IF(INDEX('Surface DEET'!$Q$9:$W$38,COLUMN(AC30)-COLUMN($E$5),7)&gt;0,INDEX('Surface DEET'!$Q$9:$W$38,COLUMN(AC30)-COLUMN($E$5),7),$E37),0)</f>
        <v>0</v>
      </c>
      <c r="AD37" s="281">
        <f>IF(AD$6=$C37,IF(INDEX('Surface DEET'!$Q$9:$W$38,COLUMN(AD30)-COLUMN($E$5),7)&gt;0,INDEX('Surface DEET'!$Q$9:$W$38,COLUMN(AD30)-COLUMN($E$5),7),$E37),0)</f>
        <v>0</v>
      </c>
      <c r="AE37" s="281">
        <f>IF(AE$6=$C37,IF(INDEX('Surface DEET'!$Q$9:$W$38,COLUMN(AE30)-COLUMN($E$5),7)&gt;0,INDEX('Surface DEET'!$Q$9:$W$38,COLUMN(AE30)-COLUMN($E$5),7),$E37),0)</f>
        <v>0</v>
      </c>
      <c r="AF37" s="281">
        <f>IF(AF$6=$C37,IF(INDEX('Surface DEET'!$Q$9:$W$38,COLUMN(AF30)-COLUMN($E$5),7)&gt;0,INDEX('Surface DEET'!$Q$9:$W$38,COLUMN(AF30)-COLUMN($E$5),7),$E37),0)</f>
        <v>0</v>
      </c>
      <c r="AG37" s="281">
        <f>IF(AG$6=$C37,IF(INDEX('Surface DEET'!$Q$9:$W$38,COLUMN(AG30)-COLUMN($E$5),7)&gt;0,INDEX('Surface DEET'!$Q$9:$W$38,COLUMN(AG30)-COLUMN($E$5),7),$E37),0)</f>
        <v>0</v>
      </c>
      <c r="AH37" s="281">
        <f>IF(AH$6=$C37,IF(INDEX('Surface DEET'!$Q$9:$W$38,COLUMN(AH30)-COLUMN($E$5),7)&gt;0,INDEX('Surface DEET'!$Q$9:$W$38,COLUMN(AH30)-COLUMN($E$5),7),$E37),0)</f>
        <v>0</v>
      </c>
      <c r="AI37" s="281">
        <f>IF(AI$6=$C37,IF(INDEX('Surface DEET'!$Q$9:$W$38,COLUMN(AI30)-COLUMN($E$5),7)&gt;0,INDEX('Surface DEET'!$Q$9:$W$38,COLUMN(AI30)-COLUMN($E$5),7),$E37),0)</f>
        <v>0</v>
      </c>
    </row>
    <row r="38" spans="1:35">
      <c r="A38" s="541"/>
      <c r="B38" s="281" t="s">
        <v>538</v>
      </c>
      <c r="C38" s="32" t="s">
        <v>594</v>
      </c>
      <c r="D38" s="281" t="s">
        <v>538</v>
      </c>
      <c r="F38" s="281">
        <f>IFERROR($E$32*(F35/$E$35)*($E$34*(F37/$E$37)*($E$36/F36)+(1-$E$34))+0.28*$E$31*(F35-$E$35)/$E$35,0)</f>
        <v>76</v>
      </c>
      <c r="G38" s="281">
        <f t="shared" ref="G38:AI38" si="3">IFERROR($E$32*(G35/$E$35)*($E$34*(G37/$E$37)*($E$36/G36)+(1-$E$34))+0.28*$E$31*(G35-$E$35)/$E$35,0)</f>
        <v>0</v>
      </c>
      <c r="H38" s="281">
        <f t="shared" si="3"/>
        <v>0</v>
      </c>
      <c r="I38" s="281">
        <f t="shared" si="3"/>
        <v>0</v>
      </c>
      <c r="J38" s="281">
        <f t="shared" si="3"/>
        <v>0</v>
      </c>
      <c r="K38" s="281">
        <f t="shared" si="3"/>
        <v>0</v>
      </c>
      <c r="L38" s="281">
        <f t="shared" si="3"/>
        <v>0</v>
      </c>
      <c r="M38" s="281">
        <f t="shared" si="3"/>
        <v>0</v>
      </c>
      <c r="N38" s="281">
        <f t="shared" si="3"/>
        <v>0</v>
      </c>
      <c r="O38" s="281">
        <f t="shared" si="3"/>
        <v>0</v>
      </c>
      <c r="P38" s="281">
        <f t="shared" si="3"/>
        <v>0</v>
      </c>
      <c r="Q38" s="281">
        <f t="shared" si="3"/>
        <v>0</v>
      </c>
      <c r="R38" s="281">
        <f t="shared" si="3"/>
        <v>0</v>
      </c>
      <c r="S38" s="281">
        <f t="shared" si="3"/>
        <v>0</v>
      </c>
      <c r="T38" s="281">
        <f t="shared" si="3"/>
        <v>0</v>
      </c>
      <c r="U38" s="281">
        <f t="shared" si="3"/>
        <v>0</v>
      </c>
      <c r="V38" s="281">
        <f t="shared" si="3"/>
        <v>0</v>
      </c>
      <c r="W38" s="281">
        <f t="shared" si="3"/>
        <v>0</v>
      </c>
      <c r="X38" s="281">
        <f t="shared" si="3"/>
        <v>0</v>
      </c>
      <c r="Y38" s="281">
        <f t="shared" si="3"/>
        <v>0</v>
      </c>
      <c r="Z38" s="281">
        <f t="shared" si="3"/>
        <v>0</v>
      </c>
      <c r="AA38" s="281">
        <f t="shared" si="3"/>
        <v>0</v>
      </c>
      <c r="AB38" s="281">
        <f t="shared" si="3"/>
        <v>0</v>
      </c>
      <c r="AC38" s="281">
        <f t="shared" si="3"/>
        <v>0</v>
      </c>
      <c r="AD38" s="281">
        <f t="shared" si="3"/>
        <v>0</v>
      </c>
      <c r="AE38" s="281">
        <f t="shared" si="3"/>
        <v>0</v>
      </c>
      <c r="AF38" s="281">
        <f t="shared" si="3"/>
        <v>0</v>
      </c>
      <c r="AG38" s="281">
        <f t="shared" si="3"/>
        <v>0</v>
      </c>
      <c r="AH38" s="281">
        <f t="shared" si="3"/>
        <v>0</v>
      </c>
      <c r="AI38" s="281">
        <f t="shared" si="3"/>
        <v>0</v>
      </c>
    </row>
    <row r="39" spans="1:35">
      <c r="A39" s="541" t="s">
        <v>597</v>
      </c>
      <c r="B39" s="92" t="s">
        <v>298</v>
      </c>
      <c r="C39" s="32" t="s">
        <v>597</v>
      </c>
      <c r="D39" s="92" t="s">
        <v>298</v>
      </c>
      <c r="E39" s="281">
        <f t="array" ref="E39">INDEX(CABS_CVC!$C$3:$O$894,MATCH(1, (CABS_CVC!$A$3:$A$894=Calculs_CABS!C39)*(CABS_CVC!$B$3:$B$894=Calculs_CABS!$D$2),0),MATCH(Calculs_CABS!$D$1,Liste_CABS!$B$3:$B$15,0))</f>
        <v>62</v>
      </c>
    </row>
    <row r="40" spans="1:35">
      <c r="A40" s="541"/>
      <c r="B40" s="281" t="s">
        <v>539</v>
      </c>
      <c r="C40" s="32" t="s">
        <v>597</v>
      </c>
      <c r="D40" s="281" t="s">
        <v>539</v>
      </c>
      <c r="E40" s="281">
        <v>84</v>
      </c>
    </row>
    <row r="41" spans="1:35">
      <c r="A41" s="541"/>
      <c r="B41" s="281" t="s">
        <v>540</v>
      </c>
      <c r="C41" s="32" t="s">
        <v>597</v>
      </c>
      <c r="D41" s="281" t="s">
        <v>540</v>
      </c>
      <c r="E41" s="281">
        <f>E39+E40</f>
        <v>146</v>
      </c>
    </row>
    <row r="42" spans="1:35">
      <c r="A42" s="541"/>
      <c r="B42" s="281" t="s">
        <v>541</v>
      </c>
      <c r="C42" s="32" t="s">
        <v>597</v>
      </c>
      <c r="D42" s="281" t="s">
        <v>541</v>
      </c>
      <c r="E42" s="281">
        <v>0.67</v>
      </c>
    </row>
    <row r="43" spans="1:35">
      <c r="A43" s="541"/>
      <c r="B43" s="281" t="s">
        <v>542</v>
      </c>
      <c r="C43" s="32" t="s">
        <v>597</v>
      </c>
      <c r="D43" s="329" t="s">
        <v>588</v>
      </c>
      <c r="E43" s="281">
        <v>8760</v>
      </c>
      <c r="F43" s="281">
        <f>IF(F$6=$C43,IF(INDEX('Surface DEET'!$Q$9:$W$38,COLUMN(F36)-COLUMN($E$5),1)&gt;0,INDEX('Surface DEET'!$Q$9:$W$38,COLUMN(F36)-COLUMN($E$5),1),$E43),0)</f>
        <v>0</v>
      </c>
      <c r="G43" s="281">
        <f>IF(G$6=$C43,IF(INDEX('Surface DEET'!$Q$9:$W$38,COLUMN(G36)-COLUMN($E$5),1)&gt;0,INDEX('Surface DEET'!$Q$9:$W$38,COLUMN(G36)-COLUMN($E$5),1),$E43),0)</f>
        <v>0</v>
      </c>
      <c r="H43" s="281">
        <f>IF(H$6=$C43,IF(INDEX('Surface DEET'!$Q$9:$W$38,COLUMN(H36)-COLUMN($E$5),1)&gt;0,INDEX('Surface DEET'!$Q$9:$W$38,COLUMN(H36)-COLUMN($E$5),1),$E43),0)</f>
        <v>0</v>
      </c>
      <c r="I43" s="281">
        <f>IF(I$6=$C43,IF(INDEX('Surface DEET'!$Q$9:$W$38,COLUMN(I36)-COLUMN($E$5),1)&gt;0,INDEX('Surface DEET'!$Q$9:$W$38,COLUMN(I36)-COLUMN($E$5),1),$E43),0)</f>
        <v>0</v>
      </c>
      <c r="J43" s="281">
        <f>IF(J$6=$C43,IF(INDEX('Surface DEET'!$Q$9:$W$38,COLUMN(J36)-COLUMN($E$5),1)&gt;0,INDEX('Surface DEET'!$Q$9:$W$38,COLUMN(J36)-COLUMN($E$5),1),$E43),0)</f>
        <v>0</v>
      </c>
      <c r="K43" s="281">
        <f>IF(K$6=$C43,IF(INDEX('Surface DEET'!$Q$9:$W$38,COLUMN(K36)-COLUMN($E$5),1)&gt;0,INDEX('Surface DEET'!$Q$9:$W$38,COLUMN(K36)-COLUMN($E$5),1),$E43),0)</f>
        <v>0</v>
      </c>
      <c r="L43" s="281">
        <f>IF(L$6=$C43,IF(INDEX('Surface DEET'!$Q$9:$W$38,COLUMN(L36)-COLUMN($E$5),1)&gt;0,INDEX('Surface DEET'!$Q$9:$W$38,COLUMN(L36)-COLUMN($E$5),1),$E43),0)</f>
        <v>0</v>
      </c>
      <c r="M43" s="281">
        <f>IF(M$6=$C43,IF(INDEX('Surface DEET'!$Q$9:$W$38,COLUMN(M36)-COLUMN($E$5),1)&gt;0,INDEX('Surface DEET'!$Q$9:$W$38,COLUMN(M36)-COLUMN($E$5),1),$E43),0)</f>
        <v>0</v>
      </c>
      <c r="N43" s="281">
        <f>IF(N$6=$C43,IF(INDEX('Surface DEET'!$Q$9:$W$38,COLUMN(N36)-COLUMN($E$5),1)&gt;0,INDEX('Surface DEET'!$Q$9:$W$38,COLUMN(N36)-COLUMN($E$5),1),$E43),0)</f>
        <v>0</v>
      </c>
      <c r="O43" s="281">
        <f>IF(O$6=$C43,IF(INDEX('Surface DEET'!$Q$9:$W$38,COLUMN(O36)-COLUMN($E$5),1)&gt;0,INDEX('Surface DEET'!$Q$9:$W$38,COLUMN(O36)-COLUMN($E$5),1),$E43),0)</f>
        <v>0</v>
      </c>
      <c r="P43" s="281">
        <f>IF(P$6=$C43,IF(INDEX('Surface DEET'!$Q$9:$W$38,COLUMN(P36)-COLUMN($E$5),1)&gt;0,INDEX('Surface DEET'!$Q$9:$W$38,COLUMN(P36)-COLUMN($E$5),1),$E43),0)</f>
        <v>0</v>
      </c>
      <c r="Q43" s="281">
        <f>IF(Q$6=$C43,IF(INDEX('Surface DEET'!$Q$9:$W$38,COLUMN(Q36)-COLUMN($E$5),1)&gt;0,INDEX('Surface DEET'!$Q$9:$W$38,COLUMN(Q36)-COLUMN($E$5),1),$E43),0)</f>
        <v>0</v>
      </c>
      <c r="R43" s="281">
        <f>IF(R$6=$C43,IF(INDEX('Surface DEET'!$Q$9:$W$38,COLUMN(R36)-COLUMN($E$5),1)&gt;0,INDEX('Surface DEET'!$Q$9:$W$38,COLUMN(R36)-COLUMN($E$5),1),$E43),0)</f>
        <v>0</v>
      </c>
      <c r="S43" s="281">
        <f>IF(S$6=$C43,IF(INDEX('Surface DEET'!$Q$9:$W$38,COLUMN(S36)-COLUMN($E$5),1)&gt;0,INDEX('Surface DEET'!$Q$9:$W$38,COLUMN(S36)-COLUMN($E$5),1),$E43),0)</f>
        <v>0</v>
      </c>
      <c r="T43" s="281">
        <f>IF(T$6=$C43,IF(INDEX('Surface DEET'!$Q$9:$W$38,COLUMN(T36)-COLUMN($E$5),1)&gt;0,INDEX('Surface DEET'!$Q$9:$W$38,COLUMN(T36)-COLUMN($E$5),1),$E43),0)</f>
        <v>0</v>
      </c>
      <c r="U43" s="281">
        <f>IF(U$6=$C43,IF(INDEX('Surface DEET'!$Q$9:$W$38,COLUMN(U36)-COLUMN($E$5),1)&gt;0,INDEX('Surface DEET'!$Q$9:$W$38,COLUMN(U36)-COLUMN($E$5),1),$E43),0)</f>
        <v>0</v>
      </c>
      <c r="V43" s="281">
        <f>IF(V$6=$C43,IF(INDEX('Surface DEET'!$Q$9:$W$38,COLUMN(V36)-COLUMN($E$5),1)&gt;0,INDEX('Surface DEET'!$Q$9:$W$38,COLUMN(V36)-COLUMN($E$5),1),$E43),0)</f>
        <v>0</v>
      </c>
      <c r="W43" s="281">
        <f>IF(W$6=$C43,IF(INDEX('Surface DEET'!$Q$9:$W$38,COLUMN(W36)-COLUMN($E$5),1)&gt;0,INDEX('Surface DEET'!$Q$9:$W$38,COLUMN(W36)-COLUMN($E$5),1),$E43),0)</f>
        <v>0</v>
      </c>
      <c r="X43" s="281">
        <f>IF(X$6=$C43,IF(INDEX('Surface DEET'!$Q$9:$W$38,COLUMN(X36)-COLUMN($E$5),1)&gt;0,INDEX('Surface DEET'!$Q$9:$W$38,COLUMN(X36)-COLUMN($E$5),1),$E43),0)</f>
        <v>0</v>
      </c>
      <c r="Y43" s="281">
        <f>IF(Y$6=$C43,IF(INDEX('Surface DEET'!$Q$9:$W$38,COLUMN(Y36)-COLUMN($E$5),1)&gt;0,INDEX('Surface DEET'!$Q$9:$W$38,COLUMN(Y36)-COLUMN($E$5),1),$E43),0)</f>
        <v>0</v>
      </c>
      <c r="Z43" s="281">
        <f>IF(Z$6=$C43,IF(INDEX('Surface DEET'!$Q$9:$W$38,COLUMN(Z36)-COLUMN($E$5),1)&gt;0,INDEX('Surface DEET'!$Q$9:$W$38,COLUMN(Z36)-COLUMN($E$5),1),$E43),0)</f>
        <v>0</v>
      </c>
      <c r="AA43" s="281">
        <f>IF(AA$6=$C43,IF(INDEX('Surface DEET'!$Q$9:$W$38,COLUMN(AA36)-COLUMN($E$5),1)&gt;0,INDEX('Surface DEET'!$Q$9:$W$38,COLUMN(AA36)-COLUMN($E$5),1),$E43),0)</f>
        <v>0</v>
      </c>
      <c r="AB43" s="281">
        <f>IF(AB$6=$C43,IF(INDEX('Surface DEET'!$Q$9:$W$38,COLUMN(AB36)-COLUMN($E$5),1)&gt;0,INDEX('Surface DEET'!$Q$9:$W$38,COLUMN(AB36)-COLUMN($E$5),1),$E43),0)</f>
        <v>0</v>
      </c>
      <c r="AC43" s="281">
        <f>IF(AC$6=$C43,IF(INDEX('Surface DEET'!$Q$9:$W$38,COLUMN(AC36)-COLUMN($E$5),1)&gt;0,INDEX('Surface DEET'!$Q$9:$W$38,COLUMN(AC36)-COLUMN($E$5),1),$E43),0)</f>
        <v>0</v>
      </c>
      <c r="AD43" s="281">
        <f>IF(AD$6=$C43,IF(INDEX('Surface DEET'!$Q$9:$W$38,COLUMN(AD36)-COLUMN($E$5),1)&gt;0,INDEX('Surface DEET'!$Q$9:$W$38,COLUMN(AD36)-COLUMN($E$5),1),$E43),0)</f>
        <v>0</v>
      </c>
      <c r="AE43" s="281">
        <f>IF(AE$6=$C43,IF(INDEX('Surface DEET'!$Q$9:$W$38,COLUMN(AE36)-COLUMN($E$5),1)&gt;0,INDEX('Surface DEET'!$Q$9:$W$38,COLUMN(AE36)-COLUMN($E$5),1),$E43),0)</f>
        <v>0</v>
      </c>
      <c r="AF43" s="281">
        <f>IF(AF$6=$C43,IF(INDEX('Surface DEET'!$Q$9:$W$38,COLUMN(AF36)-COLUMN($E$5),1)&gt;0,INDEX('Surface DEET'!$Q$9:$W$38,COLUMN(AF36)-COLUMN($E$5),1),$E43),0)</f>
        <v>0</v>
      </c>
      <c r="AG43" s="281">
        <f>IF(AG$6=$C43,IF(INDEX('Surface DEET'!$Q$9:$W$38,COLUMN(AG36)-COLUMN($E$5),1)&gt;0,INDEX('Surface DEET'!$Q$9:$W$38,COLUMN(AG36)-COLUMN($E$5),1),$E43),0)</f>
        <v>0</v>
      </c>
      <c r="AH43" s="281">
        <f>IF(AH$6=$C43,IF(INDEX('Surface DEET'!$Q$9:$W$38,COLUMN(AH36)-COLUMN($E$5),1)&gt;0,INDEX('Surface DEET'!$Q$9:$W$38,COLUMN(AH36)-COLUMN($E$5),1),$E43),0)</f>
        <v>0</v>
      </c>
      <c r="AI43" s="281">
        <f>IF(AI$6=$C43,IF(INDEX('Surface DEET'!$Q$9:$W$38,COLUMN(AI36)-COLUMN($E$5),1)&gt;0,INDEX('Surface DEET'!$Q$9:$W$38,COLUMN(AI36)-COLUMN($E$5),1),$E43),0)</f>
        <v>0</v>
      </c>
    </row>
    <row r="44" spans="1:35">
      <c r="A44" s="541"/>
      <c r="B44" s="281" t="s">
        <v>545</v>
      </c>
      <c r="C44" s="32" t="s">
        <v>597</v>
      </c>
      <c r="D44" s="329" t="s">
        <v>595</v>
      </c>
      <c r="E44" s="281">
        <v>23</v>
      </c>
      <c r="F44" s="281">
        <f>IF(F$6=$C44,IF(INDEX('Surface DEET'!$Q$9:$W$38,COLUMN(F37)-COLUMN($E$5),4)&gt;0,INDEX('Surface DEET'!$Q$9:$W$38,COLUMN(F37)-COLUMN($E$5),4),$E44),0)</f>
        <v>0</v>
      </c>
      <c r="G44" s="281">
        <f>IF(G$6=$C44,IF(INDEX('Surface DEET'!$Q$9:$W$38,COLUMN(G37)-COLUMN($E$5),4)&gt;0,INDEX('Surface DEET'!$Q$9:$W$38,COLUMN(G37)-COLUMN($E$5),4),$E44),0)</f>
        <v>0</v>
      </c>
      <c r="H44" s="281">
        <f>IF(H$6=$C44,IF(INDEX('Surface DEET'!$Q$9:$W$38,COLUMN(H37)-COLUMN($E$5),4)&gt;0,INDEX('Surface DEET'!$Q$9:$W$38,COLUMN(H37)-COLUMN($E$5),4),$E44),0)</f>
        <v>0</v>
      </c>
      <c r="I44" s="281">
        <f>IF(I$6=$C44,IF(INDEX('Surface DEET'!$Q$9:$W$38,COLUMN(I37)-COLUMN($E$5),4)&gt;0,INDEX('Surface DEET'!$Q$9:$W$38,COLUMN(I37)-COLUMN($E$5),4),$E44),0)</f>
        <v>0</v>
      </c>
      <c r="J44" s="281">
        <f>IF(J$6=$C44,IF(INDEX('Surface DEET'!$Q$9:$W$38,COLUMN(J37)-COLUMN($E$5),4)&gt;0,INDEX('Surface DEET'!$Q$9:$W$38,COLUMN(J37)-COLUMN($E$5),4),$E44),0)</f>
        <v>0</v>
      </c>
      <c r="K44" s="281">
        <f>IF(K$6=$C44,IF(INDEX('Surface DEET'!$Q$9:$W$38,COLUMN(K37)-COLUMN($E$5),4)&gt;0,INDEX('Surface DEET'!$Q$9:$W$38,COLUMN(K37)-COLUMN($E$5),4),$E44),0)</f>
        <v>0</v>
      </c>
      <c r="L44" s="281">
        <f>IF(L$6=$C44,IF(INDEX('Surface DEET'!$Q$9:$W$38,COLUMN(L37)-COLUMN($E$5),4)&gt;0,INDEX('Surface DEET'!$Q$9:$W$38,COLUMN(L37)-COLUMN($E$5),4),$E44),0)</f>
        <v>0</v>
      </c>
      <c r="M44" s="281">
        <f>IF(M$6=$C44,IF(INDEX('Surface DEET'!$Q$9:$W$38,COLUMN(M37)-COLUMN($E$5),4)&gt;0,INDEX('Surface DEET'!$Q$9:$W$38,COLUMN(M37)-COLUMN($E$5),4),$E44),0)</f>
        <v>0</v>
      </c>
      <c r="N44" s="281">
        <f>IF(N$6=$C44,IF(INDEX('Surface DEET'!$Q$9:$W$38,COLUMN(N37)-COLUMN($E$5),4)&gt;0,INDEX('Surface DEET'!$Q$9:$W$38,COLUMN(N37)-COLUMN($E$5),4),$E44),0)</f>
        <v>0</v>
      </c>
      <c r="O44" s="281">
        <f>IF(O$6=$C44,IF(INDEX('Surface DEET'!$Q$9:$W$38,COLUMN(O37)-COLUMN($E$5),4)&gt;0,INDEX('Surface DEET'!$Q$9:$W$38,COLUMN(O37)-COLUMN($E$5),4),$E44),0)</f>
        <v>0</v>
      </c>
      <c r="P44" s="281">
        <f>IF(P$6=$C44,IF(INDEX('Surface DEET'!$Q$9:$W$38,COLUMN(P37)-COLUMN($E$5),4)&gt;0,INDEX('Surface DEET'!$Q$9:$W$38,COLUMN(P37)-COLUMN($E$5),4),$E44),0)</f>
        <v>0</v>
      </c>
      <c r="Q44" s="281">
        <f>IF(Q$6=$C44,IF(INDEX('Surface DEET'!$Q$9:$W$38,COLUMN(Q37)-COLUMN($E$5),4)&gt;0,INDEX('Surface DEET'!$Q$9:$W$38,COLUMN(Q37)-COLUMN($E$5),4),$E44),0)</f>
        <v>0</v>
      </c>
      <c r="R44" s="281">
        <f>IF(R$6=$C44,IF(INDEX('Surface DEET'!$Q$9:$W$38,COLUMN(R37)-COLUMN($E$5),4)&gt;0,INDEX('Surface DEET'!$Q$9:$W$38,COLUMN(R37)-COLUMN($E$5),4),$E44),0)</f>
        <v>0</v>
      </c>
      <c r="S44" s="281">
        <f>IF(S$6=$C44,IF(INDEX('Surface DEET'!$Q$9:$W$38,COLUMN(S37)-COLUMN($E$5),4)&gt;0,INDEX('Surface DEET'!$Q$9:$W$38,COLUMN(S37)-COLUMN($E$5),4),$E44),0)</f>
        <v>0</v>
      </c>
      <c r="T44" s="281">
        <f>IF(T$6=$C44,IF(INDEX('Surface DEET'!$Q$9:$W$38,COLUMN(T37)-COLUMN($E$5),4)&gt;0,INDEX('Surface DEET'!$Q$9:$W$38,COLUMN(T37)-COLUMN($E$5),4),$E44),0)</f>
        <v>0</v>
      </c>
      <c r="U44" s="281">
        <f>IF(U$6=$C44,IF(INDEX('Surface DEET'!$Q$9:$W$38,COLUMN(U37)-COLUMN($E$5),4)&gt;0,INDEX('Surface DEET'!$Q$9:$W$38,COLUMN(U37)-COLUMN($E$5),4),$E44),0)</f>
        <v>0</v>
      </c>
      <c r="V44" s="281">
        <f>IF(V$6=$C44,IF(INDEX('Surface DEET'!$Q$9:$W$38,COLUMN(V37)-COLUMN($E$5),4)&gt;0,INDEX('Surface DEET'!$Q$9:$W$38,COLUMN(V37)-COLUMN($E$5),4),$E44),0)</f>
        <v>0</v>
      </c>
      <c r="W44" s="281">
        <f>IF(W$6=$C44,IF(INDEX('Surface DEET'!$Q$9:$W$38,COLUMN(W37)-COLUMN($E$5),4)&gt;0,INDEX('Surface DEET'!$Q$9:$W$38,COLUMN(W37)-COLUMN($E$5),4),$E44),0)</f>
        <v>0</v>
      </c>
      <c r="X44" s="281">
        <f>IF(X$6=$C44,IF(INDEX('Surface DEET'!$Q$9:$W$38,COLUMN(X37)-COLUMN($E$5),4)&gt;0,INDEX('Surface DEET'!$Q$9:$W$38,COLUMN(X37)-COLUMN($E$5),4),$E44),0)</f>
        <v>0</v>
      </c>
      <c r="Y44" s="281">
        <f>IF(Y$6=$C44,IF(INDEX('Surface DEET'!$Q$9:$W$38,COLUMN(Y37)-COLUMN($E$5),4)&gt;0,INDEX('Surface DEET'!$Q$9:$W$38,COLUMN(Y37)-COLUMN($E$5),4),$E44),0)</f>
        <v>0</v>
      </c>
      <c r="Z44" s="281">
        <f>IF(Z$6=$C44,IF(INDEX('Surface DEET'!$Q$9:$W$38,COLUMN(Z37)-COLUMN($E$5),4)&gt;0,INDEX('Surface DEET'!$Q$9:$W$38,COLUMN(Z37)-COLUMN($E$5),4),$E44),0)</f>
        <v>0</v>
      </c>
      <c r="AA44" s="281">
        <f>IF(AA$6=$C44,IF(INDEX('Surface DEET'!$Q$9:$W$38,COLUMN(AA37)-COLUMN($E$5),4)&gt;0,INDEX('Surface DEET'!$Q$9:$W$38,COLUMN(AA37)-COLUMN($E$5),4),$E44),0)</f>
        <v>0</v>
      </c>
      <c r="AB44" s="281">
        <f>IF(AB$6=$C44,IF(INDEX('Surface DEET'!$Q$9:$W$38,COLUMN(AB37)-COLUMN($E$5),4)&gt;0,INDEX('Surface DEET'!$Q$9:$W$38,COLUMN(AB37)-COLUMN($E$5),4),$E44),0)</f>
        <v>0</v>
      </c>
      <c r="AC44" s="281">
        <f>IF(AC$6=$C44,IF(INDEX('Surface DEET'!$Q$9:$W$38,COLUMN(AC37)-COLUMN($E$5),4)&gt;0,INDEX('Surface DEET'!$Q$9:$W$38,COLUMN(AC37)-COLUMN($E$5),4),$E44),0)</f>
        <v>0</v>
      </c>
      <c r="AD44" s="281">
        <f>IF(AD$6=$C44,IF(INDEX('Surface DEET'!$Q$9:$W$38,COLUMN(AD37)-COLUMN($E$5),4)&gt;0,INDEX('Surface DEET'!$Q$9:$W$38,COLUMN(AD37)-COLUMN($E$5),4),$E44),0)</f>
        <v>0</v>
      </c>
      <c r="AE44" s="281">
        <f>IF(AE$6=$C44,IF(INDEX('Surface DEET'!$Q$9:$W$38,COLUMN(AE37)-COLUMN($E$5),4)&gt;0,INDEX('Surface DEET'!$Q$9:$W$38,COLUMN(AE37)-COLUMN($E$5),4),$E44),0)</f>
        <v>0</v>
      </c>
      <c r="AF44" s="281">
        <f>IF(AF$6=$C44,IF(INDEX('Surface DEET'!$Q$9:$W$38,COLUMN(AF37)-COLUMN($E$5),4)&gt;0,INDEX('Surface DEET'!$Q$9:$W$38,COLUMN(AF37)-COLUMN($E$5),4),$E44),0)</f>
        <v>0</v>
      </c>
      <c r="AG44" s="281">
        <f>IF(AG$6=$C44,IF(INDEX('Surface DEET'!$Q$9:$W$38,COLUMN(AG37)-COLUMN($E$5),4)&gt;0,INDEX('Surface DEET'!$Q$9:$W$38,COLUMN(AG37)-COLUMN($E$5),4),$E44),0)</f>
        <v>0</v>
      </c>
      <c r="AH44" s="281">
        <f>IF(AH$6=$C44,IF(INDEX('Surface DEET'!$Q$9:$W$38,COLUMN(AH37)-COLUMN($E$5),4)&gt;0,INDEX('Surface DEET'!$Q$9:$W$38,COLUMN(AH37)-COLUMN($E$5),4),$E44),0)</f>
        <v>0</v>
      </c>
      <c r="AI44" s="281">
        <f>IF(AI$6=$C44,IF(INDEX('Surface DEET'!$Q$9:$W$38,COLUMN(AI37)-COLUMN($E$5),4)&gt;0,INDEX('Surface DEET'!$Q$9:$W$38,COLUMN(AI37)-COLUMN($E$5),4),$E44),0)</f>
        <v>0</v>
      </c>
    </row>
    <row r="45" spans="1:35">
      <c r="A45" s="541"/>
      <c r="B45" s="281" t="s">
        <v>548</v>
      </c>
      <c r="C45" s="32" t="s">
        <v>597</v>
      </c>
      <c r="D45" s="330"/>
    </row>
    <row r="46" spans="1:35">
      <c r="A46" s="541"/>
      <c r="B46" s="281" t="s">
        <v>538</v>
      </c>
      <c r="C46" s="32" t="s">
        <v>597</v>
      </c>
      <c r="D46" s="281" t="s">
        <v>538</v>
      </c>
      <c r="F46" s="281">
        <f>IFERROR($E$40*(F43/$E$43)*(($E$42*($E$44/F44))+(1-$E$42))+0.28*$E$39*(F43-$E$43)/$E$43,0)</f>
        <v>0</v>
      </c>
      <c r="G46" s="281">
        <f t="shared" ref="G46:AI46" si="4">IFERROR($E$40*(G44/$E$43)*(($E$42*($E$44/G45))+(1-$E$42))+0.28*$E$39*(G44-$E$43)/$E$43,0)</f>
        <v>0</v>
      </c>
      <c r="H46" s="281">
        <f t="shared" si="4"/>
        <v>0</v>
      </c>
      <c r="I46" s="281">
        <f t="shared" si="4"/>
        <v>0</v>
      </c>
      <c r="J46" s="281">
        <f t="shared" si="4"/>
        <v>0</v>
      </c>
      <c r="K46" s="281">
        <f t="shared" si="4"/>
        <v>0</v>
      </c>
      <c r="L46" s="281">
        <f t="shared" si="4"/>
        <v>0</v>
      </c>
      <c r="M46" s="281">
        <f t="shared" si="4"/>
        <v>0</v>
      </c>
      <c r="N46" s="281">
        <f t="shared" si="4"/>
        <v>0</v>
      </c>
      <c r="O46" s="281">
        <f t="shared" si="4"/>
        <v>0</v>
      </c>
      <c r="P46" s="281">
        <f t="shared" si="4"/>
        <v>0</v>
      </c>
      <c r="Q46" s="281">
        <f t="shared" si="4"/>
        <v>0</v>
      </c>
      <c r="R46" s="281">
        <f t="shared" si="4"/>
        <v>0</v>
      </c>
      <c r="S46" s="281">
        <f t="shared" si="4"/>
        <v>0</v>
      </c>
      <c r="T46" s="281">
        <f t="shared" si="4"/>
        <v>0</v>
      </c>
      <c r="U46" s="281">
        <f t="shared" si="4"/>
        <v>0</v>
      </c>
      <c r="V46" s="281">
        <f t="shared" si="4"/>
        <v>0</v>
      </c>
      <c r="W46" s="281">
        <f t="shared" si="4"/>
        <v>0</v>
      </c>
      <c r="X46" s="281">
        <f t="shared" si="4"/>
        <v>0</v>
      </c>
      <c r="Y46" s="281">
        <f t="shared" si="4"/>
        <v>0</v>
      </c>
      <c r="Z46" s="281">
        <f t="shared" si="4"/>
        <v>0</v>
      </c>
      <c r="AA46" s="281">
        <f t="shared" si="4"/>
        <v>0</v>
      </c>
      <c r="AB46" s="281">
        <f t="shared" si="4"/>
        <v>0</v>
      </c>
      <c r="AC46" s="281">
        <f t="shared" si="4"/>
        <v>0</v>
      </c>
      <c r="AD46" s="281">
        <f t="shared" si="4"/>
        <v>0</v>
      </c>
      <c r="AE46" s="281">
        <f t="shared" si="4"/>
        <v>0</v>
      </c>
      <c r="AF46" s="281">
        <f t="shared" si="4"/>
        <v>0</v>
      </c>
      <c r="AG46" s="281">
        <f t="shared" si="4"/>
        <v>0</v>
      </c>
      <c r="AH46" s="281">
        <f t="shared" si="4"/>
        <v>0</v>
      </c>
      <c r="AI46" s="281">
        <f t="shared" si="4"/>
        <v>0</v>
      </c>
    </row>
    <row r="47" spans="1:35">
      <c r="A47" s="541" t="s">
        <v>598</v>
      </c>
      <c r="B47" s="92" t="s">
        <v>298</v>
      </c>
      <c r="C47" s="32" t="s">
        <v>598</v>
      </c>
      <c r="D47" s="92" t="s">
        <v>298</v>
      </c>
      <c r="E47" s="281">
        <f t="array" ref="E47">INDEX(CABS_CVC!$C$3:$O$894,MATCH(1, (CABS_CVC!$A$3:$A$894=Calculs_CABS!C47)*(CABS_CVC!$B$3:$B$894=Calculs_CABS!$D$2),0),MATCH(Calculs_CABS!$D$1,Liste_CABS!$B$3:$B$15,0))</f>
        <v>68</v>
      </c>
    </row>
    <row r="48" spans="1:35">
      <c r="A48" s="541"/>
      <c r="B48" s="281" t="s">
        <v>539</v>
      </c>
      <c r="C48" s="32" t="s">
        <v>598</v>
      </c>
      <c r="D48" s="281" t="s">
        <v>539</v>
      </c>
      <c r="E48" s="281">
        <v>73</v>
      </c>
    </row>
    <row r="49" spans="1:35">
      <c r="A49" s="541"/>
      <c r="B49" s="281" t="s">
        <v>540</v>
      </c>
      <c r="C49" s="32" t="s">
        <v>598</v>
      </c>
      <c r="D49" s="281" t="s">
        <v>540</v>
      </c>
      <c r="E49" s="281">
        <f>E47+E48</f>
        <v>141</v>
      </c>
    </row>
    <row r="50" spans="1:35">
      <c r="A50" s="541"/>
      <c r="B50" s="281" t="s">
        <v>541</v>
      </c>
      <c r="C50" s="32" t="s">
        <v>598</v>
      </c>
      <c r="D50" s="281" t="s">
        <v>541</v>
      </c>
      <c r="E50" s="281">
        <v>0.74</v>
      </c>
    </row>
    <row r="51" spans="1:35">
      <c r="A51" s="541"/>
      <c r="B51" s="281" t="s">
        <v>542</v>
      </c>
      <c r="C51" s="32" t="s">
        <v>598</v>
      </c>
      <c r="D51" s="329" t="s">
        <v>588</v>
      </c>
      <c r="E51" s="281">
        <v>8760</v>
      </c>
      <c r="F51" s="281">
        <f>IF(F$6=$C51,IF(INDEX('Surface DEET'!$Q$9:$W$38,COLUMN(F44)-COLUMN($E$5),1)&gt;0,INDEX('Surface DEET'!$Q$9:$W$38,COLUMN(F44)-COLUMN($E$5),1),$E51),0)</f>
        <v>0</v>
      </c>
      <c r="G51" s="281">
        <f>IF(G$6=$C51,IF(INDEX('Surface DEET'!$Q$9:$W$38,COLUMN(G44)-COLUMN($E$5),1)&gt;0,INDEX('Surface DEET'!$Q$9:$W$38,COLUMN(G44)-COLUMN($E$5),1),$E51),0)</f>
        <v>0</v>
      </c>
      <c r="H51" s="281">
        <f>IF(H$6=$C51,IF(INDEX('Surface DEET'!$Q$9:$W$38,COLUMN(H44)-COLUMN($E$5),1)&gt;0,INDEX('Surface DEET'!$Q$9:$W$38,COLUMN(H44)-COLUMN($E$5),1),$E51),0)</f>
        <v>0</v>
      </c>
      <c r="I51" s="281">
        <f>IF(I$6=$C51,IF(INDEX('Surface DEET'!$Q$9:$W$38,COLUMN(I44)-COLUMN($E$5),1)&gt;0,INDEX('Surface DEET'!$Q$9:$W$38,COLUMN(I44)-COLUMN($E$5),1),$E51),0)</f>
        <v>0</v>
      </c>
      <c r="J51" s="281">
        <f>IF(J$6=$C51,IF(INDEX('Surface DEET'!$Q$9:$W$38,COLUMN(J44)-COLUMN($E$5),1)&gt;0,INDEX('Surface DEET'!$Q$9:$W$38,COLUMN(J44)-COLUMN($E$5),1),$E51),0)</f>
        <v>0</v>
      </c>
      <c r="K51" s="281">
        <f>IF(K$6=$C51,IF(INDEX('Surface DEET'!$Q$9:$W$38,COLUMN(K44)-COLUMN($E$5),1)&gt;0,INDEX('Surface DEET'!$Q$9:$W$38,COLUMN(K44)-COLUMN($E$5),1),$E51),0)</f>
        <v>0</v>
      </c>
      <c r="L51" s="281">
        <f>IF(L$6=$C51,IF(INDEX('Surface DEET'!$Q$9:$W$38,COLUMN(L44)-COLUMN($E$5),1)&gt;0,INDEX('Surface DEET'!$Q$9:$W$38,COLUMN(L44)-COLUMN($E$5),1),$E51),0)</f>
        <v>0</v>
      </c>
      <c r="M51" s="281">
        <f>IF(M$6=$C51,IF(INDEX('Surface DEET'!$Q$9:$W$38,COLUMN(M44)-COLUMN($E$5),1)&gt;0,INDEX('Surface DEET'!$Q$9:$W$38,COLUMN(M44)-COLUMN($E$5),1),$E51),0)</f>
        <v>0</v>
      </c>
      <c r="N51" s="281">
        <f>IF(N$6=$C51,IF(INDEX('Surface DEET'!$Q$9:$W$38,COLUMN(N44)-COLUMN($E$5),1)&gt;0,INDEX('Surface DEET'!$Q$9:$W$38,COLUMN(N44)-COLUMN($E$5),1),$E51),0)</f>
        <v>0</v>
      </c>
      <c r="O51" s="281">
        <f>IF(O$6=$C51,IF(INDEX('Surface DEET'!$Q$9:$W$38,COLUMN(O44)-COLUMN($E$5),1)&gt;0,INDEX('Surface DEET'!$Q$9:$W$38,COLUMN(O44)-COLUMN($E$5),1),$E51),0)</f>
        <v>0</v>
      </c>
      <c r="P51" s="281">
        <f>IF(P$6=$C51,IF(INDEX('Surface DEET'!$Q$9:$W$38,COLUMN(P44)-COLUMN($E$5),1)&gt;0,INDEX('Surface DEET'!$Q$9:$W$38,COLUMN(P44)-COLUMN($E$5),1),$E51),0)</f>
        <v>0</v>
      </c>
      <c r="Q51" s="281">
        <f>IF(Q$6=$C51,IF(INDEX('Surface DEET'!$Q$9:$W$38,COLUMN(Q44)-COLUMN($E$5),1)&gt;0,INDEX('Surface DEET'!$Q$9:$W$38,COLUMN(Q44)-COLUMN($E$5),1),$E51),0)</f>
        <v>0</v>
      </c>
      <c r="R51" s="281">
        <f>IF(R$6=$C51,IF(INDEX('Surface DEET'!$Q$9:$W$38,COLUMN(R44)-COLUMN($E$5),1)&gt;0,INDEX('Surface DEET'!$Q$9:$W$38,COLUMN(R44)-COLUMN($E$5),1),$E51),0)</f>
        <v>0</v>
      </c>
      <c r="S51" s="281">
        <f>IF(S$6=$C51,IF(INDEX('Surface DEET'!$Q$9:$W$38,COLUMN(S44)-COLUMN($E$5),1)&gt;0,INDEX('Surface DEET'!$Q$9:$W$38,COLUMN(S44)-COLUMN($E$5),1),$E51),0)</f>
        <v>0</v>
      </c>
      <c r="T51" s="281">
        <f>IF(T$6=$C51,IF(INDEX('Surface DEET'!$Q$9:$W$38,COLUMN(T44)-COLUMN($E$5),1)&gt;0,INDEX('Surface DEET'!$Q$9:$W$38,COLUMN(T44)-COLUMN($E$5),1),$E51),0)</f>
        <v>0</v>
      </c>
      <c r="U51" s="281">
        <f>IF(U$6=$C51,IF(INDEX('Surface DEET'!$Q$9:$W$38,COLUMN(U44)-COLUMN($E$5),1)&gt;0,INDEX('Surface DEET'!$Q$9:$W$38,COLUMN(U44)-COLUMN($E$5),1),$E51),0)</f>
        <v>0</v>
      </c>
      <c r="V51" s="281">
        <f>IF(V$6=$C51,IF(INDEX('Surface DEET'!$Q$9:$W$38,COLUMN(V44)-COLUMN($E$5),1)&gt;0,INDEX('Surface DEET'!$Q$9:$W$38,COLUMN(V44)-COLUMN($E$5),1),$E51),0)</f>
        <v>0</v>
      </c>
      <c r="W51" s="281">
        <f>IF(W$6=$C51,IF(INDEX('Surface DEET'!$Q$9:$W$38,COLUMN(W44)-COLUMN($E$5),1)&gt;0,INDEX('Surface DEET'!$Q$9:$W$38,COLUMN(W44)-COLUMN($E$5),1),$E51),0)</f>
        <v>0</v>
      </c>
      <c r="X51" s="281">
        <f>IF(X$6=$C51,IF(INDEX('Surface DEET'!$Q$9:$W$38,COLUMN(X44)-COLUMN($E$5),1)&gt;0,INDEX('Surface DEET'!$Q$9:$W$38,COLUMN(X44)-COLUMN($E$5),1),$E51),0)</f>
        <v>0</v>
      </c>
      <c r="Y51" s="281">
        <f>IF(Y$6=$C51,IF(INDEX('Surface DEET'!$Q$9:$W$38,COLUMN(Y44)-COLUMN($E$5),1)&gt;0,INDEX('Surface DEET'!$Q$9:$W$38,COLUMN(Y44)-COLUMN($E$5),1),$E51),0)</f>
        <v>0</v>
      </c>
      <c r="Z51" s="281">
        <f>IF(Z$6=$C51,IF(INDEX('Surface DEET'!$Q$9:$W$38,COLUMN(Z44)-COLUMN($E$5),1)&gt;0,INDEX('Surface DEET'!$Q$9:$W$38,COLUMN(Z44)-COLUMN($E$5),1),$E51),0)</f>
        <v>0</v>
      </c>
      <c r="AA51" s="281">
        <f>IF(AA$6=$C51,IF(INDEX('Surface DEET'!$Q$9:$W$38,COLUMN(AA44)-COLUMN($E$5),1)&gt;0,INDEX('Surface DEET'!$Q$9:$W$38,COLUMN(AA44)-COLUMN($E$5),1),$E51),0)</f>
        <v>0</v>
      </c>
      <c r="AB51" s="281">
        <f>IF(AB$6=$C51,IF(INDEX('Surface DEET'!$Q$9:$W$38,COLUMN(AB44)-COLUMN($E$5),1)&gt;0,INDEX('Surface DEET'!$Q$9:$W$38,COLUMN(AB44)-COLUMN($E$5),1),$E51),0)</f>
        <v>0</v>
      </c>
      <c r="AC51" s="281">
        <f>IF(AC$6=$C51,IF(INDEX('Surface DEET'!$Q$9:$W$38,COLUMN(AC44)-COLUMN($E$5),1)&gt;0,INDEX('Surface DEET'!$Q$9:$W$38,COLUMN(AC44)-COLUMN($E$5),1),$E51),0)</f>
        <v>0</v>
      </c>
      <c r="AD51" s="281">
        <f>IF(AD$6=$C51,IF(INDEX('Surface DEET'!$Q$9:$W$38,COLUMN(AD44)-COLUMN($E$5),1)&gt;0,INDEX('Surface DEET'!$Q$9:$W$38,COLUMN(AD44)-COLUMN($E$5),1),$E51),0)</f>
        <v>0</v>
      </c>
      <c r="AE51" s="281">
        <f>IF(AE$6=$C51,IF(INDEX('Surface DEET'!$Q$9:$W$38,COLUMN(AE44)-COLUMN($E$5),1)&gt;0,INDEX('Surface DEET'!$Q$9:$W$38,COLUMN(AE44)-COLUMN($E$5),1),$E51),0)</f>
        <v>0</v>
      </c>
      <c r="AF51" s="281">
        <f>IF(AF$6=$C51,IF(INDEX('Surface DEET'!$Q$9:$W$38,COLUMN(AF44)-COLUMN($E$5),1)&gt;0,INDEX('Surface DEET'!$Q$9:$W$38,COLUMN(AF44)-COLUMN($E$5),1),$E51),0)</f>
        <v>0</v>
      </c>
      <c r="AG51" s="281">
        <f>IF(AG$6=$C51,IF(INDEX('Surface DEET'!$Q$9:$W$38,COLUMN(AG44)-COLUMN($E$5),1)&gt;0,INDEX('Surface DEET'!$Q$9:$W$38,COLUMN(AG44)-COLUMN($E$5),1),$E51),0)</f>
        <v>0</v>
      </c>
      <c r="AH51" s="281">
        <f>IF(AH$6=$C51,IF(INDEX('Surface DEET'!$Q$9:$W$38,COLUMN(AH44)-COLUMN($E$5),1)&gt;0,INDEX('Surface DEET'!$Q$9:$W$38,COLUMN(AH44)-COLUMN($E$5),1),$E51),0)</f>
        <v>0</v>
      </c>
      <c r="AI51" s="281">
        <f>IF(AI$6=$C51,IF(INDEX('Surface DEET'!$Q$9:$W$38,COLUMN(AI44)-COLUMN($E$5),1)&gt;0,INDEX('Surface DEET'!$Q$9:$W$38,COLUMN(AI44)-COLUMN($E$5),1),$E51),0)</f>
        <v>0</v>
      </c>
    </row>
    <row r="52" spans="1:35">
      <c r="A52" s="541"/>
      <c r="B52" s="281" t="s">
        <v>545</v>
      </c>
      <c r="C52" s="32" t="s">
        <v>598</v>
      </c>
      <c r="D52" s="331" t="s">
        <v>599</v>
      </c>
      <c r="E52" s="331">
        <v>23</v>
      </c>
      <c r="F52" s="281">
        <f>IF(F$6=$C52,IF(INDEX('Surface DEET'!$Q$9:$W$38,COLUMN(F45)-COLUMN($E$5),4)&gt;0,INDEX('Surface DEET'!$Q$9:$W$38,COLUMN(F45)-COLUMN($E$5),4),$E52),0)</f>
        <v>0</v>
      </c>
      <c r="G52" s="281">
        <f>IF(G$6=$C52,IF(INDEX('Surface DEET'!$Q$9:$W$38,COLUMN(G45)-COLUMN($E$5),4)&gt;0,INDEX('Surface DEET'!$Q$9:$W$38,COLUMN(G45)-COLUMN($E$5),4),$E52),0)</f>
        <v>0</v>
      </c>
      <c r="H52" s="281">
        <f>IF(H$6=$C52,IF(INDEX('Surface DEET'!$Q$9:$W$38,COLUMN(H45)-COLUMN($E$5),4)&gt;0,INDEX('Surface DEET'!$Q$9:$W$38,COLUMN(H45)-COLUMN($E$5),4),$E52),0)</f>
        <v>0</v>
      </c>
      <c r="I52" s="281">
        <f>IF(I$6=$C52,IF(INDEX('Surface DEET'!$Q$9:$W$38,COLUMN(I45)-COLUMN($E$5),4)&gt;0,INDEX('Surface DEET'!$Q$9:$W$38,COLUMN(I45)-COLUMN($E$5),4),$E52),0)</f>
        <v>0</v>
      </c>
      <c r="J52" s="281">
        <f>IF(J$6=$C52,IF(INDEX('Surface DEET'!$Q$9:$W$38,COLUMN(J45)-COLUMN($E$5),4)&gt;0,INDEX('Surface DEET'!$Q$9:$W$38,COLUMN(J45)-COLUMN($E$5),4),$E52),0)</f>
        <v>0</v>
      </c>
      <c r="K52" s="281">
        <f>IF(K$6=$C52,IF(INDEX('Surface DEET'!$Q$9:$W$38,COLUMN(K45)-COLUMN($E$5),4)&gt;0,INDEX('Surface DEET'!$Q$9:$W$38,COLUMN(K45)-COLUMN($E$5),4),$E52),0)</f>
        <v>0</v>
      </c>
      <c r="L52" s="281">
        <f>IF(L$6=$C52,IF(INDEX('Surface DEET'!$Q$9:$W$38,COLUMN(L45)-COLUMN($E$5),4)&gt;0,INDEX('Surface DEET'!$Q$9:$W$38,COLUMN(L45)-COLUMN($E$5),4),$E52),0)</f>
        <v>0</v>
      </c>
      <c r="M52" s="281">
        <f>IF(M$6=$C52,IF(INDEX('Surface DEET'!$Q$9:$W$38,COLUMN(M45)-COLUMN($E$5),4)&gt;0,INDEX('Surface DEET'!$Q$9:$W$38,COLUMN(M45)-COLUMN($E$5),4),$E52),0)</f>
        <v>0</v>
      </c>
      <c r="N52" s="281">
        <f>IF(N$6=$C52,IF(INDEX('Surface DEET'!$Q$9:$W$38,COLUMN(N45)-COLUMN($E$5),4)&gt;0,INDEX('Surface DEET'!$Q$9:$W$38,COLUMN(N45)-COLUMN($E$5),4),$E52),0)</f>
        <v>0</v>
      </c>
      <c r="O52" s="281">
        <f>IF(O$6=$C52,IF(INDEX('Surface DEET'!$Q$9:$W$38,COLUMN(O45)-COLUMN($E$5),4)&gt;0,INDEX('Surface DEET'!$Q$9:$W$38,COLUMN(O45)-COLUMN($E$5),4),$E52),0)</f>
        <v>0</v>
      </c>
      <c r="P52" s="281">
        <f>IF(P$6=$C52,IF(INDEX('Surface DEET'!$Q$9:$W$38,COLUMN(P45)-COLUMN($E$5),4)&gt;0,INDEX('Surface DEET'!$Q$9:$W$38,COLUMN(P45)-COLUMN($E$5),4),$E52),0)</f>
        <v>0</v>
      </c>
      <c r="Q52" s="281">
        <f>IF(Q$6=$C52,IF(INDEX('Surface DEET'!$Q$9:$W$38,COLUMN(Q45)-COLUMN($E$5),4)&gt;0,INDEX('Surface DEET'!$Q$9:$W$38,COLUMN(Q45)-COLUMN($E$5),4),$E52),0)</f>
        <v>0</v>
      </c>
      <c r="R52" s="281">
        <f>IF(R$6=$C52,IF(INDEX('Surface DEET'!$Q$9:$W$38,COLUMN(R45)-COLUMN($E$5),4)&gt;0,INDEX('Surface DEET'!$Q$9:$W$38,COLUMN(R45)-COLUMN($E$5),4),$E52),0)</f>
        <v>0</v>
      </c>
      <c r="S52" s="281">
        <f>IF(S$6=$C52,IF(INDEX('Surface DEET'!$Q$9:$W$38,COLUMN(S45)-COLUMN($E$5),4)&gt;0,INDEX('Surface DEET'!$Q$9:$W$38,COLUMN(S45)-COLUMN($E$5),4),$E52),0)</f>
        <v>0</v>
      </c>
      <c r="T52" s="281">
        <f>IF(T$6=$C52,IF(INDEX('Surface DEET'!$Q$9:$W$38,COLUMN(T45)-COLUMN($E$5),4)&gt;0,INDEX('Surface DEET'!$Q$9:$W$38,COLUMN(T45)-COLUMN($E$5),4),$E52),0)</f>
        <v>0</v>
      </c>
      <c r="U52" s="281">
        <f>IF(U$6=$C52,IF(INDEX('Surface DEET'!$Q$9:$W$38,COLUMN(U45)-COLUMN($E$5),4)&gt;0,INDEX('Surface DEET'!$Q$9:$W$38,COLUMN(U45)-COLUMN($E$5),4),$E52),0)</f>
        <v>0</v>
      </c>
      <c r="V52" s="281">
        <f>IF(V$6=$C52,IF(INDEX('Surface DEET'!$Q$9:$W$38,COLUMN(V45)-COLUMN($E$5),4)&gt;0,INDEX('Surface DEET'!$Q$9:$W$38,COLUMN(V45)-COLUMN($E$5),4),$E52),0)</f>
        <v>0</v>
      </c>
      <c r="W52" s="281">
        <f>IF(W$6=$C52,IF(INDEX('Surface DEET'!$Q$9:$W$38,COLUMN(W45)-COLUMN($E$5),4)&gt;0,INDEX('Surface DEET'!$Q$9:$W$38,COLUMN(W45)-COLUMN($E$5),4),$E52),0)</f>
        <v>0</v>
      </c>
      <c r="X52" s="281">
        <f>IF(X$6=$C52,IF(INDEX('Surface DEET'!$Q$9:$W$38,COLUMN(X45)-COLUMN($E$5),4)&gt;0,INDEX('Surface DEET'!$Q$9:$W$38,COLUMN(X45)-COLUMN($E$5),4),$E52),0)</f>
        <v>0</v>
      </c>
      <c r="Y52" s="281">
        <f>IF(Y$6=$C52,IF(INDEX('Surface DEET'!$Q$9:$W$38,COLUMN(Y45)-COLUMN($E$5),4)&gt;0,INDEX('Surface DEET'!$Q$9:$W$38,COLUMN(Y45)-COLUMN($E$5),4),$E52),0)</f>
        <v>0</v>
      </c>
      <c r="Z52" s="281">
        <f>IF(Z$6=$C52,IF(INDEX('Surface DEET'!$Q$9:$W$38,COLUMN(Z45)-COLUMN($E$5),4)&gt;0,INDEX('Surface DEET'!$Q$9:$W$38,COLUMN(Z45)-COLUMN($E$5),4),$E52),0)</f>
        <v>0</v>
      </c>
      <c r="AA52" s="281">
        <f>IF(AA$6=$C52,IF(INDEX('Surface DEET'!$Q$9:$W$38,COLUMN(AA45)-COLUMN($E$5),4)&gt;0,INDEX('Surface DEET'!$Q$9:$W$38,COLUMN(AA45)-COLUMN($E$5),4),$E52),0)</f>
        <v>0</v>
      </c>
      <c r="AB52" s="281">
        <f>IF(AB$6=$C52,IF(INDEX('Surface DEET'!$Q$9:$W$38,COLUMN(AB45)-COLUMN($E$5),4)&gt;0,INDEX('Surface DEET'!$Q$9:$W$38,COLUMN(AB45)-COLUMN($E$5),4),$E52),0)</f>
        <v>0</v>
      </c>
      <c r="AC52" s="281">
        <f>IF(AC$6=$C52,IF(INDEX('Surface DEET'!$Q$9:$W$38,COLUMN(AC45)-COLUMN($E$5),4)&gt;0,INDEX('Surface DEET'!$Q$9:$W$38,COLUMN(AC45)-COLUMN($E$5),4),$E52),0)</f>
        <v>0</v>
      </c>
      <c r="AD52" s="281">
        <f>IF(AD$6=$C52,IF(INDEX('Surface DEET'!$Q$9:$W$38,COLUMN(AD45)-COLUMN($E$5),4)&gt;0,INDEX('Surface DEET'!$Q$9:$W$38,COLUMN(AD45)-COLUMN($E$5),4),$E52),0)</f>
        <v>0</v>
      </c>
      <c r="AE52" s="281">
        <f>IF(AE$6=$C52,IF(INDEX('Surface DEET'!$Q$9:$W$38,COLUMN(AE45)-COLUMN($E$5),4)&gt;0,INDEX('Surface DEET'!$Q$9:$W$38,COLUMN(AE45)-COLUMN($E$5),4),$E52),0)</f>
        <v>0</v>
      </c>
      <c r="AF52" s="281">
        <f>IF(AF$6=$C52,IF(INDEX('Surface DEET'!$Q$9:$W$38,COLUMN(AF45)-COLUMN($E$5),4)&gt;0,INDEX('Surface DEET'!$Q$9:$W$38,COLUMN(AF45)-COLUMN($E$5),4),$E52),0)</f>
        <v>0</v>
      </c>
      <c r="AG52" s="281">
        <f>IF(AG$6=$C52,IF(INDEX('Surface DEET'!$Q$9:$W$38,COLUMN(AG45)-COLUMN($E$5),4)&gt;0,INDEX('Surface DEET'!$Q$9:$W$38,COLUMN(AG45)-COLUMN($E$5),4),$E52),0)</f>
        <v>0</v>
      </c>
      <c r="AH52" s="281">
        <f>IF(AH$6=$C52,IF(INDEX('Surface DEET'!$Q$9:$W$38,COLUMN(AH45)-COLUMN($E$5),4)&gt;0,INDEX('Surface DEET'!$Q$9:$W$38,COLUMN(AH45)-COLUMN($E$5),4),$E52),0)</f>
        <v>0</v>
      </c>
      <c r="AI52" s="281">
        <f>IF(AI$6=$C52,IF(INDEX('Surface DEET'!$Q$9:$W$38,COLUMN(AI45)-COLUMN($E$5),4)&gt;0,INDEX('Surface DEET'!$Q$9:$W$38,COLUMN(AI45)-COLUMN($E$5),4),$E52),0)</f>
        <v>0</v>
      </c>
    </row>
    <row r="53" spans="1:35">
      <c r="A53" s="541"/>
      <c r="B53" s="281" t="s">
        <v>538</v>
      </c>
      <c r="C53" s="32" t="s">
        <v>598</v>
      </c>
      <c r="D53" s="281" t="s">
        <v>538</v>
      </c>
      <c r="F53" s="281">
        <f>IFERROR($E$48*(F51/$E$51)*(($E$50*($E$52/F52))+(1-$E$50))+0.28*$E$47*(F51-$E$51)/$E$51,0)</f>
        <v>0</v>
      </c>
      <c r="G53" s="281">
        <f t="shared" ref="G53:AI53" si="5">IFERROR($E$48*(G51/$E$51)*(($E$50*($E$52/G52))+(1-$E$50))+0.28*$E$47*(G51-$E$51)/$E$51,0)</f>
        <v>0</v>
      </c>
      <c r="H53" s="281">
        <f t="shared" si="5"/>
        <v>0</v>
      </c>
      <c r="I53" s="281">
        <f t="shared" si="5"/>
        <v>0</v>
      </c>
      <c r="J53" s="281">
        <f t="shared" si="5"/>
        <v>0</v>
      </c>
      <c r="K53" s="281">
        <f t="shared" si="5"/>
        <v>0</v>
      </c>
      <c r="L53" s="281">
        <f t="shared" si="5"/>
        <v>0</v>
      </c>
      <c r="M53" s="281">
        <f t="shared" si="5"/>
        <v>0</v>
      </c>
      <c r="N53" s="281">
        <f t="shared" si="5"/>
        <v>0</v>
      </c>
      <c r="O53" s="281">
        <f t="shared" si="5"/>
        <v>0</v>
      </c>
      <c r="P53" s="281">
        <f t="shared" si="5"/>
        <v>0</v>
      </c>
      <c r="Q53" s="281">
        <f t="shared" si="5"/>
        <v>0</v>
      </c>
      <c r="R53" s="281">
        <f t="shared" si="5"/>
        <v>0</v>
      </c>
      <c r="S53" s="281">
        <f t="shared" si="5"/>
        <v>0</v>
      </c>
      <c r="T53" s="281">
        <f t="shared" si="5"/>
        <v>0</v>
      </c>
      <c r="U53" s="281">
        <f t="shared" si="5"/>
        <v>0</v>
      </c>
      <c r="V53" s="281">
        <f t="shared" si="5"/>
        <v>0</v>
      </c>
      <c r="W53" s="281">
        <f t="shared" si="5"/>
        <v>0</v>
      </c>
      <c r="X53" s="281">
        <f t="shared" si="5"/>
        <v>0</v>
      </c>
      <c r="Y53" s="281">
        <f t="shared" si="5"/>
        <v>0</v>
      </c>
      <c r="Z53" s="281">
        <f t="shared" si="5"/>
        <v>0</v>
      </c>
      <c r="AA53" s="281">
        <f t="shared" si="5"/>
        <v>0</v>
      </c>
      <c r="AB53" s="281">
        <f t="shared" si="5"/>
        <v>0</v>
      </c>
      <c r="AC53" s="281">
        <f t="shared" si="5"/>
        <v>0</v>
      </c>
      <c r="AD53" s="281">
        <f t="shared" si="5"/>
        <v>0</v>
      </c>
      <c r="AE53" s="281">
        <f t="shared" si="5"/>
        <v>0</v>
      </c>
      <c r="AF53" s="281">
        <f t="shared" si="5"/>
        <v>0</v>
      </c>
      <c r="AG53" s="281">
        <f t="shared" si="5"/>
        <v>0</v>
      </c>
      <c r="AH53" s="281">
        <f t="shared" si="5"/>
        <v>0</v>
      </c>
      <c r="AI53" s="281">
        <f t="shared" si="5"/>
        <v>0</v>
      </c>
    </row>
    <row r="54" spans="1:35">
      <c r="A54" s="540" t="s">
        <v>600</v>
      </c>
      <c r="B54" s="92" t="s">
        <v>298</v>
      </c>
      <c r="C54" s="32" t="s">
        <v>601</v>
      </c>
      <c r="D54" s="92" t="s">
        <v>298</v>
      </c>
      <c r="E54" s="281">
        <f t="array" ref="E54">INDEX(CABS_CVC!$C$3:$O$894,MATCH(1, (CABS_CVC!$A$3:$A$894=Calculs_CABS!C54)*(CABS_CVC!$B$3:$B$894=Calculs_CABS!$D$2),0),MATCH(Calculs_CABS!$D$1,Liste_CABS!$B$3:$B$15,0))</f>
        <v>73</v>
      </c>
    </row>
    <row r="55" spans="1:35">
      <c r="A55" s="540"/>
      <c r="B55" s="281" t="s">
        <v>539</v>
      </c>
      <c r="C55" s="32" t="s">
        <v>601</v>
      </c>
      <c r="D55" s="281" t="s">
        <v>539</v>
      </c>
      <c r="E55" s="332">
        <v>363</v>
      </c>
    </row>
    <row r="56" spans="1:35">
      <c r="A56" s="540"/>
      <c r="B56" s="281" t="s">
        <v>540</v>
      </c>
      <c r="C56" s="32" t="s">
        <v>601</v>
      </c>
      <c r="D56" s="281" t="s">
        <v>540</v>
      </c>
      <c r="E56" s="281">
        <f>E54+E55</f>
        <v>436</v>
      </c>
    </row>
    <row r="57" spans="1:35">
      <c r="A57" s="540"/>
      <c r="B57" s="281" t="s">
        <v>541</v>
      </c>
      <c r="C57" s="32" t="s">
        <v>601</v>
      </c>
      <c r="D57" s="281" t="s">
        <v>541</v>
      </c>
      <c r="E57" s="329">
        <v>0.95</v>
      </c>
    </row>
    <row r="58" spans="1:35">
      <c r="A58" s="540"/>
      <c r="B58" s="281" t="s">
        <v>542</v>
      </c>
      <c r="C58" s="32" t="s">
        <v>601</v>
      </c>
      <c r="D58" s="281" t="s">
        <v>602</v>
      </c>
      <c r="E58" s="329">
        <v>2900</v>
      </c>
      <c r="F58" s="281">
        <f>IF(F$6=$C58,IF(INDEX('Surface DEET'!$Q$9:$W$38,COLUMN(F51)-COLUMN($E$5),1)&gt;0,INDEX('Surface DEET'!$Q$9:$W$38,COLUMN(F51)-COLUMN($E$5),1),$E58),0)</f>
        <v>0</v>
      </c>
      <c r="G58" s="281">
        <f>IF(G$6=$C58,IF(INDEX('Surface DEET'!$Q$9:$W$38,COLUMN(G51)-COLUMN($E$5),1)&gt;0,INDEX('Surface DEET'!$Q$9:$W$38,COLUMN(G51)-COLUMN($E$5),1),$E58),0)</f>
        <v>0</v>
      </c>
      <c r="H58" s="281">
        <f>IF(H$6=$C58,IF(INDEX('Surface DEET'!$Q$9:$W$38,COLUMN(H51)-COLUMN($E$5),1)&gt;0,INDEX('Surface DEET'!$Q$9:$W$38,COLUMN(H51)-COLUMN($E$5),1),$E58),0)</f>
        <v>0</v>
      </c>
      <c r="I58" s="281">
        <f>IF(I$6=$C58,IF(INDEX('Surface DEET'!$Q$9:$W$38,COLUMN(I51)-COLUMN($E$5),1)&gt;0,INDEX('Surface DEET'!$Q$9:$W$38,COLUMN(I51)-COLUMN($E$5),1),$E58),0)</f>
        <v>0</v>
      </c>
      <c r="J58" s="281">
        <f>IF(J$6=$C58,IF(INDEX('Surface DEET'!$Q$9:$W$38,COLUMN(J51)-COLUMN($E$5),1)&gt;0,INDEX('Surface DEET'!$Q$9:$W$38,COLUMN(J51)-COLUMN($E$5),1),$E58),0)</f>
        <v>0</v>
      </c>
      <c r="K58" s="281">
        <f>IF(K$6=$C58,IF(INDEX('Surface DEET'!$Q$9:$W$38,COLUMN(K51)-COLUMN($E$5),1)&gt;0,INDEX('Surface DEET'!$Q$9:$W$38,COLUMN(K51)-COLUMN($E$5),1),$E58),0)</f>
        <v>0</v>
      </c>
      <c r="L58" s="281">
        <f>IF(L$6=$C58,IF(INDEX('Surface DEET'!$Q$9:$W$38,COLUMN(L51)-COLUMN($E$5),1)&gt;0,INDEX('Surface DEET'!$Q$9:$W$38,COLUMN(L51)-COLUMN($E$5),1),$E58),0)</f>
        <v>0</v>
      </c>
      <c r="M58" s="281">
        <f>IF(M$6=$C58,IF(INDEX('Surface DEET'!$Q$9:$W$38,COLUMN(M51)-COLUMN($E$5),1)&gt;0,INDEX('Surface DEET'!$Q$9:$W$38,COLUMN(M51)-COLUMN($E$5),1),$E58),0)</f>
        <v>0</v>
      </c>
      <c r="N58" s="281">
        <f>IF(N$6=$C58,IF(INDEX('Surface DEET'!$Q$9:$W$38,COLUMN(N51)-COLUMN($E$5),1)&gt;0,INDEX('Surface DEET'!$Q$9:$W$38,COLUMN(N51)-COLUMN($E$5),1),$E58),0)</f>
        <v>0</v>
      </c>
      <c r="O58" s="281">
        <f>IF(O$6=$C58,IF(INDEX('Surface DEET'!$Q$9:$W$38,COLUMN(O51)-COLUMN($E$5),1)&gt;0,INDEX('Surface DEET'!$Q$9:$W$38,COLUMN(O51)-COLUMN($E$5),1),$E58),0)</f>
        <v>0</v>
      </c>
      <c r="P58" s="281">
        <f>IF(P$6=$C58,IF(INDEX('Surface DEET'!$Q$9:$W$38,COLUMN(P51)-COLUMN($E$5),1)&gt;0,INDEX('Surface DEET'!$Q$9:$W$38,COLUMN(P51)-COLUMN($E$5),1),$E58),0)</f>
        <v>0</v>
      </c>
      <c r="Q58" s="281">
        <f>IF(Q$6=$C58,IF(INDEX('Surface DEET'!$Q$9:$W$38,COLUMN(Q51)-COLUMN($E$5),1)&gt;0,INDEX('Surface DEET'!$Q$9:$W$38,COLUMN(Q51)-COLUMN($E$5),1),$E58),0)</f>
        <v>0</v>
      </c>
      <c r="R58" s="281">
        <f>IF(R$6=$C58,IF(INDEX('Surface DEET'!$Q$9:$W$38,COLUMN(R51)-COLUMN($E$5),1)&gt;0,INDEX('Surface DEET'!$Q$9:$W$38,COLUMN(R51)-COLUMN($E$5),1),$E58),0)</f>
        <v>0</v>
      </c>
      <c r="S58" s="281">
        <f>IF(S$6=$C58,IF(INDEX('Surface DEET'!$Q$9:$W$38,COLUMN(S51)-COLUMN($E$5),1)&gt;0,INDEX('Surface DEET'!$Q$9:$W$38,COLUMN(S51)-COLUMN($E$5),1),$E58),0)</f>
        <v>0</v>
      </c>
      <c r="T58" s="281">
        <f>IF(T$6=$C58,IF(INDEX('Surface DEET'!$Q$9:$W$38,COLUMN(T51)-COLUMN($E$5),1)&gt;0,INDEX('Surface DEET'!$Q$9:$W$38,COLUMN(T51)-COLUMN($E$5),1),$E58),0)</f>
        <v>0</v>
      </c>
      <c r="U58" s="281">
        <f>IF(U$6=$C58,IF(INDEX('Surface DEET'!$Q$9:$W$38,COLUMN(U51)-COLUMN($E$5),1)&gt;0,INDEX('Surface DEET'!$Q$9:$W$38,COLUMN(U51)-COLUMN($E$5),1),$E58),0)</f>
        <v>0</v>
      </c>
      <c r="V58" s="281">
        <f>IF(V$6=$C58,IF(INDEX('Surface DEET'!$Q$9:$W$38,COLUMN(V51)-COLUMN($E$5),1)&gt;0,INDEX('Surface DEET'!$Q$9:$W$38,COLUMN(V51)-COLUMN($E$5),1),$E58),0)</f>
        <v>0</v>
      </c>
      <c r="W58" s="281">
        <f>IF(W$6=$C58,IF(INDEX('Surface DEET'!$Q$9:$W$38,COLUMN(W51)-COLUMN($E$5),1)&gt;0,INDEX('Surface DEET'!$Q$9:$W$38,COLUMN(W51)-COLUMN($E$5),1),$E58),0)</f>
        <v>0</v>
      </c>
      <c r="X58" s="281">
        <f>IF(X$6=$C58,IF(INDEX('Surface DEET'!$Q$9:$W$38,COLUMN(X51)-COLUMN($E$5),1)&gt;0,INDEX('Surface DEET'!$Q$9:$W$38,COLUMN(X51)-COLUMN($E$5),1),$E58),0)</f>
        <v>0</v>
      </c>
      <c r="Y58" s="281">
        <f>IF(Y$6=$C58,IF(INDEX('Surface DEET'!$Q$9:$W$38,COLUMN(Y51)-COLUMN($E$5),1)&gt;0,INDEX('Surface DEET'!$Q$9:$W$38,COLUMN(Y51)-COLUMN($E$5),1),$E58),0)</f>
        <v>0</v>
      </c>
      <c r="Z58" s="281">
        <f>IF(Z$6=$C58,IF(INDEX('Surface DEET'!$Q$9:$W$38,COLUMN(Z51)-COLUMN($E$5),1)&gt;0,INDEX('Surface DEET'!$Q$9:$W$38,COLUMN(Z51)-COLUMN($E$5),1),$E58),0)</f>
        <v>0</v>
      </c>
      <c r="AA58" s="281">
        <f>IF(AA$6=$C58,IF(INDEX('Surface DEET'!$Q$9:$W$38,COLUMN(AA51)-COLUMN($E$5),1)&gt;0,INDEX('Surface DEET'!$Q$9:$W$38,COLUMN(AA51)-COLUMN($E$5),1),$E58),0)</f>
        <v>0</v>
      </c>
      <c r="AB58" s="281">
        <f>IF(AB$6=$C58,IF(INDEX('Surface DEET'!$Q$9:$W$38,COLUMN(AB51)-COLUMN($E$5),1)&gt;0,INDEX('Surface DEET'!$Q$9:$W$38,COLUMN(AB51)-COLUMN($E$5),1),$E58),0)</f>
        <v>0</v>
      </c>
      <c r="AC58" s="281">
        <f>IF(AC$6=$C58,IF(INDEX('Surface DEET'!$Q$9:$W$38,COLUMN(AC51)-COLUMN($E$5),1)&gt;0,INDEX('Surface DEET'!$Q$9:$W$38,COLUMN(AC51)-COLUMN($E$5),1),$E58),0)</f>
        <v>0</v>
      </c>
      <c r="AD58" s="281">
        <f>IF(AD$6=$C58,IF(INDEX('Surface DEET'!$Q$9:$W$38,COLUMN(AD51)-COLUMN($E$5),1)&gt;0,INDEX('Surface DEET'!$Q$9:$W$38,COLUMN(AD51)-COLUMN($E$5),1),$E58),0)</f>
        <v>0</v>
      </c>
      <c r="AE58" s="281">
        <f>IF(AE$6=$C58,IF(INDEX('Surface DEET'!$Q$9:$W$38,COLUMN(AE51)-COLUMN($E$5),1)&gt;0,INDEX('Surface DEET'!$Q$9:$W$38,COLUMN(AE51)-COLUMN($E$5),1),$E58),0)</f>
        <v>0</v>
      </c>
      <c r="AF58" s="281">
        <f>IF(AF$6=$C58,IF(INDEX('Surface DEET'!$Q$9:$W$38,COLUMN(AF51)-COLUMN($E$5),1)&gt;0,INDEX('Surface DEET'!$Q$9:$W$38,COLUMN(AF51)-COLUMN($E$5),1),$E58),0)</f>
        <v>0</v>
      </c>
      <c r="AG58" s="281">
        <f>IF(AG$6=$C58,IF(INDEX('Surface DEET'!$Q$9:$W$38,COLUMN(AG51)-COLUMN($E$5),1)&gt;0,INDEX('Surface DEET'!$Q$9:$W$38,COLUMN(AG51)-COLUMN($E$5),1),$E58),0)</f>
        <v>0</v>
      </c>
      <c r="AH58" s="281">
        <f>IF(AH$6=$C58,IF(INDEX('Surface DEET'!$Q$9:$W$38,COLUMN(AH51)-COLUMN($E$5),1)&gt;0,INDEX('Surface DEET'!$Q$9:$W$38,COLUMN(AH51)-COLUMN($E$5),1),$E58),0)</f>
        <v>0</v>
      </c>
      <c r="AI58" s="281">
        <f>IF(AI$6=$C58,IF(INDEX('Surface DEET'!$Q$9:$W$38,COLUMN(AI51)-COLUMN($E$5),1)&gt;0,INDEX('Surface DEET'!$Q$9:$W$38,COLUMN(AI51)-COLUMN($E$5),1),$E58),0)</f>
        <v>0</v>
      </c>
    </row>
    <row r="59" spans="1:35">
      <c r="A59" s="540"/>
      <c r="B59" s="281" t="s">
        <v>545</v>
      </c>
      <c r="C59" s="32" t="s">
        <v>601</v>
      </c>
      <c r="D59" s="281" t="s">
        <v>603</v>
      </c>
      <c r="E59" s="329">
        <v>80</v>
      </c>
      <c r="F59" s="281">
        <f>IF(F$6=$C59,IF(INDEX('Surface DEET'!$Q$9:$W$38,COLUMN(F52)-COLUMN($E$5),4)&gt;0,INDEX('Surface DEET'!$Q$9:$W$38,COLUMN(F52)-COLUMN($E$5),4),$E59),0)</f>
        <v>0</v>
      </c>
      <c r="G59" s="281">
        <f>IF(G$6=$C59,IF(INDEX('Surface DEET'!$Q$9:$W$38,COLUMN(G52)-COLUMN($E$5),4)&gt;0,INDEX('Surface DEET'!$Q$9:$W$38,COLUMN(G52)-COLUMN($E$5),4),$E59),0)</f>
        <v>0</v>
      </c>
      <c r="H59" s="281">
        <f>IF(H$6=$C59,IF(INDEX('Surface DEET'!$Q$9:$W$38,COLUMN(H52)-COLUMN($E$5),4)&gt;0,INDEX('Surface DEET'!$Q$9:$W$38,COLUMN(H52)-COLUMN($E$5),4),$E59),0)</f>
        <v>0</v>
      </c>
      <c r="I59" s="281">
        <f>IF(I$6=$C59,IF(INDEX('Surface DEET'!$Q$9:$W$38,COLUMN(I52)-COLUMN($E$5),4)&gt;0,INDEX('Surface DEET'!$Q$9:$W$38,COLUMN(I52)-COLUMN($E$5),4),$E59),0)</f>
        <v>0</v>
      </c>
      <c r="J59" s="281">
        <f>IF(J$6=$C59,IF(INDEX('Surface DEET'!$Q$9:$W$38,COLUMN(J52)-COLUMN($E$5),4)&gt;0,INDEX('Surface DEET'!$Q$9:$W$38,COLUMN(J52)-COLUMN($E$5),4),$E59),0)</f>
        <v>0</v>
      </c>
      <c r="K59" s="281">
        <f>IF(K$6=$C59,IF(INDEX('Surface DEET'!$Q$9:$W$38,COLUMN(K52)-COLUMN($E$5),4)&gt;0,INDEX('Surface DEET'!$Q$9:$W$38,COLUMN(K52)-COLUMN($E$5),4),$E59),0)</f>
        <v>0</v>
      </c>
      <c r="L59" s="281">
        <f>IF(L$6=$C59,IF(INDEX('Surface DEET'!$Q$9:$W$38,COLUMN(L52)-COLUMN($E$5),4)&gt;0,INDEX('Surface DEET'!$Q$9:$W$38,COLUMN(L52)-COLUMN($E$5),4),$E59),0)</f>
        <v>0</v>
      </c>
      <c r="M59" s="281">
        <f>IF(M$6=$C59,IF(INDEX('Surface DEET'!$Q$9:$W$38,COLUMN(M52)-COLUMN($E$5),4)&gt;0,INDEX('Surface DEET'!$Q$9:$W$38,COLUMN(M52)-COLUMN($E$5),4),$E59),0)</f>
        <v>0</v>
      </c>
      <c r="N59" s="281">
        <f>IF(N$6=$C59,IF(INDEX('Surface DEET'!$Q$9:$W$38,COLUMN(N52)-COLUMN($E$5),4)&gt;0,INDEX('Surface DEET'!$Q$9:$W$38,COLUMN(N52)-COLUMN($E$5),4),$E59),0)</f>
        <v>0</v>
      </c>
      <c r="O59" s="281">
        <f>IF(O$6=$C59,IF(INDEX('Surface DEET'!$Q$9:$W$38,COLUMN(O52)-COLUMN($E$5),4)&gt;0,INDEX('Surface DEET'!$Q$9:$W$38,COLUMN(O52)-COLUMN($E$5),4),$E59),0)</f>
        <v>0</v>
      </c>
      <c r="P59" s="281">
        <f>IF(P$6=$C59,IF(INDEX('Surface DEET'!$Q$9:$W$38,COLUMN(P52)-COLUMN($E$5),4)&gt;0,INDEX('Surface DEET'!$Q$9:$W$38,COLUMN(P52)-COLUMN($E$5),4),$E59),0)</f>
        <v>0</v>
      </c>
      <c r="Q59" s="281">
        <f>IF(Q$6=$C59,IF(INDEX('Surface DEET'!$Q$9:$W$38,COLUMN(Q52)-COLUMN($E$5),4)&gt;0,INDEX('Surface DEET'!$Q$9:$W$38,COLUMN(Q52)-COLUMN($E$5),4),$E59),0)</f>
        <v>0</v>
      </c>
      <c r="R59" s="281">
        <f>IF(R$6=$C59,IF(INDEX('Surface DEET'!$Q$9:$W$38,COLUMN(R52)-COLUMN($E$5),4)&gt;0,INDEX('Surface DEET'!$Q$9:$W$38,COLUMN(R52)-COLUMN($E$5),4),$E59),0)</f>
        <v>0</v>
      </c>
      <c r="S59" s="281">
        <f>IF(S$6=$C59,IF(INDEX('Surface DEET'!$Q$9:$W$38,COLUMN(S52)-COLUMN($E$5),4)&gt;0,INDEX('Surface DEET'!$Q$9:$W$38,COLUMN(S52)-COLUMN($E$5),4),$E59),0)</f>
        <v>0</v>
      </c>
      <c r="T59" s="281">
        <f>IF(T$6=$C59,IF(INDEX('Surface DEET'!$Q$9:$W$38,COLUMN(T52)-COLUMN($E$5),4)&gt;0,INDEX('Surface DEET'!$Q$9:$W$38,COLUMN(T52)-COLUMN($E$5),4),$E59),0)</f>
        <v>0</v>
      </c>
      <c r="U59" s="281">
        <f>IF(U$6=$C59,IF(INDEX('Surface DEET'!$Q$9:$W$38,COLUMN(U52)-COLUMN($E$5),4)&gt;0,INDEX('Surface DEET'!$Q$9:$W$38,COLUMN(U52)-COLUMN($E$5),4),$E59),0)</f>
        <v>0</v>
      </c>
      <c r="V59" s="281">
        <f>IF(V$6=$C59,IF(INDEX('Surface DEET'!$Q$9:$W$38,COLUMN(V52)-COLUMN($E$5),4)&gt;0,INDEX('Surface DEET'!$Q$9:$W$38,COLUMN(V52)-COLUMN($E$5),4),$E59),0)</f>
        <v>0</v>
      </c>
      <c r="W59" s="281">
        <f>IF(W$6=$C59,IF(INDEX('Surface DEET'!$Q$9:$W$38,COLUMN(W52)-COLUMN($E$5),4)&gt;0,INDEX('Surface DEET'!$Q$9:$W$38,COLUMN(W52)-COLUMN($E$5),4),$E59),0)</f>
        <v>0</v>
      </c>
      <c r="X59" s="281">
        <f>IF(X$6=$C59,IF(INDEX('Surface DEET'!$Q$9:$W$38,COLUMN(X52)-COLUMN($E$5),4)&gt;0,INDEX('Surface DEET'!$Q$9:$W$38,COLUMN(X52)-COLUMN($E$5),4),$E59),0)</f>
        <v>0</v>
      </c>
      <c r="Y59" s="281">
        <f>IF(Y$6=$C59,IF(INDEX('Surface DEET'!$Q$9:$W$38,COLUMN(Y52)-COLUMN($E$5),4)&gt;0,INDEX('Surface DEET'!$Q$9:$W$38,COLUMN(Y52)-COLUMN($E$5),4),$E59),0)</f>
        <v>0</v>
      </c>
      <c r="Z59" s="281">
        <f>IF(Z$6=$C59,IF(INDEX('Surface DEET'!$Q$9:$W$38,COLUMN(Z52)-COLUMN($E$5),4)&gt;0,INDEX('Surface DEET'!$Q$9:$W$38,COLUMN(Z52)-COLUMN($E$5),4),$E59),0)</f>
        <v>0</v>
      </c>
      <c r="AA59" s="281">
        <f>IF(AA$6=$C59,IF(INDEX('Surface DEET'!$Q$9:$W$38,COLUMN(AA52)-COLUMN($E$5),4)&gt;0,INDEX('Surface DEET'!$Q$9:$W$38,COLUMN(AA52)-COLUMN($E$5),4),$E59),0)</f>
        <v>0</v>
      </c>
      <c r="AB59" s="281">
        <f>IF(AB$6=$C59,IF(INDEX('Surface DEET'!$Q$9:$W$38,COLUMN(AB52)-COLUMN($E$5),4)&gt;0,INDEX('Surface DEET'!$Q$9:$W$38,COLUMN(AB52)-COLUMN($E$5),4),$E59),0)</f>
        <v>0</v>
      </c>
      <c r="AC59" s="281">
        <f>IF(AC$6=$C59,IF(INDEX('Surface DEET'!$Q$9:$W$38,COLUMN(AC52)-COLUMN($E$5),4)&gt;0,INDEX('Surface DEET'!$Q$9:$W$38,COLUMN(AC52)-COLUMN($E$5),4),$E59),0)</f>
        <v>0</v>
      </c>
      <c r="AD59" s="281">
        <f>IF(AD$6=$C59,IF(INDEX('Surface DEET'!$Q$9:$W$38,COLUMN(AD52)-COLUMN($E$5),4)&gt;0,INDEX('Surface DEET'!$Q$9:$W$38,COLUMN(AD52)-COLUMN($E$5),4),$E59),0)</f>
        <v>0</v>
      </c>
      <c r="AE59" s="281">
        <f>IF(AE$6=$C59,IF(INDEX('Surface DEET'!$Q$9:$W$38,COLUMN(AE52)-COLUMN($E$5),4)&gt;0,INDEX('Surface DEET'!$Q$9:$W$38,COLUMN(AE52)-COLUMN($E$5),4),$E59),0)</f>
        <v>0</v>
      </c>
      <c r="AF59" s="281">
        <f>IF(AF$6=$C59,IF(INDEX('Surface DEET'!$Q$9:$W$38,COLUMN(AF52)-COLUMN($E$5),4)&gt;0,INDEX('Surface DEET'!$Q$9:$W$38,COLUMN(AF52)-COLUMN($E$5),4),$E59),0)</f>
        <v>0</v>
      </c>
      <c r="AG59" s="281">
        <f>IF(AG$6=$C59,IF(INDEX('Surface DEET'!$Q$9:$W$38,COLUMN(AG52)-COLUMN($E$5),4)&gt;0,INDEX('Surface DEET'!$Q$9:$W$38,COLUMN(AG52)-COLUMN($E$5),4),$E59),0)</f>
        <v>0</v>
      </c>
      <c r="AH59" s="281">
        <f>IF(AH$6=$C59,IF(INDEX('Surface DEET'!$Q$9:$W$38,COLUMN(AH52)-COLUMN($E$5),4)&gt;0,INDEX('Surface DEET'!$Q$9:$W$38,COLUMN(AH52)-COLUMN($E$5),4),$E59),0)</f>
        <v>0</v>
      </c>
      <c r="AI59" s="281">
        <f>IF(AI$6=$C59,IF(INDEX('Surface DEET'!$Q$9:$W$38,COLUMN(AI52)-COLUMN($E$5),4)&gt;0,INDEX('Surface DEET'!$Q$9:$W$38,COLUMN(AI52)-COLUMN($E$5),4),$E59),0)</f>
        <v>0</v>
      </c>
    </row>
    <row r="60" spans="1:35">
      <c r="A60" s="540"/>
      <c r="B60" s="281" t="s">
        <v>538</v>
      </c>
      <c r="C60" s="32" t="s">
        <v>601</v>
      </c>
      <c r="D60" s="281" t="s">
        <v>538</v>
      </c>
      <c r="F60" s="281">
        <f>IFERROR($E$55*($E$57*(F59/$E$59)+(1-$E$57)*(F58/$E$58))+0.28*$E$54*(F58-$E$58)/$E$58,0)</f>
        <v>-20.440000000000001</v>
      </c>
      <c r="G60" s="281">
        <f t="shared" ref="G60:AI60" si="6">IFERROR($E$55*($E$57*(G59/$E$59)+(1-$E$57)*(G58/$E$58))+0.28*$E$54*(G58-$E$58)/$E$58,0)</f>
        <v>-20.440000000000001</v>
      </c>
      <c r="H60" s="281">
        <f t="shared" si="6"/>
        <v>-20.440000000000001</v>
      </c>
      <c r="I60" s="281">
        <f t="shared" si="6"/>
        <v>-20.440000000000001</v>
      </c>
      <c r="J60" s="281">
        <f t="shared" si="6"/>
        <v>-20.440000000000001</v>
      </c>
      <c r="K60" s="281">
        <f t="shared" si="6"/>
        <v>-20.440000000000001</v>
      </c>
      <c r="L60" s="281">
        <f t="shared" si="6"/>
        <v>-20.440000000000001</v>
      </c>
      <c r="M60" s="281">
        <f t="shared" si="6"/>
        <v>-20.440000000000001</v>
      </c>
      <c r="N60" s="281">
        <f t="shared" si="6"/>
        <v>-20.440000000000001</v>
      </c>
      <c r="O60" s="281">
        <f t="shared" si="6"/>
        <v>-20.440000000000001</v>
      </c>
      <c r="P60" s="281">
        <f t="shared" si="6"/>
        <v>-20.440000000000001</v>
      </c>
      <c r="Q60" s="281">
        <f t="shared" si="6"/>
        <v>-20.440000000000001</v>
      </c>
      <c r="R60" s="281">
        <f t="shared" si="6"/>
        <v>-20.440000000000001</v>
      </c>
      <c r="S60" s="281">
        <f t="shared" si="6"/>
        <v>-20.440000000000001</v>
      </c>
      <c r="T60" s="281">
        <f t="shared" si="6"/>
        <v>-20.440000000000001</v>
      </c>
      <c r="U60" s="281">
        <f t="shared" si="6"/>
        <v>-20.440000000000001</v>
      </c>
      <c r="V60" s="281">
        <f t="shared" si="6"/>
        <v>-20.440000000000001</v>
      </c>
      <c r="W60" s="281">
        <f t="shared" si="6"/>
        <v>-20.440000000000001</v>
      </c>
      <c r="X60" s="281">
        <f t="shared" si="6"/>
        <v>-20.440000000000001</v>
      </c>
      <c r="Y60" s="281">
        <f t="shared" si="6"/>
        <v>-20.440000000000001</v>
      </c>
      <c r="Z60" s="281">
        <f t="shared" si="6"/>
        <v>-20.440000000000001</v>
      </c>
      <c r="AA60" s="281">
        <f t="shared" si="6"/>
        <v>-20.440000000000001</v>
      </c>
      <c r="AB60" s="281">
        <f t="shared" si="6"/>
        <v>-20.440000000000001</v>
      </c>
      <c r="AC60" s="281">
        <f t="shared" si="6"/>
        <v>-20.440000000000001</v>
      </c>
      <c r="AD60" s="281">
        <f t="shared" si="6"/>
        <v>-20.440000000000001</v>
      </c>
      <c r="AE60" s="281">
        <f t="shared" si="6"/>
        <v>-20.440000000000001</v>
      </c>
      <c r="AF60" s="281">
        <f t="shared" si="6"/>
        <v>-20.440000000000001</v>
      </c>
      <c r="AG60" s="281">
        <f t="shared" si="6"/>
        <v>-20.440000000000001</v>
      </c>
      <c r="AH60" s="281">
        <f t="shared" si="6"/>
        <v>-20.440000000000001</v>
      </c>
      <c r="AI60" s="281">
        <f t="shared" si="6"/>
        <v>-20.440000000000001</v>
      </c>
    </row>
    <row r="61" spans="1:35">
      <c r="A61" s="540" t="s">
        <v>604</v>
      </c>
      <c r="B61" s="92" t="s">
        <v>298</v>
      </c>
      <c r="C61" s="32" t="s">
        <v>604</v>
      </c>
      <c r="D61" s="92" t="s">
        <v>298</v>
      </c>
      <c r="E61" s="281">
        <f t="array" ref="E61">INDEX(CABS_CVC!$C$3:$O$870,MATCH(1, (CABS_CVC!$A$3:$A$870=Calculs_CABS!C61)*(CABS_CVC!$B$3:$B$870=Calculs_CABS!$D$2),0),MATCH(Calculs_CABS!$D$1,Liste_CABS!$B$3:$B$15,0))</f>
        <v>53</v>
      </c>
    </row>
    <row r="62" spans="1:35">
      <c r="A62" s="540"/>
      <c r="B62" s="281" t="s">
        <v>539</v>
      </c>
      <c r="C62" s="32" t="s">
        <v>604</v>
      </c>
      <c r="D62" s="281" t="s">
        <v>539</v>
      </c>
      <c r="E62" s="332">
        <v>365</v>
      </c>
    </row>
    <row r="63" spans="1:35">
      <c r="A63" s="540"/>
      <c r="B63" s="281" t="s">
        <v>540</v>
      </c>
      <c r="C63" s="32" t="s">
        <v>604</v>
      </c>
      <c r="D63" s="281" t="s">
        <v>540</v>
      </c>
      <c r="E63" s="281">
        <f>E61+E62</f>
        <v>418</v>
      </c>
    </row>
    <row r="64" spans="1:35">
      <c r="A64" s="540"/>
      <c r="B64" s="281" t="s">
        <v>541</v>
      </c>
      <c r="C64" s="32" t="s">
        <v>604</v>
      </c>
      <c r="D64" s="281" t="s">
        <v>541</v>
      </c>
      <c r="E64" s="281">
        <v>0.96</v>
      </c>
    </row>
    <row r="65" spans="1:35">
      <c r="A65" s="540"/>
      <c r="B65" s="281" t="s">
        <v>542</v>
      </c>
      <c r="C65" s="32" t="s">
        <v>604</v>
      </c>
      <c r="D65" s="329" t="s">
        <v>605</v>
      </c>
      <c r="E65" s="333">
        <v>2190</v>
      </c>
      <c r="F65" s="281">
        <f>IF(F$6=$C65,IF(INDEX('Surface DEET'!$Q$9:$W$38,COLUMN(F58)-COLUMN($E$5),1)&gt;0,INDEX('Surface DEET'!$Q$9:$W$38,COLUMN(F58)-COLUMN($E$5),1),$E65),0)</f>
        <v>0</v>
      </c>
      <c r="G65" s="281">
        <f>IF(G$6=$C65,IF(INDEX('Surface DEET'!$Q$9:$W$38,COLUMN(G58)-COLUMN($E$5),1)&gt;0,INDEX('Surface DEET'!$Q$9:$W$38,COLUMN(G58)-COLUMN($E$5),1),$E65),0)</f>
        <v>0</v>
      </c>
      <c r="H65" s="281">
        <f>IF(H$6=$C65,IF(INDEX('Surface DEET'!$Q$9:$W$38,COLUMN(H58)-COLUMN($E$5),1)&gt;0,INDEX('Surface DEET'!$Q$9:$W$38,COLUMN(H58)-COLUMN($E$5),1),$E65),0)</f>
        <v>0</v>
      </c>
      <c r="I65" s="281">
        <f>IF(I$6=$C65,IF(INDEX('Surface DEET'!$Q$9:$W$38,COLUMN(I58)-COLUMN($E$5),1)&gt;0,INDEX('Surface DEET'!$Q$9:$W$38,COLUMN(I58)-COLUMN($E$5),1),$E65),0)</f>
        <v>0</v>
      </c>
      <c r="J65" s="281">
        <f>IF(J$6=$C65,IF(INDEX('Surface DEET'!$Q$9:$W$38,COLUMN(J58)-COLUMN($E$5),1)&gt;0,INDEX('Surface DEET'!$Q$9:$W$38,COLUMN(J58)-COLUMN($E$5),1),$E65),0)</f>
        <v>0</v>
      </c>
      <c r="K65" s="281">
        <f>IF(K$6=$C65,IF(INDEX('Surface DEET'!$Q$9:$W$38,COLUMN(K58)-COLUMN($E$5),1)&gt;0,INDEX('Surface DEET'!$Q$9:$W$38,COLUMN(K58)-COLUMN($E$5),1),$E65),0)</f>
        <v>0</v>
      </c>
      <c r="L65" s="281">
        <f>IF(L$6=$C65,IF(INDEX('Surface DEET'!$Q$9:$W$38,COLUMN(L58)-COLUMN($E$5),1)&gt;0,INDEX('Surface DEET'!$Q$9:$W$38,COLUMN(L58)-COLUMN($E$5),1),$E65),0)</f>
        <v>0</v>
      </c>
      <c r="M65" s="281">
        <f>IF(M$6=$C65,IF(INDEX('Surface DEET'!$Q$9:$W$38,COLUMN(M58)-COLUMN($E$5),1)&gt;0,INDEX('Surface DEET'!$Q$9:$W$38,COLUMN(M58)-COLUMN($E$5),1),$E65),0)</f>
        <v>0</v>
      </c>
      <c r="N65" s="281">
        <f>IF(N$6=$C65,IF(INDEX('Surface DEET'!$Q$9:$W$38,COLUMN(N58)-COLUMN($E$5),1)&gt;0,INDEX('Surface DEET'!$Q$9:$W$38,COLUMN(N58)-COLUMN($E$5),1),$E65),0)</f>
        <v>0</v>
      </c>
      <c r="O65" s="281">
        <f>IF(O$6=$C65,IF(INDEX('Surface DEET'!$Q$9:$W$38,COLUMN(O58)-COLUMN($E$5),1)&gt;0,INDEX('Surface DEET'!$Q$9:$W$38,COLUMN(O58)-COLUMN($E$5),1),$E65),0)</f>
        <v>0</v>
      </c>
      <c r="P65" s="281">
        <f>IF(P$6=$C65,IF(INDEX('Surface DEET'!$Q$9:$W$38,COLUMN(P58)-COLUMN($E$5),1)&gt;0,INDEX('Surface DEET'!$Q$9:$W$38,COLUMN(P58)-COLUMN($E$5),1),$E65),0)</f>
        <v>0</v>
      </c>
      <c r="Q65" s="281">
        <f>IF(Q$6=$C65,IF(INDEX('Surface DEET'!$Q$9:$W$38,COLUMN(Q58)-COLUMN($E$5),1)&gt;0,INDEX('Surface DEET'!$Q$9:$W$38,COLUMN(Q58)-COLUMN($E$5),1),$E65),0)</f>
        <v>0</v>
      </c>
      <c r="R65" s="281">
        <f>IF(R$6=$C65,IF(INDEX('Surface DEET'!$Q$9:$W$38,COLUMN(R58)-COLUMN($E$5),1)&gt;0,INDEX('Surface DEET'!$Q$9:$W$38,COLUMN(R58)-COLUMN($E$5),1),$E65),0)</f>
        <v>0</v>
      </c>
      <c r="S65" s="281">
        <f>IF(S$6=$C65,IF(INDEX('Surface DEET'!$Q$9:$W$38,COLUMN(S58)-COLUMN($E$5),1)&gt;0,INDEX('Surface DEET'!$Q$9:$W$38,COLUMN(S58)-COLUMN($E$5),1),$E65),0)</f>
        <v>0</v>
      </c>
      <c r="T65" s="281">
        <f>IF(T$6=$C65,IF(INDEX('Surface DEET'!$Q$9:$W$38,COLUMN(T58)-COLUMN($E$5),1)&gt;0,INDEX('Surface DEET'!$Q$9:$W$38,COLUMN(T58)-COLUMN($E$5),1),$E65),0)</f>
        <v>0</v>
      </c>
      <c r="U65" s="281">
        <f>IF(U$6=$C65,IF(INDEX('Surface DEET'!$Q$9:$W$38,COLUMN(U58)-COLUMN($E$5),1)&gt;0,INDEX('Surface DEET'!$Q$9:$W$38,COLUMN(U58)-COLUMN($E$5),1),$E65),0)</f>
        <v>0</v>
      </c>
      <c r="V65" s="281">
        <f>IF(V$6=$C65,IF(INDEX('Surface DEET'!$Q$9:$W$38,COLUMN(V58)-COLUMN($E$5),1)&gt;0,INDEX('Surface DEET'!$Q$9:$W$38,COLUMN(V58)-COLUMN($E$5),1),$E65),0)</f>
        <v>0</v>
      </c>
      <c r="W65" s="281">
        <f>IF(W$6=$C65,IF(INDEX('Surface DEET'!$Q$9:$W$38,COLUMN(W58)-COLUMN($E$5),1)&gt;0,INDEX('Surface DEET'!$Q$9:$W$38,COLUMN(W58)-COLUMN($E$5),1),$E65),0)</f>
        <v>0</v>
      </c>
      <c r="X65" s="281">
        <f>IF(X$6=$C65,IF(INDEX('Surface DEET'!$Q$9:$W$38,COLUMN(X58)-COLUMN($E$5),1)&gt;0,INDEX('Surface DEET'!$Q$9:$W$38,COLUMN(X58)-COLUMN($E$5),1),$E65),0)</f>
        <v>0</v>
      </c>
      <c r="Y65" s="281">
        <f>IF(Y$6=$C65,IF(INDEX('Surface DEET'!$Q$9:$W$38,COLUMN(Y58)-COLUMN($E$5),1)&gt;0,INDEX('Surface DEET'!$Q$9:$W$38,COLUMN(Y58)-COLUMN($E$5),1),$E65),0)</f>
        <v>0</v>
      </c>
      <c r="Z65" s="281">
        <f>IF(Z$6=$C65,IF(INDEX('Surface DEET'!$Q$9:$W$38,COLUMN(Z58)-COLUMN($E$5),1)&gt;0,INDEX('Surface DEET'!$Q$9:$W$38,COLUMN(Z58)-COLUMN($E$5),1),$E65),0)</f>
        <v>0</v>
      </c>
      <c r="AA65" s="281">
        <f>IF(AA$6=$C65,IF(INDEX('Surface DEET'!$Q$9:$W$38,COLUMN(AA58)-COLUMN($E$5),1)&gt;0,INDEX('Surface DEET'!$Q$9:$W$38,COLUMN(AA58)-COLUMN($E$5),1),$E65),0)</f>
        <v>0</v>
      </c>
      <c r="AB65" s="281">
        <f>IF(AB$6=$C65,IF(INDEX('Surface DEET'!$Q$9:$W$38,COLUMN(AB58)-COLUMN($E$5),1)&gt;0,INDEX('Surface DEET'!$Q$9:$W$38,COLUMN(AB58)-COLUMN($E$5),1),$E65),0)</f>
        <v>0</v>
      </c>
      <c r="AC65" s="281">
        <f>IF(AC$6=$C65,IF(INDEX('Surface DEET'!$Q$9:$W$38,COLUMN(AC58)-COLUMN($E$5),1)&gt;0,INDEX('Surface DEET'!$Q$9:$W$38,COLUMN(AC58)-COLUMN($E$5),1),$E65),0)</f>
        <v>0</v>
      </c>
      <c r="AD65" s="281">
        <f>IF(AD$6=$C65,IF(INDEX('Surface DEET'!$Q$9:$W$38,COLUMN(AD58)-COLUMN($E$5),1)&gt;0,INDEX('Surface DEET'!$Q$9:$W$38,COLUMN(AD58)-COLUMN($E$5),1),$E65),0)</f>
        <v>0</v>
      </c>
      <c r="AE65" s="281">
        <f>IF(AE$6=$C65,IF(INDEX('Surface DEET'!$Q$9:$W$38,COLUMN(AE58)-COLUMN($E$5),1)&gt;0,INDEX('Surface DEET'!$Q$9:$W$38,COLUMN(AE58)-COLUMN($E$5),1),$E65),0)</f>
        <v>0</v>
      </c>
      <c r="AF65" s="281">
        <f>IF(AF$6=$C65,IF(INDEX('Surface DEET'!$Q$9:$W$38,COLUMN(AF58)-COLUMN($E$5),1)&gt;0,INDEX('Surface DEET'!$Q$9:$W$38,COLUMN(AF58)-COLUMN($E$5),1),$E65),0)</f>
        <v>0</v>
      </c>
      <c r="AG65" s="281">
        <f>IF(AG$6=$C65,IF(INDEX('Surface DEET'!$Q$9:$W$38,COLUMN(AG58)-COLUMN($E$5),1)&gt;0,INDEX('Surface DEET'!$Q$9:$W$38,COLUMN(AG58)-COLUMN($E$5),1),$E65),0)</f>
        <v>0</v>
      </c>
      <c r="AH65" s="281">
        <f>IF(AH$6=$C65,IF(INDEX('Surface DEET'!$Q$9:$W$38,COLUMN(AH58)-COLUMN($E$5),1)&gt;0,INDEX('Surface DEET'!$Q$9:$W$38,COLUMN(AH58)-COLUMN($E$5),1),$E65),0)</f>
        <v>0</v>
      </c>
      <c r="AI65" s="281">
        <f>IF(AI$6=$C65,IF(INDEX('Surface DEET'!$Q$9:$W$38,COLUMN(AI58)-COLUMN($E$5),1)&gt;0,INDEX('Surface DEET'!$Q$9:$W$38,COLUMN(AI58)-COLUMN($E$5),1),$E65),0)</f>
        <v>0</v>
      </c>
    </row>
    <row r="66" spans="1:35">
      <c r="A66" s="540"/>
      <c r="B66" s="281" t="s">
        <v>545</v>
      </c>
      <c r="C66" s="32" t="s">
        <v>604</v>
      </c>
      <c r="D66" s="329" t="s">
        <v>606</v>
      </c>
      <c r="E66" s="332">
        <v>16</v>
      </c>
      <c r="F66" s="281">
        <f>IF(F$6=$C66,IF(INDEX('Surface DEET'!$Q$9:$W$38,COLUMN(F59)-COLUMN($E$5),4)&gt;0,INDEX('Surface DEET'!$Q$9:$W$38,COLUMN(F59)-COLUMN($E$5),4),$E66),0)</f>
        <v>0</v>
      </c>
      <c r="G66" s="281">
        <f>IF(G$6=$C66,IF(INDEX('Surface DEET'!$Q$9:$W$38,COLUMN(G59)-COLUMN($E$5),4)&gt;0,INDEX('Surface DEET'!$Q$9:$W$38,COLUMN(G59)-COLUMN($E$5),4),$E66),0)</f>
        <v>0</v>
      </c>
      <c r="H66" s="281">
        <f>IF(H$6=$C66,IF(INDEX('Surface DEET'!$Q$9:$W$38,COLUMN(H59)-COLUMN($E$5),4)&gt;0,INDEX('Surface DEET'!$Q$9:$W$38,COLUMN(H59)-COLUMN($E$5),4),$E66),0)</f>
        <v>0</v>
      </c>
      <c r="I66" s="281">
        <f>IF(I$6=$C66,IF(INDEX('Surface DEET'!$Q$9:$W$38,COLUMN(I59)-COLUMN($E$5),4)&gt;0,INDEX('Surface DEET'!$Q$9:$W$38,COLUMN(I59)-COLUMN($E$5),4),$E66),0)</f>
        <v>0</v>
      </c>
      <c r="J66" s="281">
        <f>IF(J$6=$C66,IF(INDEX('Surface DEET'!$Q$9:$W$38,COLUMN(J59)-COLUMN($E$5),4)&gt;0,INDEX('Surface DEET'!$Q$9:$W$38,COLUMN(J59)-COLUMN($E$5),4),$E66),0)</f>
        <v>0</v>
      </c>
      <c r="K66" s="281">
        <f>IF(K$6=$C66,IF(INDEX('Surface DEET'!$Q$9:$W$38,COLUMN(K59)-COLUMN($E$5),4)&gt;0,INDEX('Surface DEET'!$Q$9:$W$38,COLUMN(K59)-COLUMN($E$5),4),$E66),0)</f>
        <v>0</v>
      </c>
      <c r="L66" s="281">
        <f>IF(L$6=$C66,IF(INDEX('Surface DEET'!$Q$9:$W$38,COLUMN(L59)-COLUMN($E$5),4)&gt;0,INDEX('Surface DEET'!$Q$9:$W$38,COLUMN(L59)-COLUMN($E$5),4),$E66),0)</f>
        <v>0</v>
      </c>
      <c r="M66" s="281">
        <f>IF(M$6=$C66,IF(INDEX('Surface DEET'!$Q$9:$W$38,COLUMN(M59)-COLUMN($E$5),4)&gt;0,INDEX('Surface DEET'!$Q$9:$W$38,COLUMN(M59)-COLUMN($E$5),4),$E66),0)</f>
        <v>0</v>
      </c>
      <c r="N66" s="281">
        <f>IF(N$6=$C66,IF(INDEX('Surface DEET'!$Q$9:$W$38,COLUMN(N59)-COLUMN($E$5),4)&gt;0,INDEX('Surface DEET'!$Q$9:$W$38,COLUMN(N59)-COLUMN($E$5),4),$E66),0)</f>
        <v>0</v>
      </c>
      <c r="O66" s="281">
        <f>IF(O$6=$C66,IF(INDEX('Surface DEET'!$Q$9:$W$38,COLUMN(O59)-COLUMN($E$5),4)&gt;0,INDEX('Surface DEET'!$Q$9:$W$38,COLUMN(O59)-COLUMN($E$5),4),$E66),0)</f>
        <v>0</v>
      </c>
      <c r="P66" s="281">
        <f>IF(P$6=$C66,IF(INDEX('Surface DEET'!$Q$9:$W$38,COLUMN(P59)-COLUMN($E$5),4)&gt;0,INDEX('Surface DEET'!$Q$9:$W$38,COLUMN(P59)-COLUMN($E$5),4),$E66),0)</f>
        <v>0</v>
      </c>
      <c r="Q66" s="281">
        <f>IF(Q$6=$C66,IF(INDEX('Surface DEET'!$Q$9:$W$38,COLUMN(Q59)-COLUMN($E$5),4)&gt;0,INDEX('Surface DEET'!$Q$9:$W$38,COLUMN(Q59)-COLUMN($E$5),4),$E66),0)</f>
        <v>0</v>
      </c>
      <c r="R66" s="281">
        <f>IF(R$6=$C66,IF(INDEX('Surface DEET'!$Q$9:$W$38,COLUMN(R59)-COLUMN($E$5),4)&gt;0,INDEX('Surface DEET'!$Q$9:$W$38,COLUMN(R59)-COLUMN($E$5),4),$E66),0)</f>
        <v>0</v>
      </c>
      <c r="S66" s="281">
        <f>IF(S$6=$C66,IF(INDEX('Surface DEET'!$Q$9:$W$38,COLUMN(S59)-COLUMN($E$5),4)&gt;0,INDEX('Surface DEET'!$Q$9:$W$38,COLUMN(S59)-COLUMN($E$5),4),$E66),0)</f>
        <v>0</v>
      </c>
      <c r="T66" s="281">
        <f>IF(T$6=$C66,IF(INDEX('Surface DEET'!$Q$9:$W$38,COLUMN(T59)-COLUMN($E$5),4)&gt;0,INDEX('Surface DEET'!$Q$9:$W$38,COLUMN(T59)-COLUMN($E$5),4),$E66),0)</f>
        <v>0</v>
      </c>
      <c r="U66" s="281">
        <f>IF(U$6=$C66,IF(INDEX('Surface DEET'!$Q$9:$W$38,COLUMN(U59)-COLUMN($E$5),4)&gt;0,INDEX('Surface DEET'!$Q$9:$W$38,COLUMN(U59)-COLUMN($E$5),4),$E66),0)</f>
        <v>0</v>
      </c>
      <c r="V66" s="281">
        <f>IF(V$6=$C66,IF(INDEX('Surface DEET'!$Q$9:$W$38,COLUMN(V59)-COLUMN($E$5),4)&gt;0,INDEX('Surface DEET'!$Q$9:$W$38,COLUMN(V59)-COLUMN($E$5),4),$E66),0)</f>
        <v>0</v>
      </c>
      <c r="W66" s="281">
        <f>IF(W$6=$C66,IF(INDEX('Surface DEET'!$Q$9:$W$38,COLUMN(W59)-COLUMN($E$5),4)&gt;0,INDEX('Surface DEET'!$Q$9:$W$38,COLUMN(W59)-COLUMN($E$5),4),$E66),0)</f>
        <v>0</v>
      </c>
      <c r="X66" s="281">
        <f>IF(X$6=$C66,IF(INDEX('Surface DEET'!$Q$9:$W$38,COLUMN(X59)-COLUMN($E$5),4)&gt;0,INDEX('Surface DEET'!$Q$9:$W$38,COLUMN(X59)-COLUMN($E$5),4),$E66),0)</f>
        <v>0</v>
      </c>
      <c r="Y66" s="281">
        <f>IF(Y$6=$C66,IF(INDEX('Surface DEET'!$Q$9:$W$38,COLUMN(Y59)-COLUMN($E$5),4)&gt;0,INDEX('Surface DEET'!$Q$9:$W$38,COLUMN(Y59)-COLUMN($E$5),4),$E66),0)</f>
        <v>0</v>
      </c>
      <c r="Z66" s="281">
        <f>IF(Z$6=$C66,IF(INDEX('Surface DEET'!$Q$9:$W$38,COLUMN(Z59)-COLUMN($E$5),4)&gt;0,INDEX('Surface DEET'!$Q$9:$W$38,COLUMN(Z59)-COLUMN($E$5),4),$E66),0)</f>
        <v>0</v>
      </c>
      <c r="AA66" s="281">
        <f>IF(AA$6=$C66,IF(INDEX('Surface DEET'!$Q$9:$W$38,COLUMN(AA59)-COLUMN($E$5),4)&gt;0,INDEX('Surface DEET'!$Q$9:$W$38,COLUMN(AA59)-COLUMN($E$5),4),$E66),0)</f>
        <v>0</v>
      </c>
      <c r="AB66" s="281">
        <f>IF(AB$6=$C66,IF(INDEX('Surface DEET'!$Q$9:$W$38,COLUMN(AB59)-COLUMN($E$5),4)&gt;0,INDEX('Surface DEET'!$Q$9:$W$38,COLUMN(AB59)-COLUMN($E$5),4),$E66),0)</f>
        <v>0</v>
      </c>
      <c r="AC66" s="281">
        <f>IF(AC$6=$C66,IF(INDEX('Surface DEET'!$Q$9:$W$38,COLUMN(AC59)-COLUMN($E$5),4)&gt;0,INDEX('Surface DEET'!$Q$9:$W$38,COLUMN(AC59)-COLUMN($E$5),4),$E66),0)</f>
        <v>0</v>
      </c>
      <c r="AD66" s="281">
        <f>IF(AD$6=$C66,IF(INDEX('Surface DEET'!$Q$9:$W$38,COLUMN(AD59)-COLUMN($E$5),4)&gt;0,INDEX('Surface DEET'!$Q$9:$W$38,COLUMN(AD59)-COLUMN($E$5),4),$E66),0)</f>
        <v>0</v>
      </c>
      <c r="AE66" s="281">
        <f>IF(AE$6=$C66,IF(INDEX('Surface DEET'!$Q$9:$W$38,COLUMN(AE59)-COLUMN($E$5),4)&gt;0,INDEX('Surface DEET'!$Q$9:$W$38,COLUMN(AE59)-COLUMN($E$5),4),$E66),0)</f>
        <v>0</v>
      </c>
      <c r="AF66" s="281">
        <f>IF(AF$6=$C66,IF(INDEX('Surface DEET'!$Q$9:$W$38,COLUMN(AF59)-COLUMN($E$5),4)&gt;0,INDEX('Surface DEET'!$Q$9:$W$38,COLUMN(AF59)-COLUMN($E$5),4),$E66),0)</f>
        <v>0</v>
      </c>
      <c r="AG66" s="281">
        <f>IF(AG$6=$C66,IF(INDEX('Surface DEET'!$Q$9:$W$38,COLUMN(AG59)-COLUMN($E$5),4)&gt;0,INDEX('Surface DEET'!$Q$9:$W$38,COLUMN(AG59)-COLUMN($E$5),4),$E66),0)</f>
        <v>0</v>
      </c>
      <c r="AH66" s="281">
        <f>IF(AH$6=$C66,IF(INDEX('Surface DEET'!$Q$9:$W$38,COLUMN(AH59)-COLUMN($E$5),4)&gt;0,INDEX('Surface DEET'!$Q$9:$W$38,COLUMN(AH59)-COLUMN($E$5),4),$E66),0)</f>
        <v>0</v>
      </c>
      <c r="AI66" s="281">
        <f>IF(AI$6=$C66,IF(INDEX('Surface DEET'!$Q$9:$W$38,COLUMN(AI59)-COLUMN($E$5),4)&gt;0,INDEX('Surface DEET'!$Q$9:$W$38,COLUMN(AI59)-COLUMN($E$5),4),$E66),0)</f>
        <v>0</v>
      </c>
    </row>
    <row r="67" spans="1:35">
      <c r="A67" s="540"/>
      <c r="B67" s="281" t="s">
        <v>548</v>
      </c>
      <c r="C67" s="32" t="s">
        <v>604</v>
      </c>
      <c r="D67" s="329"/>
      <c r="E67" s="332"/>
    </row>
    <row r="68" spans="1:35">
      <c r="A68" s="540"/>
      <c r="B68" s="281" t="s">
        <v>607</v>
      </c>
      <c r="C68" s="32" t="s">
        <v>604</v>
      </c>
      <c r="D68" s="329" t="s">
        <v>608</v>
      </c>
      <c r="E68" s="332">
        <v>701</v>
      </c>
    </row>
    <row r="69" spans="1:35">
      <c r="A69" s="540"/>
      <c r="B69" s="281" t="s">
        <v>609</v>
      </c>
      <c r="C69" s="32" t="s">
        <v>604</v>
      </c>
      <c r="D69" s="329" t="s">
        <v>610</v>
      </c>
      <c r="E69" s="332">
        <v>6.3</v>
      </c>
    </row>
    <row r="70" spans="1:35" ht="15.75" customHeight="1">
      <c r="A70" s="540"/>
      <c r="B70" s="281" t="s">
        <v>611</v>
      </c>
      <c r="C70" s="32" t="s">
        <v>604</v>
      </c>
      <c r="D70" s="329" t="s">
        <v>612</v>
      </c>
      <c r="E70" s="332">
        <v>118</v>
      </c>
    </row>
    <row r="71" spans="1:35" ht="15.75" customHeight="1">
      <c r="A71" s="92"/>
      <c r="B71" s="281" t="s">
        <v>538</v>
      </c>
      <c r="C71" s="32" t="s">
        <v>604</v>
      </c>
      <c r="D71" s="281" t="s">
        <v>538</v>
      </c>
      <c r="F71" s="281">
        <f>IFERROR($E$62*(F65/$E$65)*($E$64*(F66/100*$E$68+(1-F66/100)*$E$69)/$E$70+(1-$E$64))+0.28*$E$61*(F65-$E$65)/$E$65,0)</f>
        <v>-14.840000000000002</v>
      </c>
      <c r="G71" s="281">
        <f t="shared" ref="G71:AI71" si="7">IFERROR($E$62*(G65/$E$65)*($E$64*(G66/100*$E$68+(1-G66/100)*$E$69)/$E$70+(1-$E$64))+0.28*$E$61*(G65-$E$65)/$E$65,0)</f>
        <v>-14.840000000000002</v>
      </c>
      <c r="H71" s="281">
        <f t="shared" si="7"/>
        <v>-14.840000000000002</v>
      </c>
      <c r="I71" s="281">
        <f t="shared" si="7"/>
        <v>-14.840000000000002</v>
      </c>
      <c r="J71" s="281">
        <f t="shared" si="7"/>
        <v>-14.840000000000002</v>
      </c>
      <c r="K71" s="281">
        <f t="shared" si="7"/>
        <v>-14.840000000000002</v>
      </c>
      <c r="L71" s="281">
        <f t="shared" si="7"/>
        <v>-14.840000000000002</v>
      </c>
      <c r="M71" s="281">
        <f t="shared" si="7"/>
        <v>-14.840000000000002</v>
      </c>
      <c r="N71" s="281">
        <f t="shared" si="7"/>
        <v>-14.840000000000002</v>
      </c>
      <c r="O71" s="281">
        <f t="shared" si="7"/>
        <v>-14.840000000000002</v>
      </c>
      <c r="P71" s="281">
        <f t="shared" si="7"/>
        <v>-14.840000000000002</v>
      </c>
      <c r="Q71" s="281">
        <f t="shared" si="7"/>
        <v>-14.840000000000002</v>
      </c>
      <c r="R71" s="281">
        <f t="shared" si="7"/>
        <v>-14.840000000000002</v>
      </c>
      <c r="S71" s="281">
        <f t="shared" si="7"/>
        <v>-14.840000000000002</v>
      </c>
      <c r="T71" s="281">
        <f t="shared" si="7"/>
        <v>-14.840000000000002</v>
      </c>
      <c r="U71" s="281">
        <f t="shared" si="7"/>
        <v>-14.840000000000002</v>
      </c>
      <c r="V71" s="281">
        <f t="shared" si="7"/>
        <v>-14.840000000000002</v>
      </c>
      <c r="W71" s="281">
        <f t="shared" si="7"/>
        <v>-14.840000000000002</v>
      </c>
      <c r="X71" s="281">
        <f t="shared" si="7"/>
        <v>-14.840000000000002</v>
      </c>
      <c r="Y71" s="281">
        <f t="shared" si="7"/>
        <v>-14.840000000000002</v>
      </c>
      <c r="Z71" s="281">
        <f t="shared" si="7"/>
        <v>-14.840000000000002</v>
      </c>
      <c r="AA71" s="281">
        <f t="shared" si="7"/>
        <v>-14.840000000000002</v>
      </c>
      <c r="AB71" s="281">
        <f t="shared" si="7"/>
        <v>-14.840000000000002</v>
      </c>
      <c r="AC71" s="281">
        <f t="shared" si="7"/>
        <v>-14.840000000000002</v>
      </c>
      <c r="AD71" s="281">
        <f t="shared" si="7"/>
        <v>-14.840000000000002</v>
      </c>
      <c r="AE71" s="281">
        <f t="shared" si="7"/>
        <v>-14.840000000000002</v>
      </c>
      <c r="AF71" s="281">
        <f t="shared" si="7"/>
        <v>-14.840000000000002</v>
      </c>
      <c r="AG71" s="281">
        <f t="shared" si="7"/>
        <v>-14.840000000000002</v>
      </c>
      <c r="AH71" s="281">
        <f t="shared" si="7"/>
        <v>-14.840000000000002</v>
      </c>
      <c r="AI71" s="281">
        <f t="shared" si="7"/>
        <v>-14.840000000000002</v>
      </c>
    </row>
    <row r="72" spans="1:35">
      <c r="A72" s="541" t="s">
        <v>613</v>
      </c>
      <c r="B72" s="92" t="s">
        <v>298</v>
      </c>
      <c r="C72" s="32" t="s">
        <v>613</v>
      </c>
      <c r="D72" s="92" t="s">
        <v>298</v>
      </c>
      <c r="E72" s="281">
        <f t="array" ref="E72">INDEX(CABS_CVC!$C$3:$O$894,MATCH(1, (CABS_CVC!$A$3:$A$894=Calculs_CABS!C72)*(CABS_CVC!$B$3:$B$894=Calculs_CABS!$D$2),0),MATCH(Calculs_CABS!$D$1,Liste_CABS!$B$3:$B$15,0))</f>
        <v>62</v>
      </c>
    </row>
    <row r="73" spans="1:35">
      <c r="A73" s="541"/>
      <c r="B73" s="281" t="s">
        <v>539</v>
      </c>
      <c r="C73" s="32" t="s">
        <v>613</v>
      </c>
      <c r="D73" s="281" t="s">
        <v>539</v>
      </c>
      <c r="E73" s="332">
        <v>20</v>
      </c>
    </row>
    <row r="74" spans="1:35">
      <c r="A74" s="541"/>
      <c r="B74" s="281" t="s">
        <v>540</v>
      </c>
      <c r="C74" s="32" t="s">
        <v>613</v>
      </c>
      <c r="D74" s="281" t="s">
        <v>540</v>
      </c>
      <c r="E74" s="281">
        <f>E72+E73</f>
        <v>82</v>
      </c>
    </row>
    <row r="75" spans="1:35">
      <c r="A75" s="541"/>
      <c r="B75" s="281" t="s">
        <v>541</v>
      </c>
      <c r="C75" s="32" t="s">
        <v>613</v>
      </c>
      <c r="D75" s="281" t="s">
        <v>541</v>
      </c>
      <c r="E75" s="281">
        <v>0</v>
      </c>
    </row>
    <row r="76" spans="1:35">
      <c r="A76" s="541"/>
      <c r="B76" s="281" t="s">
        <v>542</v>
      </c>
      <c r="C76" s="32" t="s">
        <v>613</v>
      </c>
      <c r="D76" s="329" t="s">
        <v>588</v>
      </c>
      <c r="E76" s="281">
        <v>8760</v>
      </c>
      <c r="F76" s="281">
        <f>IF(F$6=$C76,IF(INDEX('Surface DEET'!$Q$9:$W$38,COLUMN(F69)-COLUMN($E$5),1)&gt;0,INDEX('Surface DEET'!$Q$9:$W$38,COLUMN(F69)-COLUMN($E$5),1),$E76),0)</f>
        <v>0</v>
      </c>
      <c r="G76" s="281">
        <f>IF(G$6=$C76,IF(INDEX('Surface DEET'!$Q$9:$W$38,COLUMN(G69)-COLUMN($E$5),1)&gt;0,INDEX('Surface DEET'!$Q$9:$W$38,COLUMN(G69)-COLUMN($E$5),1),$E76),0)</f>
        <v>0</v>
      </c>
      <c r="H76" s="281">
        <f>IF(H$6=$C76,IF(INDEX('Surface DEET'!$Q$9:$W$38,COLUMN(H69)-COLUMN($E$5),1)&gt;0,INDEX('Surface DEET'!$Q$9:$W$38,COLUMN(H69)-COLUMN($E$5),1),$E76),0)</f>
        <v>0</v>
      </c>
      <c r="I76" s="281">
        <f>IF(I$6=$C76,IF(INDEX('Surface DEET'!$Q$9:$W$38,COLUMN(I69)-COLUMN($E$5),1)&gt;0,INDEX('Surface DEET'!$Q$9:$W$38,COLUMN(I69)-COLUMN($E$5),1),$E76),0)</f>
        <v>0</v>
      </c>
      <c r="J76" s="281">
        <f>IF(J$6=$C76,IF(INDEX('Surface DEET'!$Q$9:$W$38,COLUMN(J69)-COLUMN($E$5),1)&gt;0,INDEX('Surface DEET'!$Q$9:$W$38,COLUMN(J69)-COLUMN($E$5),1),$E76),0)</f>
        <v>0</v>
      </c>
      <c r="K76" s="281">
        <f>IF(K$6=$C76,IF(INDEX('Surface DEET'!$Q$9:$W$38,COLUMN(K69)-COLUMN($E$5),1)&gt;0,INDEX('Surface DEET'!$Q$9:$W$38,COLUMN(K69)-COLUMN($E$5),1),$E76),0)</f>
        <v>0</v>
      </c>
      <c r="L76" s="281">
        <f>IF(L$6=$C76,IF(INDEX('Surface DEET'!$Q$9:$W$38,COLUMN(L69)-COLUMN($E$5),1)&gt;0,INDEX('Surface DEET'!$Q$9:$W$38,COLUMN(L69)-COLUMN($E$5),1),$E76),0)</f>
        <v>0</v>
      </c>
      <c r="M76" s="281">
        <f>IF(M$6=$C76,IF(INDEX('Surface DEET'!$Q$9:$W$38,COLUMN(M69)-COLUMN($E$5),1)&gt;0,INDEX('Surface DEET'!$Q$9:$W$38,COLUMN(M69)-COLUMN($E$5),1),$E76),0)</f>
        <v>0</v>
      </c>
      <c r="N76" s="281">
        <f>IF(N$6=$C76,IF(INDEX('Surface DEET'!$Q$9:$W$38,COLUMN(N69)-COLUMN($E$5),1)&gt;0,INDEX('Surface DEET'!$Q$9:$W$38,COLUMN(N69)-COLUMN($E$5),1),$E76),0)</f>
        <v>0</v>
      </c>
      <c r="O76" s="281">
        <f>IF(O$6=$C76,IF(INDEX('Surface DEET'!$Q$9:$W$38,COLUMN(O69)-COLUMN($E$5),1)&gt;0,INDEX('Surface DEET'!$Q$9:$W$38,COLUMN(O69)-COLUMN($E$5),1),$E76),0)</f>
        <v>0</v>
      </c>
      <c r="P76" s="281">
        <f>IF(P$6=$C76,IF(INDEX('Surface DEET'!$Q$9:$W$38,COLUMN(P69)-COLUMN($E$5),1)&gt;0,INDEX('Surface DEET'!$Q$9:$W$38,COLUMN(P69)-COLUMN($E$5),1),$E76),0)</f>
        <v>0</v>
      </c>
      <c r="Q76" s="281">
        <f>IF(Q$6=$C76,IF(INDEX('Surface DEET'!$Q$9:$W$38,COLUMN(Q69)-COLUMN($E$5),1)&gt;0,INDEX('Surface DEET'!$Q$9:$W$38,COLUMN(Q69)-COLUMN($E$5),1),$E76),0)</f>
        <v>0</v>
      </c>
      <c r="R76" s="281">
        <f>IF(R$6=$C76,IF(INDEX('Surface DEET'!$Q$9:$W$38,COLUMN(R69)-COLUMN($E$5),1)&gt;0,INDEX('Surface DEET'!$Q$9:$W$38,COLUMN(R69)-COLUMN($E$5),1),$E76),0)</f>
        <v>0</v>
      </c>
      <c r="S76" s="281">
        <f>IF(S$6=$C76,IF(INDEX('Surface DEET'!$Q$9:$W$38,COLUMN(S69)-COLUMN($E$5),1)&gt;0,INDEX('Surface DEET'!$Q$9:$W$38,COLUMN(S69)-COLUMN($E$5),1),$E76),0)</f>
        <v>0</v>
      </c>
      <c r="T76" s="281">
        <f>IF(T$6=$C76,IF(INDEX('Surface DEET'!$Q$9:$W$38,COLUMN(T69)-COLUMN($E$5),1)&gt;0,INDEX('Surface DEET'!$Q$9:$W$38,COLUMN(T69)-COLUMN($E$5),1),$E76),0)</f>
        <v>0</v>
      </c>
      <c r="U76" s="281">
        <f>IF(U$6=$C76,IF(INDEX('Surface DEET'!$Q$9:$W$38,COLUMN(U69)-COLUMN($E$5),1)&gt;0,INDEX('Surface DEET'!$Q$9:$W$38,COLUMN(U69)-COLUMN($E$5),1),$E76),0)</f>
        <v>0</v>
      </c>
      <c r="V76" s="281">
        <f>IF(V$6=$C76,IF(INDEX('Surface DEET'!$Q$9:$W$38,COLUMN(V69)-COLUMN($E$5),1)&gt;0,INDEX('Surface DEET'!$Q$9:$W$38,COLUMN(V69)-COLUMN($E$5),1),$E76),0)</f>
        <v>0</v>
      </c>
      <c r="W76" s="281">
        <f>IF(W$6=$C76,IF(INDEX('Surface DEET'!$Q$9:$W$38,COLUMN(W69)-COLUMN($E$5),1)&gt;0,INDEX('Surface DEET'!$Q$9:$W$38,COLUMN(W69)-COLUMN($E$5),1),$E76),0)</f>
        <v>0</v>
      </c>
      <c r="X76" s="281">
        <f>IF(X$6=$C76,IF(INDEX('Surface DEET'!$Q$9:$W$38,COLUMN(X69)-COLUMN($E$5),1)&gt;0,INDEX('Surface DEET'!$Q$9:$W$38,COLUMN(X69)-COLUMN($E$5),1),$E76),0)</f>
        <v>0</v>
      </c>
      <c r="Y76" s="281">
        <f>IF(Y$6=$C76,IF(INDEX('Surface DEET'!$Q$9:$W$38,COLUMN(Y69)-COLUMN($E$5),1)&gt;0,INDEX('Surface DEET'!$Q$9:$W$38,COLUMN(Y69)-COLUMN($E$5),1),$E76),0)</f>
        <v>0</v>
      </c>
      <c r="Z76" s="281">
        <f>IF(Z$6=$C76,IF(INDEX('Surface DEET'!$Q$9:$W$38,COLUMN(Z69)-COLUMN($E$5),1)&gt;0,INDEX('Surface DEET'!$Q$9:$W$38,COLUMN(Z69)-COLUMN($E$5),1),$E76),0)</f>
        <v>0</v>
      </c>
      <c r="AA76" s="281">
        <f>IF(AA$6=$C76,IF(INDEX('Surface DEET'!$Q$9:$W$38,COLUMN(AA69)-COLUMN($E$5),1)&gt;0,INDEX('Surface DEET'!$Q$9:$W$38,COLUMN(AA69)-COLUMN($E$5),1),$E76),0)</f>
        <v>0</v>
      </c>
      <c r="AB76" s="281">
        <f>IF(AB$6=$C76,IF(INDEX('Surface DEET'!$Q$9:$W$38,COLUMN(AB69)-COLUMN($E$5),1)&gt;0,INDEX('Surface DEET'!$Q$9:$W$38,COLUMN(AB69)-COLUMN($E$5),1),$E76),0)</f>
        <v>0</v>
      </c>
      <c r="AC76" s="281">
        <f>IF(AC$6=$C76,IF(INDEX('Surface DEET'!$Q$9:$W$38,COLUMN(AC69)-COLUMN($E$5),1)&gt;0,INDEX('Surface DEET'!$Q$9:$W$38,COLUMN(AC69)-COLUMN($E$5),1),$E76),0)</f>
        <v>0</v>
      </c>
      <c r="AD76" s="281">
        <f>IF(AD$6=$C76,IF(INDEX('Surface DEET'!$Q$9:$W$38,COLUMN(AD69)-COLUMN($E$5),1)&gt;0,INDEX('Surface DEET'!$Q$9:$W$38,COLUMN(AD69)-COLUMN($E$5),1),$E76),0)</f>
        <v>0</v>
      </c>
      <c r="AE76" s="281">
        <f>IF(AE$6=$C76,IF(INDEX('Surface DEET'!$Q$9:$W$38,COLUMN(AE69)-COLUMN($E$5),1)&gt;0,INDEX('Surface DEET'!$Q$9:$W$38,COLUMN(AE69)-COLUMN($E$5),1),$E76),0)</f>
        <v>0</v>
      </c>
      <c r="AF76" s="281">
        <f>IF(AF$6=$C76,IF(INDEX('Surface DEET'!$Q$9:$W$38,COLUMN(AF69)-COLUMN($E$5),1)&gt;0,INDEX('Surface DEET'!$Q$9:$W$38,COLUMN(AF69)-COLUMN($E$5),1),$E76),0)</f>
        <v>0</v>
      </c>
      <c r="AG76" s="281">
        <f>IF(AG$6=$C76,IF(INDEX('Surface DEET'!$Q$9:$W$38,COLUMN(AG69)-COLUMN($E$5),1)&gt;0,INDEX('Surface DEET'!$Q$9:$W$38,COLUMN(AG69)-COLUMN($E$5),1),$E76),0)</f>
        <v>0</v>
      </c>
      <c r="AH76" s="281">
        <f>IF(AH$6=$C76,IF(INDEX('Surface DEET'!$Q$9:$W$38,COLUMN(AH69)-COLUMN($E$5),1)&gt;0,INDEX('Surface DEET'!$Q$9:$W$38,COLUMN(AH69)-COLUMN($E$5),1),$E76),0)</f>
        <v>0</v>
      </c>
      <c r="AI76" s="281">
        <f>IF(AI$6=$C76,IF(INDEX('Surface DEET'!$Q$9:$W$38,COLUMN(AI69)-COLUMN($E$5),1)&gt;0,INDEX('Surface DEET'!$Q$9:$W$38,COLUMN(AI69)-COLUMN($E$5),1),$E76),0)</f>
        <v>0</v>
      </c>
    </row>
    <row r="77" spans="1:35">
      <c r="A77" s="541"/>
      <c r="B77" s="281" t="s">
        <v>538</v>
      </c>
      <c r="C77" s="32" t="s">
        <v>613</v>
      </c>
      <c r="D77" s="281" t="s">
        <v>538</v>
      </c>
      <c r="F77" s="281">
        <f>$E$73*(F76/$E$76)+0.28*$E$72*(F76-$E$76)/$E$76</f>
        <v>-17.360000000000003</v>
      </c>
      <c r="G77" s="281">
        <f>$E$73*(G76/$E$76)+0.28*$E$72*(G76-$E$76)/$E$76</f>
        <v>-17.360000000000003</v>
      </c>
      <c r="H77" s="281">
        <f t="shared" ref="H77:AI77" si="8">$E$73*(H76/$E$76)+0.28*$E$72*(H76-$E$76)/$E$76</f>
        <v>-17.360000000000003</v>
      </c>
      <c r="I77" s="281">
        <f t="shared" si="8"/>
        <v>-17.360000000000003</v>
      </c>
      <c r="J77" s="281">
        <f t="shared" si="8"/>
        <v>-17.360000000000003</v>
      </c>
      <c r="K77" s="281">
        <f t="shared" si="8"/>
        <v>-17.360000000000003</v>
      </c>
      <c r="L77" s="281">
        <f t="shared" si="8"/>
        <v>-17.360000000000003</v>
      </c>
      <c r="M77" s="281">
        <f t="shared" si="8"/>
        <v>-17.360000000000003</v>
      </c>
      <c r="N77" s="281">
        <f t="shared" si="8"/>
        <v>-17.360000000000003</v>
      </c>
      <c r="O77" s="281">
        <f t="shared" si="8"/>
        <v>-17.360000000000003</v>
      </c>
      <c r="P77" s="281">
        <f t="shared" si="8"/>
        <v>-17.360000000000003</v>
      </c>
      <c r="Q77" s="281">
        <f t="shared" si="8"/>
        <v>-17.360000000000003</v>
      </c>
      <c r="R77" s="281">
        <f t="shared" si="8"/>
        <v>-17.360000000000003</v>
      </c>
      <c r="S77" s="281">
        <f t="shared" si="8"/>
        <v>-17.360000000000003</v>
      </c>
      <c r="T77" s="281">
        <f t="shared" si="8"/>
        <v>-17.360000000000003</v>
      </c>
      <c r="U77" s="281">
        <f t="shared" si="8"/>
        <v>-17.360000000000003</v>
      </c>
      <c r="V77" s="281">
        <f t="shared" si="8"/>
        <v>-17.360000000000003</v>
      </c>
      <c r="W77" s="281">
        <f t="shared" si="8"/>
        <v>-17.360000000000003</v>
      </c>
      <c r="X77" s="281">
        <f t="shared" si="8"/>
        <v>-17.360000000000003</v>
      </c>
      <c r="Y77" s="281">
        <f t="shared" si="8"/>
        <v>-17.360000000000003</v>
      </c>
      <c r="Z77" s="281">
        <f t="shared" si="8"/>
        <v>-17.360000000000003</v>
      </c>
      <c r="AA77" s="281">
        <f t="shared" si="8"/>
        <v>-17.360000000000003</v>
      </c>
      <c r="AB77" s="281">
        <f t="shared" si="8"/>
        <v>-17.360000000000003</v>
      </c>
      <c r="AC77" s="281">
        <f t="shared" si="8"/>
        <v>-17.360000000000003</v>
      </c>
      <c r="AD77" s="281">
        <f t="shared" si="8"/>
        <v>-17.360000000000003</v>
      </c>
      <c r="AE77" s="281">
        <f t="shared" si="8"/>
        <v>-17.360000000000003</v>
      </c>
      <c r="AF77" s="281">
        <f t="shared" si="8"/>
        <v>-17.360000000000003</v>
      </c>
      <c r="AG77" s="281">
        <f t="shared" si="8"/>
        <v>-17.360000000000003</v>
      </c>
      <c r="AH77" s="281">
        <f t="shared" si="8"/>
        <v>-17.360000000000003</v>
      </c>
      <c r="AI77" s="281">
        <f t="shared" si="8"/>
        <v>-17.360000000000003</v>
      </c>
    </row>
    <row r="78" spans="1:35">
      <c r="A78" s="540" t="s">
        <v>614</v>
      </c>
      <c r="B78" s="92" t="s">
        <v>298</v>
      </c>
      <c r="C78" s="281" t="s">
        <v>614</v>
      </c>
      <c r="D78" s="92" t="s">
        <v>298</v>
      </c>
      <c r="E78" s="281">
        <f t="array" ref="E78">INDEX(CABS_CVC!$C$3:$O$894,MATCH(1, (CABS_CVC!$A$3:$A$894=Calculs_CABS!C78)*(CABS_CVC!$B$3:$B$894=Calculs_CABS!$D$2),0),MATCH(Calculs_CABS!$D$1,Liste_CABS!$B$3:$B$15,0))</f>
        <v>68</v>
      </c>
    </row>
    <row r="79" spans="1:35">
      <c r="A79" s="540"/>
      <c r="B79" s="281" t="s">
        <v>539</v>
      </c>
      <c r="C79" s="281" t="s">
        <v>614</v>
      </c>
      <c r="D79" s="281" t="s">
        <v>539</v>
      </c>
      <c r="E79" s="281">
        <v>73</v>
      </c>
    </row>
    <row r="80" spans="1:35">
      <c r="A80" s="540"/>
      <c r="B80" s="281" t="s">
        <v>540</v>
      </c>
      <c r="C80" s="281" t="s">
        <v>614</v>
      </c>
      <c r="D80" s="281" t="s">
        <v>540</v>
      </c>
      <c r="E80" s="281">
        <f>E78+E79</f>
        <v>141</v>
      </c>
    </row>
    <row r="81" spans="1:35">
      <c r="A81" s="540"/>
      <c r="B81" s="281" t="s">
        <v>541</v>
      </c>
      <c r="C81" s="281" t="s">
        <v>614</v>
      </c>
      <c r="D81" s="281" t="s">
        <v>541</v>
      </c>
      <c r="E81" s="281">
        <v>0.74</v>
      </c>
    </row>
    <row r="82" spans="1:35">
      <c r="A82" s="540"/>
      <c r="B82" s="281" t="s">
        <v>542</v>
      </c>
      <c r="C82" s="281" t="s">
        <v>614</v>
      </c>
      <c r="D82" s="329" t="s">
        <v>588</v>
      </c>
      <c r="E82" s="281">
        <v>8760</v>
      </c>
      <c r="F82" s="281">
        <f>IF(F$6=$C82,IF(INDEX('Surface DEET'!$Q$9:$W$38,COLUMN(F75)-COLUMN($E$5),1)&gt;0,INDEX('Surface DEET'!$Q$9:$W$38,COLUMN(F75)-COLUMN($E$5),1),$E82),0)</f>
        <v>0</v>
      </c>
      <c r="G82" s="281">
        <f>IF(G$6=$C82,IF(INDEX('Surface DEET'!$Q$9:$W$38,COLUMN(G75)-COLUMN($E$5),1)&gt;0,INDEX('Surface DEET'!$Q$9:$W$38,COLUMN(G75)-COLUMN($E$5),1),$E82),0)</f>
        <v>0</v>
      </c>
      <c r="H82" s="281">
        <f>IF(H$6=$C82,IF(INDEX('Surface DEET'!$Q$9:$W$38,COLUMN(H75)-COLUMN($E$5),1)&gt;0,INDEX('Surface DEET'!$Q$9:$W$38,COLUMN(H75)-COLUMN($E$5),1),$E82),0)</f>
        <v>0</v>
      </c>
      <c r="I82" s="281">
        <f>IF(I$6=$C82,IF(INDEX('Surface DEET'!$Q$9:$W$38,COLUMN(I75)-COLUMN($E$5),1)&gt;0,INDEX('Surface DEET'!$Q$9:$W$38,COLUMN(I75)-COLUMN($E$5),1),$E82),0)</f>
        <v>0</v>
      </c>
      <c r="J82" s="281">
        <f>IF(J$6=$C82,IF(INDEX('Surface DEET'!$Q$9:$W$38,COLUMN(J75)-COLUMN($E$5),1)&gt;0,INDEX('Surface DEET'!$Q$9:$W$38,COLUMN(J75)-COLUMN($E$5),1),$E82),0)</f>
        <v>0</v>
      </c>
      <c r="K82" s="281">
        <f>IF(K$6=$C82,IF(INDEX('Surface DEET'!$Q$9:$W$38,COLUMN(K75)-COLUMN($E$5),1)&gt;0,INDEX('Surface DEET'!$Q$9:$W$38,COLUMN(K75)-COLUMN($E$5),1),$E82),0)</f>
        <v>0</v>
      </c>
      <c r="L82" s="281">
        <f>IF(L$6=$C82,IF(INDEX('Surface DEET'!$Q$9:$W$38,COLUMN(L75)-COLUMN($E$5),1)&gt;0,INDEX('Surface DEET'!$Q$9:$W$38,COLUMN(L75)-COLUMN($E$5),1),$E82),0)</f>
        <v>0</v>
      </c>
      <c r="M82" s="281">
        <f>IF(M$6=$C82,IF(INDEX('Surface DEET'!$Q$9:$W$38,COLUMN(M75)-COLUMN($E$5),1)&gt;0,INDEX('Surface DEET'!$Q$9:$W$38,COLUMN(M75)-COLUMN($E$5),1),$E82),0)</f>
        <v>0</v>
      </c>
      <c r="N82" s="281">
        <f>IF(N$6=$C82,IF(INDEX('Surface DEET'!$Q$9:$W$38,COLUMN(N75)-COLUMN($E$5),1)&gt;0,INDEX('Surface DEET'!$Q$9:$W$38,COLUMN(N75)-COLUMN($E$5),1),$E82),0)</f>
        <v>0</v>
      </c>
      <c r="O82" s="281">
        <f>IF(O$6=$C82,IF(INDEX('Surface DEET'!$Q$9:$W$38,COLUMN(O75)-COLUMN($E$5),1)&gt;0,INDEX('Surface DEET'!$Q$9:$W$38,COLUMN(O75)-COLUMN($E$5),1),$E82),0)</f>
        <v>0</v>
      </c>
      <c r="P82" s="281">
        <f>IF(P$6=$C82,IF(INDEX('Surface DEET'!$Q$9:$W$38,COLUMN(P75)-COLUMN($E$5),1)&gt;0,INDEX('Surface DEET'!$Q$9:$W$38,COLUMN(P75)-COLUMN($E$5),1),$E82),0)</f>
        <v>0</v>
      </c>
      <c r="Q82" s="281">
        <f>IF(Q$6=$C82,IF(INDEX('Surface DEET'!$Q$9:$W$38,COLUMN(Q75)-COLUMN($E$5),1)&gt;0,INDEX('Surface DEET'!$Q$9:$W$38,COLUMN(Q75)-COLUMN($E$5),1),$E82),0)</f>
        <v>0</v>
      </c>
      <c r="R82" s="281">
        <f>IF(R$6=$C82,IF(INDEX('Surface DEET'!$Q$9:$W$38,COLUMN(R75)-COLUMN($E$5),1)&gt;0,INDEX('Surface DEET'!$Q$9:$W$38,COLUMN(R75)-COLUMN($E$5),1),$E82),0)</f>
        <v>0</v>
      </c>
      <c r="S82" s="281">
        <f>IF(S$6=$C82,IF(INDEX('Surface DEET'!$Q$9:$W$38,COLUMN(S75)-COLUMN($E$5),1)&gt;0,INDEX('Surface DEET'!$Q$9:$W$38,COLUMN(S75)-COLUMN($E$5),1),$E82),0)</f>
        <v>0</v>
      </c>
      <c r="T82" s="281">
        <f>IF(T$6=$C82,IF(INDEX('Surface DEET'!$Q$9:$W$38,COLUMN(T75)-COLUMN($E$5),1)&gt;0,INDEX('Surface DEET'!$Q$9:$W$38,COLUMN(T75)-COLUMN($E$5),1),$E82),0)</f>
        <v>0</v>
      </c>
      <c r="U82" s="281">
        <f>IF(U$6=$C82,IF(INDEX('Surface DEET'!$Q$9:$W$38,COLUMN(U75)-COLUMN($E$5),1)&gt;0,INDEX('Surface DEET'!$Q$9:$W$38,COLUMN(U75)-COLUMN($E$5),1),$E82),0)</f>
        <v>0</v>
      </c>
      <c r="V82" s="281">
        <f>IF(V$6=$C82,IF(INDEX('Surface DEET'!$Q$9:$W$38,COLUMN(V75)-COLUMN($E$5),1)&gt;0,INDEX('Surface DEET'!$Q$9:$W$38,COLUMN(V75)-COLUMN($E$5),1),$E82),0)</f>
        <v>0</v>
      </c>
      <c r="W82" s="281">
        <f>IF(W$6=$C82,IF(INDEX('Surface DEET'!$Q$9:$W$38,COLUMN(W75)-COLUMN($E$5),1)&gt;0,INDEX('Surface DEET'!$Q$9:$W$38,COLUMN(W75)-COLUMN($E$5),1),$E82),0)</f>
        <v>0</v>
      </c>
      <c r="X82" s="281">
        <f>IF(X$6=$C82,IF(INDEX('Surface DEET'!$Q$9:$W$38,COLUMN(X75)-COLUMN($E$5),1)&gt;0,INDEX('Surface DEET'!$Q$9:$W$38,COLUMN(X75)-COLUMN($E$5),1),$E82),0)</f>
        <v>0</v>
      </c>
      <c r="Y82" s="281">
        <f>IF(Y$6=$C82,IF(INDEX('Surface DEET'!$Q$9:$W$38,COLUMN(Y75)-COLUMN($E$5),1)&gt;0,INDEX('Surface DEET'!$Q$9:$W$38,COLUMN(Y75)-COLUMN($E$5),1),$E82),0)</f>
        <v>0</v>
      </c>
      <c r="Z82" s="281">
        <f>IF(Z$6=$C82,IF(INDEX('Surface DEET'!$Q$9:$W$38,COLUMN(Z75)-COLUMN($E$5),1)&gt;0,INDEX('Surface DEET'!$Q$9:$W$38,COLUMN(Z75)-COLUMN($E$5),1),$E82),0)</f>
        <v>0</v>
      </c>
      <c r="AA82" s="281">
        <f>IF(AA$6=$C82,IF(INDEX('Surface DEET'!$Q$9:$W$38,COLUMN(AA75)-COLUMN($E$5),1)&gt;0,INDEX('Surface DEET'!$Q$9:$W$38,COLUMN(AA75)-COLUMN($E$5),1),$E82),0)</f>
        <v>0</v>
      </c>
      <c r="AB82" s="281">
        <f>IF(AB$6=$C82,IF(INDEX('Surface DEET'!$Q$9:$W$38,COLUMN(AB75)-COLUMN($E$5),1)&gt;0,INDEX('Surface DEET'!$Q$9:$W$38,COLUMN(AB75)-COLUMN($E$5),1),$E82),0)</f>
        <v>0</v>
      </c>
      <c r="AC82" s="281">
        <f>IF(AC$6=$C82,IF(INDEX('Surface DEET'!$Q$9:$W$38,COLUMN(AC75)-COLUMN($E$5),1)&gt;0,INDEX('Surface DEET'!$Q$9:$W$38,COLUMN(AC75)-COLUMN($E$5),1),$E82),0)</f>
        <v>0</v>
      </c>
      <c r="AD82" s="281">
        <f>IF(AD$6=$C82,IF(INDEX('Surface DEET'!$Q$9:$W$38,COLUMN(AD75)-COLUMN($E$5),1)&gt;0,INDEX('Surface DEET'!$Q$9:$W$38,COLUMN(AD75)-COLUMN($E$5),1),$E82),0)</f>
        <v>0</v>
      </c>
      <c r="AE82" s="281">
        <f>IF(AE$6=$C82,IF(INDEX('Surface DEET'!$Q$9:$W$38,COLUMN(AE75)-COLUMN($E$5),1)&gt;0,INDEX('Surface DEET'!$Q$9:$W$38,COLUMN(AE75)-COLUMN($E$5),1),$E82),0)</f>
        <v>0</v>
      </c>
      <c r="AF82" s="281">
        <f>IF(AF$6=$C82,IF(INDEX('Surface DEET'!$Q$9:$W$38,COLUMN(AF75)-COLUMN($E$5),1)&gt;0,INDEX('Surface DEET'!$Q$9:$W$38,COLUMN(AF75)-COLUMN($E$5),1),$E82),0)</f>
        <v>0</v>
      </c>
      <c r="AG82" s="281">
        <f>IF(AG$6=$C82,IF(INDEX('Surface DEET'!$Q$9:$W$38,COLUMN(AG75)-COLUMN($E$5),1)&gt;0,INDEX('Surface DEET'!$Q$9:$W$38,COLUMN(AG75)-COLUMN($E$5),1),$E82),0)</f>
        <v>0</v>
      </c>
      <c r="AH82" s="281">
        <f>IF(AH$6=$C82,IF(INDEX('Surface DEET'!$Q$9:$W$38,COLUMN(AH75)-COLUMN($E$5),1)&gt;0,INDEX('Surface DEET'!$Q$9:$W$38,COLUMN(AH75)-COLUMN($E$5),1),$E82),0)</f>
        <v>0</v>
      </c>
      <c r="AI82" s="281">
        <f>IF(AI$6=$C82,IF(INDEX('Surface DEET'!$Q$9:$W$38,COLUMN(AI75)-COLUMN($E$5),1)&gt;0,INDEX('Surface DEET'!$Q$9:$W$38,COLUMN(AI75)-COLUMN($E$5),1),$E82),0)</f>
        <v>0</v>
      </c>
    </row>
    <row r="83" spans="1:35">
      <c r="A83" s="540"/>
      <c r="B83" s="281" t="s">
        <v>545</v>
      </c>
      <c r="C83" s="281" t="s">
        <v>614</v>
      </c>
      <c r="D83" s="331" t="s">
        <v>599</v>
      </c>
      <c r="E83" s="331">
        <v>23</v>
      </c>
      <c r="F83" s="281">
        <f>IF(F$6=$C83,IF(INDEX('Surface DEET'!$Q$9:$W$38,COLUMN(F76)-COLUMN($E$5),4)&gt;0,INDEX('Surface DEET'!$Q$9:$W$38,COLUMN(F76)-COLUMN($E$5),4),$E83),0)</f>
        <v>0</v>
      </c>
      <c r="G83" s="281">
        <f>IF(G$6=$C83,IF(INDEX('Surface DEET'!$Q$9:$W$38,COLUMN(G76)-COLUMN($E$5),4)&gt;0,INDEX('Surface DEET'!$Q$9:$W$38,COLUMN(G76)-COLUMN($E$5),4),$E83),0)</f>
        <v>0</v>
      </c>
      <c r="H83" s="281">
        <f>IF(H$6=$C83,IF(INDEX('Surface DEET'!$Q$9:$W$38,COLUMN(H76)-COLUMN($E$5),4)&gt;0,INDEX('Surface DEET'!$Q$9:$W$38,COLUMN(H76)-COLUMN($E$5),4),$E83),0)</f>
        <v>0</v>
      </c>
      <c r="I83" s="281">
        <f>IF(I$6=$C83,IF(INDEX('Surface DEET'!$Q$9:$W$38,COLUMN(I76)-COLUMN($E$5),4)&gt;0,INDEX('Surface DEET'!$Q$9:$W$38,COLUMN(I76)-COLUMN($E$5),4),$E83),0)</f>
        <v>0</v>
      </c>
      <c r="J83" s="281">
        <f>IF(J$6=$C83,IF(INDEX('Surface DEET'!$Q$9:$W$38,COLUMN(J76)-COLUMN($E$5),4)&gt;0,INDEX('Surface DEET'!$Q$9:$W$38,COLUMN(J76)-COLUMN($E$5),4),$E83),0)</f>
        <v>0</v>
      </c>
      <c r="K83" s="281">
        <f>IF(K$6=$C83,IF(INDEX('Surface DEET'!$Q$9:$W$38,COLUMN(K76)-COLUMN($E$5),4)&gt;0,INDEX('Surface DEET'!$Q$9:$W$38,COLUMN(K76)-COLUMN($E$5),4),$E83),0)</f>
        <v>0</v>
      </c>
      <c r="L83" s="281">
        <f>IF(L$6=$C83,IF(INDEX('Surface DEET'!$Q$9:$W$38,COLUMN(L76)-COLUMN($E$5),4)&gt;0,INDEX('Surface DEET'!$Q$9:$W$38,COLUMN(L76)-COLUMN($E$5),4),$E83),0)</f>
        <v>0</v>
      </c>
      <c r="M83" s="281">
        <f>IF(M$6=$C83,IF(INDEX('Surface DEET'!$Q$9:$W$38,COLUMN(M76)-COLUMN($E$5),4)&gt;0,INDEX('Surface DEET'!$Q$9:$W$38,COLUMN(M76)-COLUMN($E$5),4),$E83),0)</f>
        <v>0</v>
      </c>
      <c r="N83" s="281">
        <f>IF(N$6=$C83,IF(INDEX('Surface DEET'!$Q$9:$W$38,COLUMN(N76)-COLUMN($E$5),4)&gt;0,INDEX('Surface DEET'!$Q$9:$W$38,COLUMN(N76)-COLUMN($E$5),4),$E83),0)</f>
        <v>0</v>
      </c>
      <c r="O83" s="281">
        <f>IF(O$6=$C83,IF(INDEX('Surface DEET'!$Q$9:$W$38,COLUMN(O76)-COLUMN($E$5),4)&gt;0,INDEX('Surface DEET'!$Q$9:$W$38,COLUMN(O76)-COLUMN($E$5),4),$E83),0)</f>
        <v>0</v>
      </c>
      <c r="P83" s="281">
        <f>IF(P$6=$C83,IF(INDEX('Surface DEET'!$Q$9:$W$38,COLUMN(P76)-COLUMN($E$5),4)&gt;0,INDEX('Surface DEET'!$Q$9:$W$38,COLUMN(P76)-COLUMN($E$5),4),$E83),0)</f>
        <v>0</v>
      </c>
      <c r="Q83" s="281">
        <f>IF(Q$6=$C83,IF(INDEX('Surface DEET'!$Q$9:$W$38,COLUMN(Q76)-COLUMN($E$5),4)&gt;0,INDEX('Surface DEET'!$Q$9:$W$38,COLUMN(Q76)-COLUMN($E$5),4),$E83),0)</f>
        <v>0</v>
      </c>
      <c r="R83" s="281">
        <f>IF(R$6=$C83,IF(INDEX('Surface DEET'!$Q$9:$W$38,COLUMN(R76)-COLUMN($E$5),4)&gt;0,INDEX('Surface DEET'!$Q$9:$W$38,COLUMN(R76)-COLUMN($E$5),4),$E83),0)</f>
        <v>0</v>
      </c>
      <c r="S83" s="281">
        <f>IF(S$6=$C83,IF(INDEX('Surface DEET'!$Q$9:$W$38,COLUMN(S76)-COLUMN($E$5),4)&gt;0,INDEX('Surface DEET'!$Q$9:$W$38,COLUMN(S76)-COLUMN($E$5),4),$E83),0)</f>
        <v>0</v>
      </c>
      <c r="T83" s="281">
        <f>IF(T$6=$C83,IF(INDEX('Surface DEET'!$Q$9:$W$38,COLUMN(T76)-COLUMN($E$5),4)&gt;0,INDEX('Surface DEET'!$Q$9:$W$38,COLUMN(T76)-COLUMN($E$5),4),$E83),0)</f>
        <v>0</v>
      </c>
      <c r="U83" s="281">
        <f>IF(U$6=$C83,IF(INDEX('Surface DEET'!$Q$9:$W$38,COLUMN(U76)-COLUMN($E$5),4)&gt;0,INDEX('Surface DEET'!$Q$9:$W$38,COLUMN(U76)-COLUMN($E$5),4),$E83),0)</f>
        <v>0</v>
      </c>
      <c r="V83" s="281">
        <f>IF(V$6=$C83,IF(INDEX('Surface DEET'!$Q$9:$W$38,COLUMN(V76)-COLUMN($E$5),4)&gt;0,INDEX('Surface DEET'!$Q$9:$W$38,COLUMN(V76)-COLUMN($E$5),4),$E83),0)</f>
        <v>0</v>
      </c>
      <c r="W83" s="281">
        <f>IF(W$6=$C83,IF(INDEX('Surface DEET'!$Q$9:$W$38,COLUMN(W76)-COLUMN($E$5),4)&gt;0,INDEX('Surface DEET'!$Q$9:$W$38,COLUMN(W76)-COLUMN($E$5),4),$E83),0)</f>
        <v>0</v>
      </c>
      <c r="X83" s="281">
        <f>IF(X$6=$C83,IF(INDEX('Surface DEET'!$Q$9:$W$38,COLUMN(X76)-COLUMN($E$5),4)&gt;0,INDEX('Surface DEET'!$Q$9:$W$38,COLUMN(X76)-COLUMN($E$5),4),$E83),0)</f>
        <v>0</v>
      </c>
      <c r="Y83" s="281">
        <f>IF(Y$6=$C83,IF(INDEX('Surface DEET'!$Q$9:$W$38,COLUMN(Y76)-COLUMN($E$5),4)&gt;0,INDEX('Surface DEET'!$Q$9:$W$38,COLUMN(Y76)-COLUMN($E$5),4),$E83),0)</f>
        <v>0</v>
      </c>
      <c r="Z83" s="281">
        <f>IF(Z$6=$C83,IF(INDEX('Surface DEET'!$Q$9:$W$38,COLUMN(Z76)-COLUMN($E$5),4)&gt;0,INDEX('Surface DEET'!$Q$9:$W$38,COLUMN(Z76)-COLUMN($E$5),4),$E83),0)</f>
        <v>0</v>
      </c>
      <c r="AA83" s="281">
        <f>IF(AA$6=$C83,IF(INDEX('Surface DEET'!$Q$9:$W$38,COLUMN(AA76)-COLUMN($E$5),4)&gt;0,INDEX('Surface DEET'!$Q$9:$W$38,COLUMN(AA76)-COLUMN($E$5),4),$E83),0)</f>
        <v>0</v>
      </c>
      <c r="AB83" s="281">
        <f>IF(AB$6=$C83,IF(INDEX('Surface DEET'!$Q$9:$W$38,COLUMN(AB76)-COLUMN($E$5),4)&gt;0,INDEX('Surface DEET'!$Q$9:$W$38,COLUMN(AB76)-COLUMN($E$5),4),$E83),0)</f>
        <v>0</v>
      </c>
      <c r="AC83" s="281">
        <f>IF(AC$6=$C83,IF(INDEX('Surface DEET'!$Q$9:$W$38,COLUMN(AC76)-COLUMN($E$5),4)&gt;0,INDEX('Surface DEET'!$Q$9:$W$38,COLUMN(AC76)-COLUMN($E$5),4),$E83),0)</f>
        <v>0</v>
      </c>
      <c r="AD83" s="281">
        <f>IF(AD$6=$C83,IF(INDEX('Surface DEET'!$Q$9:$W$38,COLUMN(AD76)-COLUMN($E$5),4)&gt;0,INDEX('Surface DEET'!$Q$9:$W$38,COLUMN(AD76)-COLUMN($E$5),4),$E83),0)</f>
        <v>0</v>
      </c>
      <c r="AE83" s="281">
        <f>IF(AE$6=$C83,IF(INDEX('Surface DEET'!$Q$9:$W$38,COLUMN(AE76)-COLUMN($E$5),4)&gt;0,INDEX('Surface DEET'!$Q$9:$W$38,COLUMN(AE76)-COLUMN($E$5),4),$E83),0)</f>
        <v>0</v>
      </c>
      <c r="AF83" s="281">
        <f>IF(AF$6=$C83,IF(INDEX('Surface DEET'!$Q$9:$W$38,COLUMN(AF76)-COLUMN($E$5),4)&gt;0,INDEX('Surface DEET'!$Q$9:$W$38,COLUMN(AF76)-COLUMN($E$5),4),$E83),0)</f>
        <v>0</v>
      </c>
      <c r="AG83" s="281">
        <f>IF(AG$6=$C83,IF(INDEX('Surface DEET'!$Q$9:$W$38,COLUMN(AG76)-COLUMN($E$5),4)&gt;0,INDEX('Surface DEET'!$Q$9:$W$38,COLUMN(AG76)-COLUMN($E$5),4),$E83),0)</f>
        <v>0</v>
      </c>
      <c r="AH83" s="281">
        <f>IF(AH$6=$C83,IF(INDEX('Surface DEET'!$Q$9:$W$38,COLUMN(AH76)-COLUMN($E$5),4)&gt;0,INDEX('Surface DEET'!$Q$9:$W$38,COLUMN(AH76)-COLUMN($E$5),4),$E83),0)</f>
        <v>0</v>
      </c>
      <c r="AI83" s="281">
        <f>IF(AI$6=$C83,IF(INDEX('Surface DEET'!$Q$9:$W$38,COLUMN(AI76)-COLUMN($E$5),4)&gt;0,INDEX('Surface DEET'!$Q$9:$W$38,COLUMN(AI76)-COLUMN($E$5),4),$E83),0)</f>
        <v>0</v>
      </c>
    </row>
    <row r="84" spans="1:35">
      <c r="A84" s="540"/>
      <c r="B84" s="281" t="s">
        <v>538</v>
      </c>
      <c r="C84" s="281" t="s">
        <v>614</v>
      </c>
      <c r="D84" s="281" t="s">
        <v>538</v>
      </c>
      <c r="F84" s="281">
        <f>IFERROR($E$79*(F82/$E$82)*(($E$81*($E$83/F83))+(1-$E$81))+0.28*$E$78*(F82-$E$82)/$E$82,0)</f>
        <v>0</v>
      </c>
      <c r="G84" s="281">
        <f t="shared" ref="G84:AI84" si="9">IFERROR($E$79*(G82/$E$82)*(($E$81*($E$83/G83))+(1-$E$81))+0.28*$E$78*(G82-$E$82)/$E$82,0)</f>
        <v>0</v>
      </c>
      <c r="H84" s="281">
        <f t="shared" si="9"/>
        <v>0</v>
      </c>
      <c r="I84" s="281">
        <f t="shared" si="9"/>
        <v>0</v>
      </c>
      <c r="J84" s="281">
        <f t="shared" si="9"/>
        <v>0</v>
      </c>
      <c r="K84" s="281">
        <f t="shared" si="9"/>
        <v>0</v>
      </c>
      <c r="L84" s="281">
        <f t="shared" si="9"/>
        <v>0</v>
      </c>
      <c r="M84" s="281">
        <f t="shared" si="9"/>
        <v>0</v>
      </c>
      <c r="N84" s="281">
        <f t="shared" si="9"/>
        <v>0</v>
      </c>
      <c r="O84" s="281">
        <f t="shared" si="9"/>
        <v>0</v>
      </c>
      <c r="P84" s="281">
        <f t="shared" si="9"/>
        <v>0</v>
      </c>
      <c r="Q84" s="281">
        <f t="shared" si="9"/>
        <v>0</v>
      </c>
      <c r="R84" s="281">
        <f t="shared" si="9"/>
        <v>0</v>
      </c>
      <c r="S84" s="281">
        <f t="shared" si="9"/>
        <v>0</v>
      </c>
      <c r="T84" s="281">
        <f t="shared" si="9"/>
        <v>0</v>
      </c>
      <c r="U84" s="281">
        <f t="shared" si="9"/>
        <v>0</v>
      </c>
      <c r="V84" s="281">
        <f t="shared" si="9"/>
        <v>0</v>
      </c>
      <c r="W84" s="281">
        <f t="shared" si="9"/>
        <v>0</v>
      </c>
      <c r="X84" s="281">
        <f t="shared" si="9"/>
        <v>0</v>
      </c>
      <c r="Y84" s="281">
        <f t="shared" si="9"/>
        <v>0</v>
      </c>
      <c r="Z84" s="281">
        <f t="shared" si="9"/>
        <v>0</v>
      </c>
      <c r="AA84" s="281">
        <f t="shared" si="9"/>
        <v>0</v>
      </c>
      <c r="AB84" s="281">
        <f t="shared" si="9"/>
        <v>0</v>
      </c>
      <c r="AC84" s="281">
        <f t="shared" si="9"/>
        <v>0</v>
      </c>
      <c r="AD84" s="281">
        <f t="shared" si="9"/>
        <v>0</v>
      </c>
      <c r="AE84" s="281">
        <f t="shared" si="9"/>
        <v>0</v>
      </c>
      <c r="AF84" s="281">
        <f t="shared" si="9"/>
        <v>0</v>
      </c>
      <c r="AG84" s="281">
        <f t="shared" si="9"/>
        <v>0</v>
      </c>
      <c r="AH84" s="281">
        <f t="shared" si="9"/>
        <v>0</v>
      </c>
      <c r="AI84" s="281">
        <f t="shared" si="9"/>
        <v>0</v>
      </c>
    </row>
    <row r="85" spans="1:35">
      <c r="A85" s="540" t="s">
        <v>615</v>
      </c>
      <c r="B85" s="92" t="s">
        <v>298</v>
      </c>
      <c r="C85" s="32" t="s">
        <v>615</v>
      </c>
      <c r="D85" s="92" t="s">
        <v>298</v>
      </c>
      <c r="E85" s="281">
        <f t="array" ref="E85">INDEX(CABS_CVC!$C$3:$O$870,MATCH(1, (CABS_CVC!$A$3:$A$870=Calculs_CABS!C85)*(CABS_CVC!$B$3:$B$870=Calculs_CABS!$D$2),0),MATCH(Calculs_CABS!$D$1,Liste_CABS!$B$3:$B$15,0))</f>
        <v>53</v>
      </c>
    </row>
    <row r="86" spans="1:35">
      <c r="A86" s="540"/>
      <c r="B86" s="281" t="s">
        <v>539</v>
      </c>
      <c r="C86" s="32" t="s">
        <v>615</v>
      </c>
      <c r="D86" s="281" t="s">
        <v>539</v>
      </c>
      <c r="E86" s="332">
        <v>130</v>
      </c>
    </row>
    <row r="87" spans="1:35">
      <c r="A87" s="540"/>
      <c r="B87" s="281" t="s">
        <v>540</v>
      </c>
      <c r="C87" s="32" t="s">
        <v>615</v>
      </c>
      <c r="D87" s="281" t="s">
        <v>540</v>
      </c>
      <c r="E87" s="281">
        <f>E85+E86</f>
        <v>183</v>
      </c>
    </row>
    <row r="88" spans="1:35">
      <c r="A88" s="540"/>
      <c r="B88" s="281" t="s">
        <v>541</v>
      </c>
      <c r="C88" s="32" t="s">
        <v>615</v>
      </c>
      <c r="D88" s="281" t="s">
        <v>541</v>
      </c>
      <c r="E88" s="281">
        <v>0.95</v>
      </c>
    </row>
    <row r="89" spans="1:35">
      <c r="A89" s="540"/>
      <c r="B89" s="281" t="s">
        <v>542</v>
      </c>
      <c r="C89" s="32" t="s">
        <v>615</v>
      </c>
      <c r="D89" s="329" t="s">
        <v>605</v>
      </c>
      <c r="E89" s="333">
        <v>780</v>
      </c>
      <c r="F89" s="281">
        <f>IF(F$6=$C89,IF(INDEX('Surface DEET'!$Q$9:$W$38,COLUMN(F82)-COLUMN($E$5),1)&gt;0,INDEX('Surface DEET'!$Q$9:$W$38,COLUMN(F82)-COLUMN($E$5),1),$E89),0)</f>
        <v>0</v>
      </c>
      <c r="G89" s="281">
        <f>IF(G$6=$C89,IF(INDEX('Surface DEET'!$Q$9:$W$38,COLUMN(G82)-COLUMN($E$5),1)&gt;0,INDEX('Surface DEET'!$Q$9:$W$38,COLUMN(G82)-COLUMN($E$5),1),$E89),0)</f>
        <v>0</v>
      </c>
      <c r="H89" s="281">
        <f>IF(H$6=$C89,IF(INDEX('Surface DEET'!$Q$9:$W$38,COLUMN(H82)-COLUMN($E$5),1)&gt;0,INDEX('Surface DEET'!$Q$9:$W$38,COLUMN(H82)-COLUMN($E$5),1),$E89),0)</f>
        <v>0</v>
      </c>
      <c r="I89" s="281">
        <f>IF(I$6=$C89,IF(INDEX('Surface DEET'!$Q$9:$W$38,COLUMN(I82)-COLUMN($E$5),1)&gt;0,INDEX('Surface DEET'!$Q$9:$W$38,COLUMN(I82)-COLUMN($E$5),1),$E89),0)</f>
        <v>0</v>
      </c>
      <c r="J89" s="281">
        <f>IF(J$6=$C89,IF(INDEX('Surface DEET'!$Q$9:$W$38,COLUMN(J82)-COLUMN($E$5),1)&gt;0,INDEX('Surface DEET'!$Q$9:$W$38,COLUMN(J82)-COLUMN($E$5),1),$E89),0)</f>
        <v>0</v>
      </c>
      <c r="K89" s="281">
        <f>IF(K$6=$C89,IF(INDEX('Surface DEET'!$Q$9:$W$38,COLUMN(K82)-COLUMN($E$5),1)&gt;0,INDEX('Surface DEET'!$Q$9:$W$38,COLUMN(K82)-COLUMN($E$5),1),$E89),0)</f>
        <v>0</v>
      </c>
      <c r="L89" s="281">
        <f>IF(L$6=$C89,IF(INDEX('Surface DEET'!$Q$9:$W$38,COLUMN(L82)-COLUMN($E$5),1)&gt;0,INDEX('Surface DEET'!$Q$9:$W$38,COLUMN(L82)-COLUMN($E$5),1),$E89),0)</f>
        <v>0</v>
      </c>
      <c r="M89" s="281">
        <f>IF(M$6=$C89,IF(INDEX('Surface DEET'!$Q$9:$W$38,COLUMN(M82)-COLUMN($E$5),1)&gt;0,INDEX('Surface DEET'!$Q$9:$W$38,COLUMN(M82)-COLUMN($E$5),1),$E89),0)</f>
        <v>0</v>
      </c>
      <c r="N89" s="281">
        <f>IF(N$6=$C89,IF(INDEX('Surface DEET'!$Q$9:$W$38,COLUMN(N82)-COLUMN($E$5),1)&gt;0,INDEX('Surface DEET'!$Q$9:$W$38,COLUMN(N82)-COLUMN($E$5),1),$E89),0)</f>
        <v>0</v>
      </c>
      <c r="O89" s="281">
        <f>IF(O$6=$C89,IF(INDEX('Surface DEET'!$Q$9:$W$38,COLUMN(O82)-COLUMN($E$5),1)&gt;0,INDEX('Surface DEET'!$Q$9:$W$38,COLUMN(O82)-COLUMN($E$5),1),$E89),0)</f>
        <v>0</v>
      </c>
      <c r="P89" s="281">
        <f>IF(P$6=$C89,IF(INDEX('Surface DEET'!$Q$9:$W$38,COLUMN(P82)-COLUMN($E$5),1)&gt;0,INDEX('Surface DEET'!$Q$9:$W$38,COLUMN(P82)-COLUMN($E$5),1),$E89),0)</f>
        <v>0</v>
      </c>
      <c r="Q89" s="281">
        <f>IF(Q$6=$C89,IF(INDEX('Surface DEET'!$Q$9:$W$38,COLUMN(Q82)-COLUMN($E$5),1)&gt;0,INDEX('Surface DEET'!$Q$9:$W$38,COLUMN(Q82)-COLUMN($E$5),1),$E89),0)</f>
        <v>0</v>
      </c>
      <c r="R89" s="281">
        <f>IF(R$6=$C89,IF(INDEX('Surface DEET'!$Q$9:$W$38,COLUMN(R82)-COLUMN($E$5),1)&gt;0,INDEX('Surface DEET'!$Q$9:$W$38,COLUMN(R82)-COLUMN($E$5),1),$E89),0)</f>
        <v>0</v>
      </c>
      <c r="S89" s="281">
        <f>IF(S$6=$C89,IF(INDEX('Surface DEET'!$Q$9:$W$38,COLUMN(S82)-COLUMN($E$5),1)&gt;0,INDEX('Surface DEET'!$Q$9:$W$38,COLUMN(S82)-COLUMN($E$5),1),$E89),0)</f>
        <v>0</v>
      </c>
      <c r="T89" s="281">
        <f>IF(T$6=$C89,IF(INDEX('Surface DEET'!$Q$9:$W$38,COLUMN(T82)-COLUMN($E$5),1)&gt;0,INDEX('Surface DEET'!$Q$9:$W$38,COLUMN(T82)-COLUMN($E$5),1),$E89),0)</f>
        <v>0</v>
      </c>
      <c r="U89" s="281">
        <f>IF(U$6=$C89,IF(INDEX('Surface DEET'!$Q$9:$W$38,COLUMN(U82)-COLUMN($E$5),1)&gt;0,INDEX('Surface DEET'!$Q$9:$W$38,COLUMN(U82)-COLUMN($E$5),1),$E89),0)</f>
        <v>0</v>
      </c>
      <c r="V89" s="281">
        <f>IF(V$6=$C89,IF(INDEX('Surface DEET'!$Q$9:$W$38,COLUMN(V82)-COLUMN($E$5),1)&gt;0,INDEX('Surface DEET'!$Q$9:$W$38,COLUMN(V82)-COLUMN($E$5),1),$E89),0)</f>
        <v>0</v>
      </c>
      <c r="W89" s="281">
        <f>IF(W$6=$C89,IF(INDEX('Surface DEET'!$Q$9:$W$38,COLUMN(W82)-COLUMN($E$5),1)&gt;0,INDEX('Surface DEET'!$Q$9:$W$38,COLUMN(W82)-COLUMN($E$5),1),$E89),0)</f>
        <v>0</v>
      </c>
      <c r="X89" s="281">
        <f>IF(X$6=$C89,IF(INDEX('Surface DEET'!$Q$9:$W$38,COLUMN(X82)-COLUMN($E$5),1)&gt;0,INDEX('Surface DEET'!$Q$9:$W$38,COLUMN(X82)-COLUMN($E$5),1),$E89),0)</f>
        <v>0</v>
      </c>
      <c r="Y89" s="281">
        <f>IF(Y$6=$C89,IF(INDEX('Surface DEET'!$Q$9:$W$38,COLUMN(Y82)-COLUMN($E$5),1)&gt;0,INDEX('Surface DEET'!$Q$9:$W$38,COLUMN(Y82)-COLUMN($E$5),1),$E89),0)</f>
        <v>0</v>
      </c>
      <c r="Z89" s="281">
        <f>IF(Z$6=$C89,IF(INDEX('Surface DEET'!$Q$9:$W$38,COLUMN(Z82)-COLUMN($E$5),1)&gt;0,INDEX('Surface DEET'!$Q$9:$W$38,COLUMN(Z82)-COLUMN($E$5),1),$E89),0)</f>
        <v>0</v>
      </c>
      <c r="AA89" s="281">
        <f>IF(AA$6=$C89,IF(INDEX('Surface DEET'!$Q$9:$W$38,COLUMN(AA82)-COLUMN($E$5),1)&gt;0,INDEX('Surface DEET'!$Q$9:$W$38,COLUMN(AA82)-COLUMN($E$5),1),$E89),0)</f>
        <v>0</v>
      </c>
      <c r="AB89" s="281">
        <f>IF(AB$6=$C89,IF(INDEX('Surface DEET'!$Q$9:$W$38,COLUMN(AB82)-COLUMN($E$5),1)&gt;0,INDEX('Surface DEET'!$Q$9:$W$38,COLUMN(AB82)-COLUMN($E$5),1),$E89),0)</f>
        <v>0</v>
      </c>
      <c r="AC89" s="281">
        <f>IF(AC$6=$C89,IF(INDEX('Surface DEET'!$Q$9:$W$38,COLUMN(AC82)-COLUMN($E$5),1)&gt;0,INDEX('Surface DEET'!$Q$9:$W$38,COLUMN(AC82)-COLUMN($E$5),1),$E89),0)</f>
        <v>0</v>
      </c>
      <c r="AD89" s="281">
        <f>IF(AD$6=$C89,IF(INDEX('Surface DEET'!$Q$9:$W$38,COLUMN(AD82)-COLUMN($E$5),1)&gt;0,INDEX('Surface DEET'!$Q$9:$W$38,COLUMN(AD82)-COLUMN($E$5),1),$E89),0)</f>
        <v>0</v>
      </c>
      <c r="AE89" s="281">
        <f>IF(AE$6=$C89,IF(INDEX('Surface DEET'!$Q$9:$W$38,COLUMN(AE82)-COLUMN($E$5),1)&gt;0,INDEX('Surface DEET'!$Q$9:$W$38,COLUMN(AE82)-COLUMN($E$5),1),$E89),0)</f>
        <v>0</v>
      </c>
      <c r="AF89" s="281">
        <f>IF(AF$6=$C89,IF(INDEX('Surface DEET'!$Q$9:$W$38,COLUMN(AF82)-COLUMN($E$5),1)&gt;0,INDEX('Surface DEET'!$Q$9:$W$38,COLUMN(AF82)-COLUMN($E$5),1),$E89),0)</f>
        <v>0</v>
      </c>
      <c r="AG89" s="281">
        <f>IF(AG$6=$C89,IF(INDEX('Surface DEET'!$Q$9:$W$38,COLUMN(AG82)-COLUMN($E$5),1)&gt;0,INDEX('Surface DEET'!$Q$9:$W$38,COLUMN(AG82)-COLUMN($E$5),1),$E89),0)</f>
        <v>0</v>
      </c>
      <c r="AH89" s="281">
        <f>IF(AH$6=$C89,IF(INDEX('Surface DEET'!$Q$9:$W$38,COLUMN(AH82)-COLUMN($E$5),1)&gt;0,INDEX('Surface DEET'!$Q$9:$W$38,COLUMN(AH82)-COLUMN($E$5),1),$E89),0)</f>
        <v>0</v>
      </c>
      <c r="AI89" s="281">
        <f>IF(AI$6=$C89,IF(INDEX('Surface DEET'!$Q$9:$W$38,COLUMN(AI82)-COLUMN($E$5),1)&gt;0,INDEX('Surface DEET'!$Q$9:$W$38,COLUMN(AI82)-COLUMN($E$5),1),$E89),0)</f>
        <v>0</v>
      </c>
    </row>
    <row r="90" spans="1:35">
      <c r="A90" s="540"/>
      <c r="B90" s="281" t="s">
        <v>545</v>
      </c>
      <c r="C90" s="32" t="s">
        <v>615</v>
      </c>
      <c r="D90" s="329" t="s">
        <v>606</v>
      </c>
      <c r="E90" s="332">
        <v>16</v>
      </c>
      <c r="F90" s="281">
        <f>IF(F$6=$C90,IF(INDEX('Surface DEET'!$Q$9:$W$38,COLUMN(F83)-COLUMN($E$5),4)&gt;0,INDEX('Surface DEET'!$Q$9:$W$38,COLUMN(F83)-COLUMN($E$5),4),$E90),0)</f>
        <v>0</v>
      </c>
      <c r="G90" s="281">
        <f>IF(G$6=$C90,IF(INDEX('Surface DEET'!$Q$9:$W$38,COLUMN(G83)-COLUMN($E$5),4)&gt;0,INDEX('Surface DEET'!$Q$9:$W$38,COLUMN(G83)-COLUMN($E$5),4),$E90),0)</f>
        <v>0</v>
      </c>
      <c r="H90" s="281">
        <f>IF(H$6=$C90,IF(INDEX('Surface DEET'!$Q$9:$W$38,COLUMN(H83)-COLUMN($E$5),4)&gt;0,INDEX('Surface DEET'!$Q$9:$W$38,COLUMN(H83)-COLUMN($E$5),4),$E90),0)</f>
        <v>0</v>
      </c>
      <c r="I90" s="281">
        <f>IF(I$6=$C90,IF(INDEX('Surface DEET'!$Q$9:$W$38,COLUMN(I83)-COLUMN($E$5),4)&gt;0,INDEX('Surface DEET'!$Q$9:$W$38,COLUMN(I83)-COLUMN($E$5),4),$E90),0)</f>
        <v>0</v>
      </c>
      <c r="J90" s="281">
        <f>IF(J$6=$C90,IF(INDEX('Surface DEET'!$Q$9:$W$38,COLUMN(J83)-COLUMN($E$5),4)&gt;0,INDEX('Surface DEET'!$Q$9:$W$38,COLUMN(J83)-COLUMN($E$5),4),$E90),0)</f>
        <v>0</v>
      </c>
      <c r="K90" s="281">
        <f>IF(K$6=$C90,IF(INDEX('Surface DEET'!$Q$9:$W$38,COLUMN(K83)-COLUMN($E$5),4)&gt;0,INDEX('Surface DEET'!$Q$9:$W$38,COLUMN(K83)-COLUMN($E$5),4),$E90),0)</f>
        <v>0</v>
      </c>
      <c r="L90" s="281">
        <f>IF(L$6=$C90,IF(INDEX('Surface DEET'!$Q$9:$W$38,COLUMN(L83)-COLUMN($E$5),4)&gt;0,INDEX('Surface DEET'!$Q$9:$W$38,COLUMN(L83)-COLUMN($E$5),4),$E90),0)</f>
        <v>0</v>
      </c>
      <c r="M90" s="281">
        <f>IF(M$6=$C90,IF(INDEX('Surface DEET'!$Q$9:$W$38,COLUMN(M83)-COLUMN($E$5),4)&gt;0,INDEX('Surface DEET'!$Q$9:$W$38,COLUMN(M83)-COLUMN($E$5),4),$E90),0)</f>
        <v>0</v>
      </c>
      <c r="N90" s="281">
        <f>IF(N$6=$C90,IF(INDEX('Surface DEET'!$Q$9:$W$38,COLUMN(N83)-COLUMN($E$5),4)&gt;0,INDEX('Surface DEET'!$Q$9:$W$38,COLUMN(N83)-COLUMN($E$5),4),$E90),0)</f>
        <v>0</v>
      </c>
      <c r="O90" s="281">
        <f>IF(O$6=$C90,IF(INDEX('Surface DEET'!$Q$9:$W$38,COLUMN(O83)-COLUMN($E$5),4)&gt;0,INDEX('Surface DEET'!$Q$9:$W$38,COLUMN(O83)-COLUMN($E$5),4),$E90),0)</f>
        <v>0</v>
      </c>
      <c r="P90" s="281">
        <f>IF(P$6=$C90,IF(INDEX('Surface DEET'!$Q$9:$W$38,COLUMN(P83)-COLUMN($E$5),4)&gt;0,INDEX('Surface DEET'!$Q$9:$W$38,COLUMN(P83)-COLUMN($E$5),4),$E90),0)</f>
        <v>0</v>
      </c>
      <c r="Q90" s="281">
        <f>IF(Q$6=$C90,IF(INDEX('Surface DEET'!$Q$9:$W$38,COLUMN(Q83)-COLUMN($E$5),4)&gt;0,INDEX('Surface DEET'!$Q$9:$W$38,COLUMN(Q83)-COLUMN($E$5),4),$E90),0)</f>
        <v>0</v>
      </c>
      <c r="R90" s="281">
        <f>IF(R$6=$C90,IF(INDEX('Surface DEET'!$Q$9:$W$38,COLUMN(R83)-COLUMN($E$5),4)&gt;0,INDEX('Surface DEET'!$Q$9:$W$38,COLUMN(R83)-COLUMN($E$5),4),$E90),0)</f>
        <v>0</v>
      </c>
      <c r="S90" s="281">
        <f>IF(S$6=$C90,IF(INDEX('Surface DEET'!$Q$9:$W$38,COLUMN(S83)-COLUMN($E$5),4)&gt;0,INDEX('Surface DEET'!$Q$9:$W$38,COLUMN(S83)-COLUMN($E$5),4),$E90),0)</f>
        <v>0</v>
      </c>
      <c r="T90" s="281">
        <f>IF(T$6=$C90,IF(INDEX('Surface DEET'!$Q$9:$W$38,COLUMN(T83)-COLUMN($E$5),4)&gt;0,INDEX('Surface DEET'!$Q$9:$W$38,COLUMN(T83)-COLUMN($E$5),4),$E90),0)</f>
        <v>0</v>
      </c>
      <c r="U90" s="281">
        <f>IF(U$6=$C90,IF(INDEX('Surface DEET'!$Q$9:$W$38,COLUMN(U83)-COLUMN($E$5),4)&gt;0,INDEX('Surface DEET'!$Q$9:$W$38,COLUMN(U83)-COLUMN($E$5),4),$E90),0)</f>
        <v>0</v>
      </c>
      <c r="V90" s="281">
        <f>IF(V$6=$C90,IF(INDEX('Surface DEET'!$Q$9:$W$38,COLUMN(V83)-COLUMN($E$5),4)&gt;0,INDEX('Surface DEET'!$Q$9:$W$38,COLUMN(V83)-COLUMN($E$5),4),$E90),0)</f>
        <v>0</v>
      </c>
      <c r="W90" s="281">
        <f>IF(W$6=$C90,IF(INDEX('Surface DEET'!$Q$9:$W$38,COLUMN(W83)-COLUMN($E$5),4)&gt;0,INDEX('Surface DEET'!$Q$9:$W$38,COLUMN(W83)-COLUMN($E$5),4),$E90),0)</f>
        <v>0</v>
      </c>
      <c r="X90" s="281">
        <f>IF(X$6=$C90,IF(INDEX('Surface DEET'!$Q$9:$W$38,COLUMN(X83)-COLUMN($E$5),4)&gt;0,INDEX('Surface DEET'!$Q$9:$W$38,COLUMN(X83)-COLUMN($E$5),4),$E90),0)</f>
        <v>0</v>
      </c>
      <c r="Y90" s="281">
        <f>IF(Y$6=$C90,IF(INDEX('Surface DEET'!$Q$9:$W$38,COLUMN(Y83)-COLUMN($E$5),4)&gt;0,INDEX('Surface DEET'!$Q$9:$W$38,COLUMN(Y83)-COLUMN($E$5),4),$E90),0)</f>
        <v>0</v>
      </c>
      <c r="Z90" s="281">
        <f>IF(Z$6=$C90,IF(INDEX('Surface DEET'!$Q$9:$W$38,COLUMN(Z83)-COLUMN($E$5),4)&gt;0,INDEX('Surface DEET'!$Q$9:$W$38,COLUMN(Z83)-COLUMN($E$5),4),$E90),0)</f>
        <v>0</v>
      </c>
      <c r="AA90" s="281">
        <f>IF(AA$6=$C90,IF(INDEX('Surface DEET'!$Q$9:$W$38,COLUMN(AA83)-COLUMN($E$5),4)&gt;0,INDEX('Surface DEET'!$Q$9:$W$38,COLUMN(AA83)-COLUMN($E$5),4),$E90),0)</f>
        <v>0</v>
      </c>
      <c r="AB90" s="281">
        <f>IF(AB$6=$C90,IF(INDEX('Surface DEET'!$Q$9:$W$38,COLUMN(AB83)-COLUMN($E$5),4)&gt;0,INDEX('Surface DEET'!$Q$9:$W$38,COLUMN(AB83)-COLUMN($E$5),4),$E90),0)</f>
        <v>0</v>
      </c>
      <c r="AC90" s="281">
        <f>IF(AC$6=$C90,IF(INDEX('Surface DEET'!$Q$9:$W$38,COLUMN(AC83)-COLUMN($E$5),4)&gt;0,INDEX('Surface DEET'!$Q$9:$W$38,COLUMN(AC83)-COLUMN($E$5),4),$E90),0)</f>
        <v>0</v>
      </c>
      <c r="AD90" s="281">
        <f>IF(AD$6=$C90,IF(INDEX('Surface DEET'!$Q$9:$W$38,COLUMN(AD83)-COLUMN($E$5),4)&gt;0,INDEX('Surface DEET'!$Q$9:$W$38,COLUMN(AD83)-COLUMN($E$5),4),$E90),0)</f>
        <v>0</v>
      </c>
      <c r="AE90" s="281">
        <f>IF(AE$6=$C90,IF(INDEX('Surface DEET'!$Q$9:$W$38,COLUMN(AE83)-COLUMN($E$5),4)&gt;0,INDEX('Surface DEET'!$Q$9:$W$38,COLUMN(AE83)-COLUMN($E$5),4),$E90),0)</f>
        <v>0</v>
      </c>
      <c r="AF90" s="281">
        <f>IF(AF$6=$C90,IF(INDEX('Surface DEET'!$Q$9:$W$38,COLUMN(AF83)-COLUMN($E$5),4)&gt;0,INDEX('Surface DEET'!$Q$9:$W$38,COLUMN(AF83)-COLUMN($E$5),4),$E90),0)</f>
        <v>0</v>
      </c>
      <c r="AG90" s="281">
        <f>IF(AG$6=$C90,IF(INDEX('Surface DEET'!$Q$9:$W$38,COLUMN(AG83)-COLUMN($E$5),4)&gt;0,INDEX('Surface DEET'!$Q$9:$W$38,COLUMN(AG83)-COLUMN($E$5),4),$E90),0)</f>
        <v>0</v>
      </c>
      <c r="AH90" s="281">
        <f>IF(AH$6=$C90,IF(INDEX('Surface DEET'!$Q$9:$W$38,COLUMN(AH83)-COLUMN($E$5),4)&gt;0,INDEX('Surface DEET'!$Q$9:$W$38,COLUMN(AH83)-COLUMN($E$5),4),$E90),0)</f>
        <v>0</v>
      </c>
      <c r="AI90" s="281">
        <f>IF(AI$6=$C90,IF(INDEX('Surface DEET'!$Q$9:$W$38,COLUMN(AI83)-COLUMN($E$5),4)&gt;0,INDEX('Surface DEET'!$Q$9:$W$38,COLUMN(AI83)-COLUMN($E$5),4),$E90),0)</f>
        <v>0</v>
      </c>
    </row>
    <row r="91" spans="1:35">
      <c r="A91" s="540"/>
      <c r="B91" s="281" t="s">
        <v>548</v>
      </c>
      <c r="C91" s="32" t="s">
        <v>615</v>
      </c>
      <c r="D91" s="329"/>
      <c r="E91" s="332"/>
    </row>
    <row r="92" spans="1:35">
      <c r="A92" s="540"/>
      <c r="C92" s="32" t="s">
        <v>615</v>
      </c>
      <c r="D92" s="329" t="s">
        <v>608</v>
      </c>
      <c r="E92" s="332">
        <v>701</v>
      </c>
    </row>
    <row r="93" spans="1:35" ht="14.25" customHeight="1">
      <c r="A93" s="540"/>
      <c r="B93" s="329" t="s">
        <v>616</v>
      </c>
      <c r="C93" s="32" t="s">
        <v>615</v>
      </c>
      <c r="D93" s="329" t="s">
        <v>610</v>
      </c>
      <c r="E93" s="332">
        <v>6.3</v>
      </c>
    </row>
    <row r="94" spans="1:35">
      <c r="A94" s="540"/>
      <c r="B94" s="329" t="s">
        <v>617</v>
      </c>
      <c r="C94" s="32" t="s">
        <v>615</v>
      </c>
      <c r="D94" s="329" t="s">
        <v>612</v>
      </c>
      <c r="E94" s="332">
        <v>118</v>
      </c>
    </row>
    <row r="95" spans="1:35">
      <c r="A95" s="540"/>
      <c r="B95" s="281" t="s">
        <v>538</v>
      </c>
      <c r="C95" s="32" t="s">
        <v>615</v>
      </c>
      <c r="D95" s="281" t="s">
        <v>538</v>
      </c>
      <c r="F95" s="281">
        <f>IFERROR($E$86*(F89/$E$89)*($E$88*(F90/100*$E$92+(1-F90/100)*$E$93)/$E$94+(1-$E$88))+0.28*$E$85*(F89-$E$89)/$E$89,0)</f>
        <v>-14.840000000000002</v>
      </c>
      <c r="G95" s="281">
        <f>IFERROR($E$86*(G89/$E$89)*($E$88*(G90/100*$E$90+(1-G90/100)*$E$93)/$E$94+(1-$E$88))+0.28*$E$85*(G89-$E$89)/$E$89,0)</f>
        <v>-14.840000000000002</v>
      </c>
      <c r="H95" s="281">
        <f t="shared" ref="H95:AI95" si="10">IFERROR($E$86*(H89/$E$89)*($E$88*(H90/100*$E$90+(1-H90/100)*$E$93)/$E$94+(1-$E$88))+0.28*$E$85*(H89-$E$89)/$E$89,0)</f>
        <v>-14.840000000000002</v>
      </c>
      <c r="I95" s="281">
        <f t="shared" si="10"/>
        <v>-14.840000000000002</v>
      </c>
      <c r="J95" s="281">
        <f t="shared" si="10"/>
        <v>-14.840000000000002</v>
      </c>
      <c r="K95" s="281">
        <f t="shared" si="10"/>
        <v>-14.840000000000002</v>
      </c>
      <c r="L95" s="281">
        <f t="shared" si="10"/>
        <v>-14.840000000000002</v>
      </c>
      <c r="M95" s="281">
        <f t="shared" si="10"/>
        <v>-14.840000000000002</v>
      </c>
      <c r="N95" s="281">
        <f t="shared" si="10"/>
        <v>-14.840000000000002</v>
      </c>
      <c r="O95" s="281">
        <f t="shared" si="10"/>
        <v>-14.840000000000002</v>
      </c>
      <c r="P95" s="281">
        <f t="shared" si="10"/>
        <v>-14.840000000000002</v>
      </c>
      <c r="Q95" s="281">
        <f t="shared" si="10"/>
        <v>-14.840000000000002</v>
      </c>
      <c r="R95" s="281">
        <f t="shared" si="10"/>
        <v>-14.840000000000002</v>
      </c>
      <c r="S95" s="281">
        <f t="shared" si="10"/>
        <v>-14.840000000000002</v>
      </c>
      <c r="T95" s="281">
        <f t="shared" si="10"/>
        <v>-14.840000000000002</v>
      </c>
      <c r="U95" s="281">
        <f t="shared" si="10"/>
        <v>-14.840000000000002</v>
      </c>
      <c r="V95" s="281">
        <f t="shared" si="10"/>
        <v>-14.840000000000002</v>
      </c>
      <c r="W95" s="281">
        <f t="shared" si="10"/>
        <v>-14.840000000000002</v>
      </c>
      <c r="X95" s="281">
        <f t="shared" si="10"/>
        <v>-14.840000000000002</v>
      </c>
      <c r="Y95" s="281">
        <f t="shared" si="10"/>
        <v>-14.840000000000002</v>
      </c>
      <c r="Z95" s="281">
        <f t="shared" si="10"/>
        <v>-14.840000000000002</v>
      </c>
      <c r="AA95" s="281">
        <f t="shared" si="10"/>
        <v>-14.840000000000002</v>
      </c>
      <c r="AB95" s="281">
        <f t="shared" si="10"/>
        <v>-14.840000000000002</v>
      </c>
      <c r="AC95" s="281">
        <f t="shared" si="10"/>
        <v>-14.840000000000002</v>
      </c>
      <c r="AD95" s="281">
        <f t="shared" si="10"/>
        <v>-14.840000000000002</v>
      </c>
      <c r="AE95" s="281">
        <f t="shared" si="10"/>
        <v>-14.840000000000002</v>
      </c>
      <c r="AF95" s="281">
        <f t="shared" si="10"/>
        <v>-14.840000000000002</v>
      </c>
      <c r="AG95" s="281">
        <f t="shared" si="10"/>
        <v>-14.840000000000002</v>
      </c>
      <c r="AH95" s="281">
        <f t="shared" si="10"/>
        <v>-14.840000000000002</v>
      </c>
      <c r="AI95" s="281">
        <f t="shared" si="10"/>
        <v>-14.840000000000002</v>
      </c>
    </row>
    <row r="96" spans="1:35">
      <c r="A96" s="540" t="s">
        <v>618</v>
      </c>
      <c r="B96" s="92" t="s">
        <v>298</v>
      </c>
      <c r="C96" s="32" t="s">
        <v>618</v>
      </c>
      <c r="D96" s="92" t="s">
        <v>298</v>
      </c>
      <c r="E96" s="281">
        <f t="array" ref="E96">INDEX(CABS_CVC!$C$3:$O$870,MATCH(1, (CABS_CVC!$A$3:$A$870=Calculs_CABS!C96)*(CABS_CVC!$B$3:$B$870=Calculs_CABS!$D$2),0),MATCH(Calculs_CABS!$D$1,Liste_CABS!$B$3:$B$15,0))</f>
        <v>74</v>
      </c>
    </row>
    <row r="97" spans="1:35">
      <c r="A97" s="540"/>
      <c r="B97" s="281" t="s">
        <v>539</v>
      </c>
      <c r="C97" s="32" t="s">
        <v>618</v>
      </c>
      <c r="D97" s="281" t="s">
        <v>539</v>
      </c>
      <c r="E97" s="332">
        <v>124</v>
      </c>
    </row>
    <row r="98" spans="1:35">
      <c r="A98" s="540"/>
      <c r="B98" s="281" t="s">
        <v>540</v>
      </c>
      <c r="C98" s="32" t="s">
        <v>618</v>
      </c>
      <c r="D98" s="281" t="s">
        <v>540</v>
      </c>
      <c r="E98" s="281">
        <f>E96+E97</f>
        <v>198</v>
      </c>
    </row>
    <row r="99" spans="1:35">
      <c r="A99" s="540"/>
      <c r="B99" s="281" t="s">
        <v>541</v>
      </c>
      <c r="C99" s="32" t="s">
        <v>618</v>
      </c>
      <c r="D99" s="281" t="s">
        <v>541</v>
      </c>
      <c r="E99" s="281">
        <v>0.96</v>
      </c>
    </row>
    <row r="100" spans="1:35">
      <c r="A100" s="540"/>
      <c r="B100" s="281" t="s">
        <v>542</v>
      </c>
      <c r="C100" s="32" t="s">
        <v>618</v>
      </c>
      <c r="D100" s="329" t="s">
        <v>605</v>
      </c>
      <c r="E100" s="333">
        <v>2555</v>
      </c>
      <c r="F100" s="281">
        <f>IF(F$6=$C100,IF(INDEX('Surface DEET'!$Q$9:$W$38,COLUMN(F93)-COLUMN($E$5),1)&gt;0,INDEX('Surface DEET'!$Q$9:$W$38,COLUMN(F93)-COLUMN($E$5),1),$E100),0)</f>
        <v>0</v>
      </c>
      <c r="G100" s="281">
        <f>IF(G$6=$C100,IF(INDEX('Surface DEET'!$Q$9:$W$38,COLUMN(G93)-COLUMN($E$5),1)&gt;0,INDEX('Surface DEET'!$Q$9:$W$38,COLUMN(G93)-COLUMN($E$5),1),$E100),0)</f>
        <v>0</v>
      </c>
      <c r="H100" s="281">
        <f>IF(H$6=$C100,IF(INDEX('Surface DEET'!$Q$9:$W$38,COLUMN(H93)-COLUMN($E$5),1)&gt;0,INDEX('Surface DEET'!$Q$9:$W$38,COLUMN(H93)-COLUMN($E$5),1),$E100),0)</f>
        <v>0</v>
      </c>
      <c r="I100" s="281">
        <f>IF(I$6=$C100,IF(INDEX('Surface DEET'!$Q$9:$W$38,COLUMN(I93)-COLUMN($E$5),1)&gt;0,INDEX('Surface DEET'!$Q$9:$W$38,COLUMN(I93)-COLUMN($E$5),1),$E100),0)</f>
        <v>0</v>
      </c>
      <c r="J100" s="281">
        <f>IF(J$6=$C100,IF(INDEX('Surface DEET'!$Q$9:$W$38,COLUMN(J93)-COLUMN($E$5),1)&gt;0,INDEX('Surface DEET'!$Q$9:$W$38,COLUMN(J93)-COLUMN($E$5),1),$E100),0)</f>
        <v>0</v>
      </c>
      <c r="K100" s="281">
        <f>IF(K$6=$C100,IF(INDEX('Surface DEET'!$Q$9:$W$38,COLUMN(K93)-COLUMN($E$5),1)&gt;0,INDEX('Surface DEET'!$Q$9:$W$38,COLUMN(K93)-COLUMN($E$5),1),$E100),0)</f>
        <v>0</v>
      </c>
      <c r="L100" s="281">
        <f>IF(L$6=$C100,IF(INDEX('Surface DEET'!$Q$9:$W$38,COLUMN(L93)-COLUMN($E$5),1)&gt;0,INDEX('Surface DEET'!$Q$9:$W$38,COLUMN(L93)-COLUMN($E$5),1),$E100),0)</f>
        <v>0</v>
      </c>
      <c r="M100" s="281">
        <f>IF(M$6=$C100,IF(INDEX('Surface DEET'!$Q$9:$W$38,COLUMN(M93)-COLUMN($E$5),1)&gt;0,INDEX('Surface DEET'!$Q$9:$W$38,COLUMN(M93)-COLUMN($E$5),1),$E100),0)</f>
        <v>0</v>
      </c>
      <c r="N100" s="281">
        <f>IF(N$6=$C100,IF(INDEX('Surface DEET'!$Q$9:$W$38,COLUMN(N93)-COLUMN($E$5),1)&gt;0,INDEX('Surface DEET'!$Q$9:$W$38,COLUMN(N93)-COLUMN($E$5),1),$E100),0)</f>
        <v>0</v>
      </c>
      <c r="O100" s="281">
        <f>IF(O$6=$C100,IF(INDEX('Surface DEET'!$Q$9:$W$38,COLUMN(O93)-COLUMN($E$5),1)&gt;0,INDEX('Surface DEET'!$Q$9:$W$38,COLUMN(O93)-COLUMN($E$5),1),$E100),0)</f>
        <v>0</v>
      </c>
      <c r="P100" s="281">
        <f>IF(P$6=$C100,IF(INDEX('Surface DEET'!$Q$9:$W$38,COLUMN(P93)-COLUMN($E$5),1)&gt;0,INDEX('Surface DEET'!$Q$9:$W$38,COLUMN(P93)-COLUMN($E$5),1),$E100),0)</f>
        <v>0</v>
      </c>
      <c r="Q100" s="281">
        <f>IF(Q$6=$C100,IF(INDEX('Surface DEET'!$Q$9:$W$38,COLUMN(Q93)-COLUMN($E$5),1)&gt;0,INDEX('Surface DEET'!$Q$9:$W$38,COLUMN(Q93)-COLUMN($E$5),1),$E100),0)</f>
        <v>0</v>
      </c>
      <c r="R100" s="281">
        <f>IF(R$6=$C100,IF(INDEX('Surface DEET'!$Q$9:$W$38,COLUMN(R93)-COLUMN($E$5),1)&gt;0,INDEX('Surface DEET'!$Q$9:$W$38,COLUMN(R93)-COLUMN($E$5),1),$E100),0)</f>
        <v>0</v>
      </c>
      <c r="S100" s="281">
        <f>IF(S$6=$C100,IF(INDEX('Surface DEET'!$Q$9:$W$38,COLUMN(S93)-COLUMN($E$5),1)&gt;0,INDEX('Surface DEET'!$Q$9:$W$38,COLUMN(S93)-COLUMN($E$5),1),$E100),0)</f>
        <v>0</v>
      </c>
      <c r="T100" s="281">
        <f>IF(T$6=$C100,IF(INDEX('Surface DEET'!$Q$9:$W$38,COLUMN(T93)-COLUMN($E$5),1)&gt;0,INDEX('Surface DEET'!$Q$9:$W$38,COLUMN(T93)-COLUMN($E$5),1),$E100),0)</f>
        <v>0</v>
      </c>
      <c r="U100" s="281">
        <f>IF(U$6=$C100,IF(INDEX('Surface DEET'!$Q$9:$W$38,COLUMN(U93)-COLUMN($E$5),1)&gt;0,INDEX('Surface DEET'!$Q$9:$W$38,COLUMN(U93)-COLUMN($E$5),1),$E100),0)</f>
        <v>0</v>
      </c>
      <c r="V100" s="281">
        <f>IF(V$6=$C100,IF(INDEX('Surface DEET'!$Q$9:$W$38,COLUMN(V93)-COLUMN($E$5),1)&gt;0,INDEX('Surface DEET'!$Q$9:$W$38,COLUMN(V93)-COLUMN($E$5),1),$E100),0)</f>
        <v>0</v>
      </c>
      <c r="W100" s="281">
        <f>IF(W$6=$C100,IF(INDEX('Surface DEET'!$Q$9:$W$38,COLUMN(W93)-COLUMN($E$5),1)&gt;0,INDEX('Surface DEET'!$Q$9:$W$38,COLUMN(W93)-COLUMN($E$5),1),$E100),0)</f>
        <v>0</v>
      </c>
      <c r="X100" s="281">
        <f>IF(X$6=$C100,IF(INDEX('Surface DEET'!$Q$9:$W$38,COLUMN(X93)-COLUMN($E$5),1)&gt;0,INDEX('Surface DEET'!$Q$9:$W$38,COLUMN(X93)-COLUMN($E$5),1),$E100),0)</f>
        <v>0</v>
      </c>
      <c r="Y100" s="281">
        <f>IF(Y$6=$C100,IF(INDEX('Surface DEET'!$Q$9:$W$38,COLUMN(Y93)-COLUMN($E$5),1)&gt;0,INDEX('Surface DEET'!$Q$9:$W$38,COLUMN(Y93)-COLUMN($E$5),1),$E100),0)</f>
        <v>0</v>
      </c>
      <c r="Z100" s="281">
        <f>IF(Z$6=$C100,IF(INDEX('Surface DEET'!$Q$9:$W$38,COLUMN(Z93)-COLUMN($E$5),1)&gt;0,INDEX('Surface DEET'!$Q$9:$W$38,COLUMN(Z93)-COLUMN($E$5),1),$E100),0)</f>
        <v>0</v>
      </c>
      <c r="AA100" s="281">
        <f>IF(AA$6=$C100,IF(INDEX('Surface DEET'!$Q$9:$W$38,COLUMN(AA93)-COLUMN($E$5),1)&gt;0,INDEX('Surface DEET'!$Q$9:$W$38,COLUMN(AA93)-COLUMN($E$5),1),$E100),0)</f>
        <v>0</v>
      </c>
      <c r="AB100" s="281">
        <f>IF(AB$6=$C100,IF(INDEX('Surface DEET'!$Q$9:$W$38,COLUMN(AB93)-COLUMN($E$5),1)&gt;0,INDEX('Surface DEET'!$Q$9:$W$38,COLUMN(AB93)-COLUMN($E$5),1),$E100),0)</f>
        <v>0</v>
      </c>
      <c r="AC100" s="281">
        <f>IF(AC$6=$C100,IF(INDEX('Surface DEET'!$Q$9:$W$38,COLUMN(AC93)-COLUMN($E$5),1)&gt;0,INDEX('Surface DEET'!$Q$9:$W$38,COLUMN(AC93)-COLUMN($E$5),1),$E100),0)</f>
        <v>0</v>
      </c>
      <c r="AD100" s="281">
        <f>IF(AD$6=$C100,IF(INDEX('Surface DEET'!$Q$9:$W$38,COLUMN(AD93)-COLUMN($E$5),1)&gt;0,INDEX('Surface DEET'!$Q$9:$W$38,COLUMN(AD93)-COLUMN($E$5),1),$E100),0)</f>
        <v>0</v>
      </c>
      <c r="AE100" s="281">
        <f>IF(AE$6=$C100,IF(INDEX('Surface DEET'!$Q$9:$W$38,COLUMN(AE93)-COLUMN($E$5),1)&gt;0,INDEX('Surface DEET'!$Q$9:$W$38,COLUMN(AE93)-COLUMN($E$5),1),$E100),0)</f>
        <v>0</v>
      </c>
      <c r="AF100" s="281">
        <f>IF(AF$6=$C100,IF(INDEX('Surface DEET'!$Q$9:$W$38,COLUMN(AF93)-COLUMN($E$5),1)&gt;0,INDEX('Surface DEET'!$Q$9:$W$38,COLUMN(AF93)-COLUMN($E$5),1),$E100),0)</f>
        <v>0</v>
      </c>
      <c r="AG100" s="281">
        <f>IF(AG$6=$C100,IF(INDEX('Surface DEET'!$Q$9:$W$38,COLUMN(AG93)-COLUMN($E$5),1)&gt;0,INDEX('Surface DEET'!$Q$9:$W$38,COLUMN(AG93)-COLUMN($E$5),1),$E100),0)</f>
        <v>0</v>
      </c>
      <c r="AH100" s="281">
        <f>IF(AH$6=$C100,IF(INDEX('Surface DEET'!$Q$9:$W$38,COLUMN(AH93)-COLUMN($E$5),1)&gt;0,INDEX('Surface DEET'!$Q$9:$W$38,COLUMN(AH93)-COLUMN($E$5),1),$E100),0)</f>
        <v>0</v>
      </c>
      <c r="AI100" s="281">
        <f>IF(AI$6=$C100,IF(INDEX('Surface DEET'!$Q$9:$W$38,COLUMN(AI93)-COLUMN($E$5),1)&gt;0,INDEX('Surface DEET'!$Q$9:$W$38,COLUMN(AI93)-COLUMN($E$5),1),$E100),0)</f>
        <v>0</v>
      </c>
    </row>
    <row r="101" spans="1:35">
      <c r="A101" s="540"/>
      <c r="B101" s="281" t="s">
        <v>545</v>
      </c>
      <c r="C101" s="32" t="s">
        <v>618</v>
      </c>
      <c r="D101" s="329" t="s">
        <v>619</v>
      </c>
      <c r="E101" s="332">
        <v>900</v>
      </c>
      <c r="F101" s="281">
        <f>IF(F$6=$C101,IF(INDEX('Surface DEET'!$Q$9:$W$38,COLUMN(F94)-COLUMN($E$5),4)&gt;0,INDEX('Surface DEET'!$Q$9:$W$38,COLUMN(F94)-COLUMN($E$5),4),$E101),0)</f>
        <v>0</v>
      </c>
      <c r="G101" s="281">
        <f>IF(G$6=$C101,IF(INDEX('Surface DEET'!$Q$9:$W$38,COLUMN(G94)-COLUMN($E$5),4)&gt;0,INDEX('Surface DEET'!$Q$9:$W$38,COLUMN(G94)-COLUMN($E$5),4),$E101),0)</f>
        <v>0</v>
      </c>
      <c r="H101" s="281">
        <f>IF(H$6=$C101,IF(INDEX('Surface DEET'!$Q$9:$W$38,COLUMN(H94)-COLUMN($E$5),4)&gt;0,INDEX('Surface DEET'!$Q$9:$W$38,COLUMN(H94)-COLUMN($E$5),4),$E101),0)</f>
        <v>0</v>
      </c>
      <c r="I101" s="281">
        <f>IF(I$6=$C101,IF(INDEX('Surface DEET'!$Q$9:$W$38,COLUMN(I94)-COLUMN($E$5),4)&gt;0,INDEX('Surface DEET'!$Q$9:$W$38,COLUMN(I94)-COLUMN($E$5),4),$E101),0)</f>
        <v>0</v>
      </c>
      <c r="J101" s="281">
        <f>IF(J$6=$C101,IF(INDEX('Surface DEET'!$Q$9:$W$38,COLUMN(J94)-COLUMN($E$5),4)&gt;0,INDEX('Surface DEET'!$Q$9:$W$38,COLUMN(J94)-COLUMN($E$5),4),$E101),0)</f>
        <v>0</v>
      </c>
      <c r="K101" s="281">
        <f>IF(K$6=$C101,IF(INDEX('Surface DEET'!$Q$9:$W$38,COLUMN(K94)-COLUMN($E$5),4)&gt;0,INDEX('Surface DEET'!$Q$9:$W$38,COLUMN(K94)-COLUMN($E$5),4),$E101),0)</f>
        <v>0</v>
      </c>
      <c r="L101" s="281">
        <f>IF(L$6=$C101,IF(INDEX('Surface DEET'!$Q$9:$W$38,COLUMN(L94)-COLUMN($E$5),4)&gt;0,INDEX('Surface DEET'!$Q$9:$W$38,COLUMN(L94)-COLUMN($E$5),4),$E101),0)</f>
        <v>0</v>
      </c>
      <c r="M101" s="281">
        <f>IF(M$6=$C101,IF(INDEX('Surface DEET'!$Q$9:$W$38,COLUMN(M94)-COLUMN($E$5),4)&gt;0,INDEX('Surface DEET'!$Q$9:$W$38,COLUMN(M94)-COLUMN($E$5),4),$E101),0)</f>
        <v>0</v>
      </c>
      <c r="N101" s="281">
        <f>IF(N$6=$C101,IF(INDEX('Surface DEET'!$Q$9:$W$38,COLUMN(N94)-COLUMN($E$5),4)&gt;0,INDEX('Surface DEET'!$Q$9:$W$38,COLUMN(N94)-COLUMN($E$5),4),$E101),0)</f>
        <v>0</v>
      </c>
      <c r="O101" s="281">
        <f>IF(O$6=$C101,IF(INDEX('Surface DEET'!$Q$9:$W$38,COLUMN(O94)-COLUMN($E$5),4)&gt;0,INDEX('Surface DEET'!$Q$9:$W$38,COLUMN(O94)-COLUMN($E$5),4),$E101),0)</f>
        <v>0</v>
      </c>
      <c r="P101" s="281">
        <f>IF(P$6=$C101,IF(INDEX('Surface DEET'!$Q$9:$W$38,COLUMN(P94)-COLUMN($E$5),4)&gt;0,INDEX('Surface DEET'!$Q$9:$W$38,COLUMN(P94)-COLUMN($E$5),4),$E101),0)</f>
        <v>0</v>
      </c>
      <c r="Q101" s="281">
        <f>IF(Q$6=$C101,IF(INDEX('Surface DEET'!$Q$9:$W$38,COLUMN(Q94)-COLUMN($E$5),4)&gt;0,INDEX('Surface DEET'!$Q$9:$W$38,COLUMN(Q94)-COLUMN($E$5),4),$E101),0)</f>
        <v>0</v>
      </c>
      <c r="R101" s="281">
        <f>IF(R$6=$C101,IF(INDEX('Surface DEET'!$Q$9:$W$38,COLUMN(R94)-COLUMN($E$5),4)&gt;0,INDEX('Surface DEET'!$Q$9:$W$38,COLUMN(R94)-COLUMN($E$5),4),$E101),0)</f>
        <v>0</v>
      </c>
      <c r="S101" s="281">
        <f>IF(S$6=$C101,IF(INDEX('Surface DEET'!$Q$9:$W$38,COLUMN(S94)-COLUMN($E$5),4)&gt;0,INDEX('Surface DEET'!$Q$9:$W$38,COLUMN(S94)-COLUMN($E$5),4),$E101),0)</f>
        <v>0</v>
      </c>
      <c r="T101" s="281">
        <f>IF(T$6=$C101,IF(INDEX('Surface DEET'!$Q$9:$W$38,COLUMN(T94)-COLUMN($E$5),4)&gt;0,INDEX('Surface DEET'!$Q$9:$W$38,COLUMN(T94)-COLUMN($E$5),4),$E101),0)</f>
        <v>0</v>
      </c>
      <c r="U101" s="281">
        <f>IF(U$6=$C101,IF(INDEX('Surface DEET'!$Q$9:$W$38,COLUMN(U94)-COLUMN($E$5),4)&gt;0,INDEX('Surface DEET'!$Q$9:$W$38,COLUMN(U94)-COLUMN($E$5),4),$E101),0)</f>
        <v>0</v>
      </c>
      <c r="V101" s="281">
        <f>IF(V$6=$C101,IF(INDEX('Surface DEET'!$Q$9:$W$38,COLUMN(V94)-COLUMN($E$5),4)&gt;0,INDEX('Surface DEET'!$Q$9:$W$38,COLUMN(V94)-COLUMN($E$5),4),$E101),0)</f>
        <v>0</v>
      </c>
      <c r="W101" s="281">
        <f>IF(W$6=$C101,IF(INDEX('Surface DEET'!$Q$9:$W$38,COLUMN(W94)-COLUMN($E$5),4)&gt;0,INDEX('Surface DEET'!$Q$9:$W$38,COLUMN(W94)-COLUMN($E$5),4),$E101),0)</f>
        <v>0</v>
      </c>
      <c r="X101" s="281">
        <f>IF(X$6=$C101,IF(INDEX('Surface DEET'!$Q$9:$W$38,COLUMN(X94)-COLUMN($E$5),4)&gt;0,INDEX('Surface DEET'!$Q$9:$W$38,COLUMN(X94)-COLUMN($E$5),4),$E101),0)</f>
        <v>0</v>
      </c>
      <c r="Y101" s="281">
        <f>IF(Y$6=$C101,IF(INDEX('Surface DEET'!$Q$9:$W$38,COLUMN(Y94)-COLUMN($E$5),4)&gt;0,INDEX('Surface DEET'!$Q$9:$W$38,COLUMN(Y94)-COLUMN($E$5),4),$E101),0)</f>
        <v>0</v>
      </c>
      <c r="Z101" s="281">
        <f>IF(Z$6=$C101,IF(INDEX('Surface DEET'!$Q$9:$W$38,COLUMN(Z94)-COLUMN($E$5),4)&gt;0,INDEX('Surface DEET'!$Q$9:$W$38,COLUMN(Z94)-COLUMN($E$5),4),$E101),0)</f>
        <v>0</v>
      </c>
      <c r="AA101" s="281">
        <f>IF(AA$6=$C101,IF(INDEX('Surface DEET'!$Q$9:$W$38,COLUMN(AA94)-COLUMN($E$5),4)&gt;0,INDEX('Surface DEET'!$Q$9:$W$38,COLUMN(AA94)-COLUMN($E$5),4),$E101),0)</f>
        <v>0</v>
      </c>
      <c r="AB101" s="281">
        <f>IF(AB$6=$C101,IF(INDEX('Surface DEET'!$Q$9:$W$38,COLUMN(AB94)-COLUMN($E$5),4)&gt;0,INDEX('Surface DEET'!$Q$9:$W$38,COLUMN(AB94)-COLUMN($E$5),4),$E101),0)</f>
        <v>0</v>
      </c>
      <c r="AC101" s="281">
        <f>IF(AC$6=$C101,IF(INDEX('Surface DEET'!$Q$9:$W$38,COLUMN(AC94)-COLUMN($E$5),4)&gt;0,INDEX('Surface DEET'!$Q$9:$W$38,COLUMN(AC94)-COLUMN($E$5),4),$E101),0)</f>
        <v>0</v>
      </c>
      <c r="AD101" s="281">
        <f>IF(AD$6=$C101,IF(INDEX('Surface DEET'!$Q$9:$W$38,COLUMN(AD94)-COLUMN($E$5),4)&gt;0,INDEX('Surface DEET'!$Q$9:$W$38,COLUMN(AD94)-COLUMN($E$5),4),$E101),0)</f>
        <v>0</v>
      </c>
      <c r="AE101" s="281">
        <f>IF(AE$6=$C101,IF(INDEX('Surface DEET'!$Q$9:$W$38,COLUMN(AE94)-COLUMN($E$5),4)&gt;0,INDEX('Surface DEET'!$Q$9:$W$38,COLUMN(AE94)-COLUMN($E$5),4),$E101),0)</f>
        <v>0</v>
      </c>
      <c r="AF101" s="281">
        <f>IF(AF$6=$C101,IF(INDEX('Surface DEET'!$Q$9:$W$38,COLUMN(AF94)-COLUMN($E$5),4)&gt;0,INDEX('Surface DEET'!$Q$9:$W$38,COLUMN(AF94)-COLUMN($E$5),4),$E101),0)</f>
        <v>0</v>
      </c>
      <c r="AG101" s="281">
        <f>IF(AG$6=$C101,IF(INDEX('Surface DEET'!$Q$9:$W$38,COLUMN(AG94)-COLUMN($E$5),4)&gt;0,INDEX('Surface DEET'!$Q$9:$W$38,COLUMN(AG94)-COLUMN($E$5),4),$E101),0)</f>
        <v>0</v>
      </c>
      <c r="AH101" s="281">
        <f>IF(AH$6=$C101,IF(INDEX('Surface DEET'!$Q$9:$W$38,COLUMN(AH94)-COLUMN($E$5),4)&gt;0,INDEX('Surface DEET'!$Q$9:$W$38,COLUMN(AH94)-COLUMN($E$5),4),$E101),0)</f>
        <v>0</v>
      </c>
      <c r="AI101" s="281">
        <f>IF(AI$6=$C101,IF(INDEX('Surface DEET'!$Q$9:$W$38,COLUMN(AI94)-COLUMN($E$5),4)&gt;0,INDEX('Surface DEET'!$Q$9:$W$38,COLUMN(AI94)-COLUMN($E$5),4),$E101),0)</f>
        <v>0</v>
      </c>
    </row>
    <row r="102" spans="1:35">
      <c r="A102" s="540"/>
      <c r="B102" s="281" t="s">
        <v>548</v>
      </c>
      <c r="C102" s="32" t="s">
        <v>618</v>
      </c>
      <c r="D102" s="329" t="s">
        <v>620</v>
      </c>
      <c r="E102" s="332"/>
      <c r="F102" s="281">
        <f>IF(F$6=$C102,IF(INDEX('Surface DEET'!$F$9:$W$38,COLUMN(F95)-COLUMN($E$5),7)&gt;0,INDEX('Surface DEET'!$F$9:$W$38,COLUMN(F95)-COLUMN($E$5),1),$E102),0)</f>
        <v>0</v>
      </c>
      <c r="G102" s="281">
        <f>IF(G$6=$C102,IF(INDEX('Surface DEET'!$F$9:$W$38,COLUMN(G95)-COLUMN($E$5),7)&gt;0,INDEX('Surface DEET'!$F$9:$W$38,COLUMN(G95)-COLUMN($E$5),1),$E102),0)</f>
        <v>0</v>
      </c>
      <c r="H102" s="281">
        <f>IF(H$6=$C102,IF(INDEX('Surface DEET'!$F$9:$W$38,COLUMN(H95)-COLUMN($E$5),7)&gt;0,INDEX('Surface DEET'!$F$9:$W$38,COLUMN(H95)-COLUMN($E$5),1),$E102),0)</f>
        <v>0</v>
      </c>
      <c r="I102" s="281">
        <f>IF(I$6=$C102,IF(INDEX('Surface DEET'!$F$9:$W$38,COLUMN(I95)-COLUMN($E$5),7)&gt;0,INDEX('Surface DEET'!$F$9:$W$38,COLUMN(I95)-COLUMN($E$5),1),$E102),0)</f>
        <v>0</v>
      </c>
      <c r="J102" s="281">
        <f>IF(J$6=$C102,IF(INDEX('Surface DEET'!$F$9:$W$38,COLUMN(J95)-COLUMN($E$5),7)&gt;0,INDEX('Surface DEET'!$F$9:$W$38,COLUMN(J95)-COLUMN($E$5),1),$E102),0)</f>
        <v>0</v>
      </c>
      <c r="K102" s="281">
        <f>IF(K$6=$C102,IF(INDEX('Surface DEET'!$F$9:$W$38,COLUMN(K95)-COLUMN($E$5),7)&gt;0,INDEX('Surface DEET'!$F$9:$W$38,COLUMN(K95)-COLUMN($E$5),1),$E102),0)</f>
        <v>0</v>
      </c>
      <c r="L102" s="281">
        <f>IF(L$6=$C102,IF(INDEX('Surface DEET'!$F$9:$W$38,COLUMN(L95)-COLUMN($E$5),7)&gt;0,INDEX('Surface DEET'!$F$9:$W$38,COLUMN(L95)-COLUMN($E$5),1),$E102),0)</f>
        <v>0</v>
      </c>
      <c r="M102" s="281">
        <f>IF(M$6=$C102,IF(INDEX('Surface DEET'!$F$9:$W$38,COLUMN(M95)-COLUMN($E$5),7)&gt;0,INDEX('Surface DEET'!$F$9:$W$38,COLUMN(M95)-COLUMN($E$5),1),$E102),0)</f>
        <v>0</v>
      </c>
      <c r="N102" s="281">
        <f>IF(N$6=$C102,IF(INDEX('Surface DEET'!$F$9:$W$38,COLUMN(N95)-COLUMN($E$5),7)&gt;0,INDEX('Surface DEET'!$F$9:$W$38,COLUMN(N95)-COLUMN($E$5),1),$E102),0)</f>
        <v>0</v>
      </c>
      <c r="O102" s="281">
        <f>IF(O$6=$C102,IF(INDEX('Surface DEET'!$F$9:$W$38,COLUMN(O95)-COLUMN($E$5),7)&gt;0,INDEX('Surface DEET'!$F$9:$W$38,COLUMN(O95)-COLUMN($E$5),1),$E102),0)</f>
        <v>0</v>
      </c>
      <c r="P102" s="281">
        <f>IF(P$6=$C102,IF(INDEX('Surface DEET'!$F$9:$W$38,COLUMN(P95)-COLUMN($E$5),7)&gt;0,INDEX('Surface DEET'!$F$9:$W$38,COLUMN(P95)-COLUMN($E$5),1),$E102),0)</f>
        <v>0</v>
      </c>
      <c r="Q102" s="281">
        <f>IF(Q$6=$C102,IF(INDEX('Surface DEET'!$F$9:$W$38,COLUMN(Q95)-COLUMN($E$5),7)&gt;0,INDEX('Surface DEET'!$F$9:$W$38,COLUMN(Q95)-COLUMN($E$5),1),$E102),0)</f>
        <v>0</v>
      </c>
      <c r="R102" s="281">
        <f>IF(R$6=$C102,IF(INDEX('Surface DEET'!$F$9:$W$38,COLUMN(R95)-COLUMN($E$5),7)&gt;0,INDEX('Surface DEET'!$F$9:$W$38,COLUMN(R95)-COLUMN($E$5),1),$E102),0)</f>
        <v>0</v>
      </c>
      <c r="S102" s="281">
        <f>IF(S$6=$C102,IF(INDEX('Surface DEET'!$F$9:$W$38,COLUMN(S95)-COLUMN($E$5),7)&gt;0,INDEX('Surface DEET'!$F$9:$W$38,COLUMN(S95)-COLUMN($E$5),1),$E102),0)</f>
        <v>0</v>
      </c>
      <c r="T102" s="281">
        <f>IF(T$6=$C102,IF(INDEX('Surface DEET'!$F$9:$W$38,COLUMN(T95)-COLUMN($E$5),7)&gt;0,INDEX('Surface DEET'!$F$9:$W$38,COLUMN(T95)-COLUMN($E$5),1),$E102),0)</f>
        <v>0</v>
      </c>
      <c r="U102" s="281">
        <f>IF(U$6=$C102,IF(INDEX('Surface DEET'!$F$9:$W$38,COLUMN(U95)-COLUMN($E$5),7)&gt;0,INDEX('Surface DEET'!$F$9:$W$38,COLUMN(U95)-COLUMN($E$5),1),$E102),0)</f>
        <v>0</v>
      </c>
      <c r="V102" s="281">
        <f>IF(V$6=$C102,IF(INDEX('Surface DEET'!$F$9:$W$38,COLUMN(V95)-COLUMN($E$5),7)&gt;0,INDEX('Surface DEET'!$F$9:$W$38,COLUMN(V95)-COLUMN($E$5),1),$E102),0)</f>
        <v>0</v>
      </c>
      <c r="W102" s="281">
        <f>IF(W$6=$C102,IF(INDEX('Surface DEET'!$F$9:$W$38,COLUMN(W95)-COLUMN($E$5),7)&gt;0,INDEX('Surface DEET'!$F$9:$W$38,COLUMN(W95)-COLUMN($E$5),1),$E102),0)</f>
        <v>0</v>
      </c>
      <c r="X102" s="281">
        <f>IF(X$6=$C102,IF(INDEX('Surface DEET'!$F$9:$W$38,COLUMN(X95)-COLUMN($E$5),7)&gt;0,INDEX('Surface DEET'!$F$9:$W$38,COLUMN(X95)-COLUMN($E$5),1),$E102),0)</f>
        <v>0</v>
      </c>
      <c r="Y102" s="281">
        <f>IF(Y$6=$C102,IF(INDEX('Surface DEET'!$F$9:$W$38,COLUMN(Y95)-COLUMN($E$5),7)&gt;0,INDEX('Surface DEET'!$F$9:$W$38,COLUMN(Y95)-COLUMN($E$5),1),$E102),0)</f>
        <v>0</v>
      </c>
      <c r="Z102" s="281">
        <f>IF(Z$6=$C102,IF(INDEX('Surface DEET'!$F$9:$W$38,COLUMN(Z95)-COLUMN($E$5),7)&gt;0,INDEX('Surface DEET'!$F$9:$W$38,COLUMN(Z95)-COLUMN($E$5),1),$E102),0)</f>
        <v>0</v>
      </c>
      <c r="AA102" s="281">
        <f>IF(AA$6=$C102,IF(INDEX('Surface DEET'!$F$9:$W$38,COLUMN(AA95)-COLUMN($E$5),7)&gt;0,INDEX('Surface DEET'!$F$9:$W$38,COLUMN(AA95)-COLUMN($E$5),1),$E102),0)</f>
        <v>0</v>
      </c>
      <c r="AB102" s="281">
        <f>IF(AB$6=$C102,IF(INDEX('Surface DEET'!$F$9:$W$38,COLUMN(AB95)-COLUMN($E$5),7)&gt;0,INDEX('Surface DEET'!$F$9:$W$38,COLUMN(AB95)-COLUMN($E$5),1),$E102),0)</f>
        <v>0</v>
      </c>
      <c r="AC102" s="281">
        <f>IF(AC$6=$C102,IF(INDEX('Surface DEET'!$F$9:$W$38,COLUMN(AC95)-COLUMN($E$5),7)&gt;0,INDEX('Surface DEET'!$F$9:$W$38,COLUMN(AC95)-COLUMN($E$5),1),$E102),0)</f>
        <v>0</v>
      </c>
      <c r="AD102" s="281">
        <f>IF(AD$6=$C102,IF(INDEX('Surface DEET'!$F$9:$W$38,COLUMN(AD95)-COLUMN($E$5),7)&gt;0,INDEX('Surface DEET'!$F$9:$W$38,COLUMN(AD95)-COLUMN($E$5),1),$E102),0)</f>
        <v>0</v>
      </c>
      <c r="AE102" s="281">
        <f>IF(AE$6=$C102,IF(INDEX('Surface DEET'!$F$9:$W$38,COLUMN(AE95)-COLUMN($E$5),7)&gt;0,INDEX('Surface DEET'!$F$9:$W$38,COLUMN(AE95)-COLUMN($E$5),1),$E102),0)</f>
        <v>0</v>
      </c>
      <c r="AF102" s="281">
        <f>IF(AF$6=$C102,IF(INDEX('Surface DEET'!$F$9:$W$38,COLUMN(AF95)-COLUMN($E$5),7)&gt;0,INDEX('Surface DEET'!$F$9:$W$38,COLUMN(AF95)-COLUMN($E$5),1),$E102),0)</f>
        <v>0</v>
      </c>
      <c r="AG102" s="281">
        <f>IF(AG$6=$C102,IF(INDEX('Surface DEET'!$F$9:$W$38,COLUMN(AG95)-COLUMN($E$5),7)&gt;0,INDEX('Surface DEET'!$F$9:$W$38,COLUMN(AG95)-COLUMN($E$5),1),$E102),0)</f>
        <v>0</v>
      </c>
      <c r="AH102" s="281">
        <f>IF(AH$6=$C102,IF(INDEX('Surface DEET'!$F$9:$W$38,COLUMN(AH95)-COLUMN($E$5),7)&gt;0,INDEX('Surface DEET'!$F$9:$W$38,COLUMN(AH95)-COLUMN($E$5),1),$E102),0)</f>
        <v>0</v>
      </c>
      <c r="AI102" s="281">
        <f>IF(AI$6=$C102,IF(INDEX('Surface DEET'!$F$9:$W$38,COLUMN(AI95)-COLUMN($E$5),7)&gt;0,INDEX('Surface DEET'!$F$9:$W$38,COLUMN(AI95)-COLUMN($E$5),1),$E102),0)</f>
        <v>0</v>
      </c>
    </row>
    <row r="103" spans="1:35">
      <c r="A103" s="540"/>
      <c r="B103" s="329" t="s">
        <v>616</v>
      </c>
      <c r="C103" s="32" t="s">
        <v>618</v>
      </c>
      <c r="D103" s="329" t="s">
        <v>616</v>
      </c>
      <c r="E103" s="332">
        <v>-7.6999999999999996E-4</v>
      </c>
    </row>
    <row r="104" spans="1:35">
      <c r="A104" s="540"/>
      <c r="B104" s="329" t="s">
        <v>617</v>
      </c>
      <c r="C104" s="32" t="s">
        <v>618</v>
      </c>
      <c r="D104" s="329" t="s">
        <v>617</v>
      </c>
      <c r="E104" s="332">
        <v>27</v>
      </c>
    </row>
    <row r="105" spans="1:35">
      <c r="A105" s="540"/>
      <c r="B105" s="281" t="s">
        <v>538</v>
      </c>
      <c r="C105" s="32" t="s">
        <v>618</v>
      </c>
      <c r="D105" s="281" t="s">
        <v>538</v>
      </c>
      <c r="F105" s="281">
        <f>IFERROR((F100/$E$100)*(1.05*F101*(F101*$E$103+$E$104)/F102+$E$97*(1-$E$99))+0.28*$E$96*(F100-$E$100)/$E$100,0)</f>
        <v>0</v>
      </c>
      <c r="G105" s="281">
        <f t="shared" ref="G105:AI105" si="11">IFERROR((G100/$E$100)*(1.05*G101*(G101*$E$103+$E$104)/G102+$E$97*(1-$E$99))+0.28*$E$96*(G100-$E$100)/$E$100,0)</f>
        <v>0</v>
      </c>
      <c r="H105" s="281">
        <f t="shared" si="11"/>
        <v>0</v>
      </c>
      <c r="I105" s="281">
        <f t="shared" si="11"/>
        <v>0</v>
      </c>
      <c r="J105" s="281">
        <f t="shared" si="11"/>
        <v>0</v>
      </c>
      <c r="K105" s="281">
        <f t="shared" si="11"/>
        <v>0</v>
      </c>
      <c r="L105" s="281">
        <f t="shared" si="11"/>
        <v>0</v>
      </c>
      <c r="M105" s="281">
        <f t="shared" si="11"/>
        <v>0</v>
      </c>
      <c r="N105" s="281">
        <f t="shared" si="11"/>
        <v>0</v>
      </c>
      <c r="O105" s="281">
        <f t="shared" si="11"/>
        <v>0</v>
      </c>
      <c r="P105" s="281">
        <f t="shared" si="11"/>
        <v>0</v>
      </c>
      <c r="Q105" s="281">
        <f t="shared" si="11"/>
        <v>0</v>
      </c>
      <c r="R105" s="281">
        <f t="shared" si="11"/>
        <v>0</v>
      </c>
      <c r="S105" s="281">
        <f t="shared" si="11"/>
        <v>0</v>
      </c>
      <c r="T105" s="281">
        <f t="shared" si="11"/>
        <v>0</v>
      </c>
      <c r="U105" s="281">
        <f t="shared" si="11"/>
        <v>0</v>
      </c>
      <c r="V105" s="281">
        <f t="shared" si="11"/>
        <v>0</v>
      </c>
      <c r="W105" s="281">
        <f t="shared" si="11"/>
        <v>0</v>
      </c>
      <c r="X105" s="281">
        <f t="shared" si="11"/>
        <v>0</v>
      </c>
      <c r="Y105" s="281">
        <f t="shared" si="11"/>
        <v>0</v>
      </c>
      <c r="Z105" s="281">
        <f t="shared" si="11"/>
        <v>0</v>
      </c>
      <c r="AA105" s="281">
        <f t="shared" si="11"/>
        <v>0</v>
      </c>
      <c r="AB105" s="281">
        <f t="shared" si="11"/>
        <v>0</v>
      </c>
      <c r="AC105" s="281">
        <f t="shared" si="11"/>
        <v>0</v>
      </c>
      <c r="AD105" s="281">
        <f t="shared" si="11"/>
        <v>0</v>
      </c>
      <c r="AE105" s="281">
        <f t="shared" si="11"/>
        <v>0</v>
      </c>
      <c r="AF105" s="281">
        <f t="shared" si="11"/>
        <v>0</v>
      </c>
      <c r="AG105" s="281">
        <f t="shared" si="11"/>
        <v>0</v>
      </c>
      <c r="AH105" s="281">
        <f t="shared" si="11"/>
        <v>0</v>
      </c>
      <c r="AI105" s="281">
        <f t="shared" si="11"/>
        <v>0</v>
      </c>
    </row>
    <row r="106" spans="1:35">
      <c r="A106" s="542" t="s">
        <v>621</v>
      </c>
      <c r="B106" s="92" t="s">
        <v>298</v>
      </c>
      <c r="C106" s="32" t="s">
        <v>621</v>
      </c>
      <c r="D106" s="92" t="s">
        <v>298</v>
      </c>
      <c r="E106" s="281">
        <f t="array" ref="E106">INDEX(CABS_CVC!$C$3:$O$870,MATCH(1, (CABS_CVC!$A$3:$A$870=Calculs_CABS!C106)*(CABS_CVC!$B$3:$B$870=Calculs_CABS!$D$2),0),MATCH(Calculs_CABS!$D$1,Liste_CABS!$B$3:$B$15,0))</f>
        <v>34</v>
      </c>
    </row>
    <row r="107" spans="1:35">
      <c r="A107" s="542"/>
      <c r="B107" s="281" t="s">
        <v>539</v>
      </c>
      <c r="C107" s="32" t="s">
        <v>621</v>
      </c>
      <c r="D107" s="281" t="s">
        <v>539</v>
      </c>
      <c r="E107" s="281">
        <v>50</v>
      </c>
    </row>
    <row r="108" spans="1:35">
      <c r="A108" s="542"/>
      <c r="B108" s="281" t="s">
        <v>540</v>
      </c>
      <c r="C108" s="32" t="s">
        <v>621</v>
      </c>
      <c r="D108" s="281" t="s">
        <v>540</v>
      </c>
      <c r="E108" s="281">
        <f>E106+E107</f>
        <v>84</v>
      </c>
    </row>
    <row r="109" spans="1:35">
      <c r="A109" s="542"/>
      <c r="B109" s="281" t="s">
        <v>541</v>
      </c>
      <c r="C109" s="32" t="s">
        <v>621</v>
      </c>
      <c r="D109" s="281" t="s">
        <v>541</v>
      </c>
      <c r="E109" s="281">
        <v>0.66</v>
      </c>
    </row>
    <row r="110" spans="1:35">
      <c r="A110" s="542"/>
      <c r="B110" s="281" t="s">
        <v>542</v>
      </c>
      <c r="C110" s="32" t="s">
        <v>621</v>
      </c>
      <c r="D110" s="329" t="s">
        <v>605</v>
      </c>
      <c r="E110" s="281">
        <v>3120</v>
      </c>
      <c r="F110" s="281">
        <f>IF(F$6=$C110,IF(INDEX('Surface DEET'!$Q$9:$W$38,COLUMN(F103)-COLUMN($E$5),1)&gt;0,INDEX('Surface DEET'!$Q$9:$W$38,COLUMN(F103)-COLUMN($E$5),1),$E110),0)</f>
        <v>0</v>
      </c>
      <c r="G110" s="281">
        <f>IF(G$6=$C110,IF(INDEX('Surface DEET'!$Q$9:$W$38,COLUMN(G103)-COLUMN($E$5),1)&gt;0,INDEX('Surface DEET'!$Q$9:$W$38,COLUMN(G103)-COLUMN($E$5),1),$E110),0)</f>
        <v>0</v>
      </c>
      <c r="H110" s="281">
        <f>IF(H$6=$C110,IF(INDEX('Surface DEET'!$Q$9:$W$38,COLUMN(H103)-COLUMN($E$5),1)&gt;0,INDEX('Surface DEET'!$Q$9:$W$38,COLUMN(H103)-COLUMN($E$5),1),$E110),0)</f>
        <v>0</v>
      </c>
      <c r="I110" s="281">
        <f>IF(I$6=$C110,IF(INDEX('Surface DEET'!$Q$9:$W$38,COLUMN(I103)-COLUMN($E$5),1)&gt;0,INDEX('Surface DEET'!$Q$9:$W$38,COLUMN(I103)-COLUMN($E$5),1),$E110),0)</f>
        <v>0</v>
      </c>
      <c r="J110" s="281">
        <f>IF(J$6=$C110,IF(INDEX('Surface DEET'!$Q$9:$W$38,COLUMN(J103)-COLUMN($E$5),1)&gt;0,INDEX('Surface DEET'!$Q$9:$W$38,COLUMN(J103)-COLUMN($E$5),1),$E110),0)</f>
        <v>0</v>
      </c>
      <c r="K110" s="281">
        <f>IF(K$6=$C110,IF(INDEX('Surface DEET'!$Q$9:$W$38,COLUMN(K103)-COLUMN($E$5),1)&gt;0,INDEX('Surface DEET'!$Q$9:$W$38,COLUMN(K103)-COLUMN($E$5),1),$E110),0)</f>
        <v>0</v>
      </c>
      <c r="L110" s="281">
        <f>IF(L$6=$C110,IF(INDEX('Surface DEET'!$Q$9:$W$38,COLUMN(L103)-COLUMN($E$5),1)&gt;0,INDEX('Surface DEET'!$Q$9:$W$38,COLUMN(L103)-COLUMN($E$5),1),$E110),0)</f>
        <v>0</v>
      </c>
      <c r="M110" s="281">
        <f>IF(M$6=$C110,IF(INDEX('Surface DEET'!$Q$9:$W$38,COLUMN(M103)-COLUMN($E$5),1)&gt;0,INDEX('Surface DEET'!$Q$9:$W$38,COLUMN(M103)-COLUMN($E$5),1),$E110),0)</f>
        <v>0</v>
      </c>
      <c r="N110" s="281">
        <f>IF(N$6=$C110,IF(INDEX('Surface DEET'!$Q$9:$W$38,COLUMN(N103)-COLUMN($E$5),1)&gt;0,INDEX('Surface DEET'!$Q$9:$W$38,COLUMN(N103)-COLUMN($E$5),1),$E110),0)</f>
        <v>0</v>
      </c>
      <c r="O110" s="281">
        <f>IF(O$6=$C110,IF(INDEX('Surface DEET'!$Q$9:$W$38,COLUMN(O103)-COLUMN($E$5),1)&gt;0,INDEX('Surface DEET'!$Q$9:$W$38,COLUMN(O103)-COLUMN($E$5),1),$E110),0)</f>
        <v>0</v>
      </c>
      <c r="P110" s="281">
        <f>IF(P$6=$C110,IF(INDEX('Surface DEET'!$Q$9:$W$38,COLUMN(P103)-COLUMN($E$5),1)&gt;0,INDEX('Surface DEET'!$Q$9:$W$38,COLUMN(P103)-COLUMN($E$5),1),$E110),0)</f>
        <v>0</v>
      </c>
      <c r="Q110" s="281">
        <f>IF(Q$6=$C110,IF(INDEX('Surface DEET'!$Q$9:$W$38,COLUMN(Q103)-COLUMN($E$5),1)&gt;0,INDEX('Surface DEET'!$Q$9:$W$38,COLUMN(Q103)-COLUMN($E$5),1),$E110),0)</f>
        <v>0</v>
      </c>
      <c r="R110" s="281">
        <f>IF(R$6=$C110,IF(INDEX('Surface DEET'!$Q$9:$W$38,COLUMN(R103)-COLUMN($E$5),1)&gt;0,INDEX('Surface DEET'!$Q$9:$W$38,COLUMN(R103)-COLUMN($E$5),1),$E110),0)</f>
        <v>0</v>
      </c>
      <c r="S110" s="281">
        <f>IF(S$6=$C110,IF(INDEX('Surface DEET'!$Q$9:$W$38,COLUMN(S103)-COLUMN($E$5),1)&gt;0,INDEX('Surface DEET'!$Q$9:$W$38,COLUMN(S103)-COLUMN($E$5),1),$E110),0)</f>
        <v>0</v>
      </c>
      <c r="T110" s="281">
        <f>IF(T$6=$C110,IF(INDEX('Surface DEET'!$Q$9:$W$38,COLUMN(T103)-COLUMN($E$5),1)&gt;0,INDEX('Surface DEET'!$Q$9:$W$38,COLUMN(T103)-COLUMN($E$5),1),$E110),0)</f>
        <v>0</v>
      </c>
      <c r="U110" s="281">
        <f>IF(U$6=$C110,IF(INDEX('Surface DEET'!$Q$9:$W$38,COLUMN(U103)-COLUMN($E$5),1)&gt;0,INDEX('Surface DEET'!$Q$9:$W$38,COLUMN(U103)-COLUMN($E$5),1),$E110),0)</f>
        <v>0</v>
      </c>
      <c r="V110" s="281">
        <f>IF(V$6=$C110,IF(INDEX('Surface DEET'!$Q$9:$W$38,COLUMN(V103)-COLUMN($E$5),1)&gt;0,INDEX('Surface DEET'!$Q$9:$W$38,COLUMN(V103)-COLUMN($E$5),1),$E110),0)</f>
        <v>0</v>
      </c>
      <c r="W110" s="281">
        <f>IF(W$6=$C110,IF(INDEX('Surface DEET'!$Q$9:$W$38,COLUMN(W103)-COLUMN($E$5),1)&gt;0,INDEX('Surface DEET'!$Q$9:$W$38,COLUMN(W103)-COLUMN($E$5),1),$E110),0)</f>
        <v>0</v>
      </c>
      <c r="X110" s="281">
        <f>IF(X$6=$C110,IF(INDEX('Surface DEET'!$Q$9:$W$38,COLUMN(X103)-COLUMN($E$5),1)&gt;0,INDEX('Surface DEET'!$Q$9:$W$38,COLUMN(X103)-COLUMN($E$5),1),$E110),0)</f>
        <v>0</v>
      </c>
      <c r="Y110" s="281">
        <f>IF(Y$6=$C110,IF(INDEX('Surface DEET'!$Q$9:$W$38,COLUMN(Y103)-COLUMN($E$5),1)&gt;0,INDEX('Surface DEET'!$Q$9:$W$38,COLUMN(Y103)-COLUMN($E$5),1),$E110),0)</f>
        <v>0</v>
      </c>
      <c r="Z110" s="281">
        <f>IF(Z$6=$C110,IF(INDEX('Surface DEET'!$Q$9:$W$38,COLUMN(Z103)-COLUMN($E$5),1)&gt;0,INDEX('Surface DEET'!$Q$9:$W$38,COLUMN(Z103)-COLUMN($E$5),1),$E110),0)</f>
        <v>0</v>
      </c>
      <c r="AA110" s="281">
        <f>IF(AA$6=$C110,IF(INDEX('Surface DEET'!$Q$9:$W$38,COLUMN(AA103)-COLUMN($E$5),1)&gt;0,INDEX('Surface DEET'!$Q$9:$W$38,COLUMN(AA103)-COLUMN($E$5),1),$E110),0)</f>
        <v>0</v>
      </c>
      <c r="AB110" s="281">
        <f>IF(AB$6=$C110,IF(INDEX('Surface DEET'!$Q$9:$W$38,COLUMN(AB103)-COLUMN($E$5),1)&gt;0,INDEX('Surface DEET'!$Q$9:$W$38,COLUMN(AB103)-COLUMN($E$5),1),$E110),0)</f>
        <v>0</v>
      </c>
      <c r="AC110" s="281">
        <f>IF(AC$6=$C110,IF(INDEX('Surface DEET'!$Q$9:$W$38,COLUMN(AC103)-COLUMN($E$5),1)&gt;0,INDEX('Surface DEET'!$Q$9:$W$38,COLUMN(AC103)-COLUMN($E$5),1),$E110),0)</f>
        <v>0</v>
      </c>
      <c r="AD110" s="281">
        <f>IF(AD$6=$C110,IF(INDEX('Surface DEET'!$Q$9:$W$38,COLUMN(AD103)-COLUMN($E$5),1)&gt;0,INDEX('Surface DEET'!$Q$9:$W$38,COLUMN(AD103)-COLUMN($E$5),1),$E110),0)</f>
        <v>0</v>
      </c>
      <c r="AE110" s="281">
        <f>IF(AE$6=$C110,IF(INDEX('Surface DEET'!$Q$9:$W$38,COLUMN(AE103)-COLUMN($E$5),1)&gt;0,INDEX('Surface DEET'!$Q$9:$W$38,COLUMN(AE103)-COLUMN($E$5),1),$E110),0)</f>
        <v>0</v>
      </c>
      <c r="AF110" s="281">
        <f>IF(AF$6=$C110,IF(INDEX('Surface DEET'!$Q$9:$W$38,COLUMN(AF103)-COLUMN($E$5),1)&gt;0,INDEX('Surface DEET'!$Q$9:$W$38,COLUMN(AF103)-COLUMN($E$5),1),$E110),0)</f>
        <v>0</v>
      </c>
      <c r="AG110" s="281">
        <f>IF(AG$6=$C110,IF(INDEX('Surface DEET'!$Q$9:$W$38,COLUMN(AG103)-COLUMN($E$5),1)&gt;0,INDEX('Surface DEET'!$Q$9:$W$38,COLUMN(AG103)-COLUMN($E$5),1),$E110),0)</f>
        <v>0</v>
      </c>
      <c r="AH110" s="281">
        <f>IF(AH$6=$C110,IF(INDEX('Surface DEET'!$Q$9:$W$38,COLUMN(AH103)-COLUMN($E$5),1)&gt;0,INDEX('Surface DEET'!$Q$9:$W$38,COLUMN(AH103)-COLUMN($E$5),1),$E110),0)</f>
        <v>0</v>
      </c>
      <c r="AI110" s="281">
        <f>IF(AI$6=$C110,IF(INDEX('Surface DEET'!$Q$9:$W$38,COLUMN(AI103)-COLUMN($E$5),1)&gt;0,INDEX('Surface DEET'!$Q$9:$W$38,COLUMN(AI103)-COLUMN($E$5),1),$E110),0)</f>
        <v>0</v>
      </c>
    </row>
    <row r="111" spans="1:35">
      <c r="A111" s="542"/>
      <c r="B111" s="281" t="s">
        <v>545</v>
      </c>
      <c r="C111" s="32" t="s">
        <v>621</v>
      </c>
      <c r="D111" s="329" t="s">
        <v>622</v>
      </c>
      <c r="E111" s="281">
        <v>18</v>
      </c>
      <c r="F111" s="281">
        <f>IF(F$6=$C111,IF(INDEX('Surface DEET'!$Q$9:$W$38,COLUMN(F104)-COLUMN($E$5),4)&gt;0,INDEX('Surface DEET'!$Q$9:$W$38,COLUMN(F104)-COLUMN($E$5),4),$E111),0)</f>
        <v>0</v>
      </c>
      <c r="G111" s="281">
        <f>IF(G$6=$C111,IF(INDEX('Surface DEET'!$Q$9:$W$38,COLUMN(G104)-COLUMN($E$5),4)&gt;0,INDEX('Surface DEET'!$Q$9:$W$38,COLUMN(G104)-COLUMN($E$5),4),$E111),0)</f>
        <v>0</v>
      </c>
      <c r="H111" s="281">
        <f>IF(H$6=$C111,IF(INDEX('Surface DEET'!$Q$9:$W$38,COLUMN(H104)-COLUMN($E$5),4)&gt;0,INDEX('Surface DEET'!$Q$9:$W$38,COLUMN(H104)-COLUMN($E$5),4),$E111),0)</f>
        <v>0</v>
      </c>
      <c r="I111" s="281">
        <f>IF(I$6=$C111,IF(INDEX('Surface DEET'!$Q$9:$W$38,COLUMN(I104)-COLUMN($E$5),4)&gt;0,INDEX('Surface DEET'!$Q$9:$W$38,COLUMN(I104)-COLUMN($E$5),4),$E111),0)</f>
        <v>0</v>
      </c>
      <c r="J111" s="281">
        <f>IF(J$6=$C111,IF(INDEX('Surface DEET'!$Q$9:$W$38,COLUMN(J104)-COLUMN($E$5),4)&gt;0,INDEX('Surface DEET'!$Q$9:$W$38,COLUMN(J104)-COLUMN($E$5),4),$E111),0)</f>
        <v>0</v>
      </c>
      <c r="K111" s="281">
        <f>IF(K$6=$C111,IF(INDEX('Surface DEET'!$Q$9:$W$38,COLUMN(K104)-COLUMN($E$5),4)&gt;0,INDEX('Surface DEET'!$Q$9:$W$38,COLUMN(K104)-COLUMN($E$5),4),$E111),0)</f>
        <v>0</v>
      </c>
      <c r="L111" s="281">
        <f>IF(L$6=$C111,IF(INDEX('Surface DEET'!$Q$9:$W$38,COLUMN(L104)-COLUMN($E$5),4)&gt;0,INDEX('Surface DEET'!$Q$9:$W$38,COLUMN(L104)-COLUMN($E$5),4),$E111),0)</f>
        <v>0</v>
      </c>
      <c r="M111" s="281">
        <f>IF(M$6=$C111,IF(INDEX('Surface DEET'!$Q$9:$W$38,COLUMN(M104)-COLUMN($E$5),4)&gt;0,INDEX('Surface DEET'!$Q$9:$W$38,COLUMN(M104)-COLUMN($E$5),4),$E111),0)</f>
        <v>0</v>
      </c>
      <c r="N111" s="281">
        <f>IF(N$6=$C111,IF(INDEX('Surface DEET'!$Q$9:$W$38,COLUMN(N104)-COLUMN($E$5),4)&gt;0,INDEX('Surface DEET'!$Q$9:$W$38,COLUMN(N104)-COLUMN($E$5),4),$E111),0)</f>
        <v>0</v>
      </c>
      <c r="O111" s="281">
        <f>IF(O$6=$C111,IF(INDEX('Surface DEET'!$Q$9:$W$38,COLUMN(O104)-COLUMN($E$5),4)&gt;0,INDEX('Surface DEET'!$Q$9:$W$38,COLUMN(O104)-COLUMN($E$5),4),$E111),0)</f>
        <v>0</v>
      </c>
      <c r="P111" s="281">
        <f>IF(P$6=$C111,IF(INDEX('Surface DEET'!$Q$9:$W$38,COLUMN(P104)-COLUMN($E$5),4)&gt;0,INDEX('Surface DEET'!$Q$9:$W$38,COLUMN(P104)-COLUMN($E$5),4),$E111),0)</f>
        <v>0</v>
      </c>
      <c r="Q111" s="281">
        <f>IF(Q$6=$C111,IF(INDEX('Surface DEET'!$Q$9:$W$38,COLUMN(Q104)-COLUMN($E$5),4)&gt;0,INDEX('Surface DEET'!$Q$9:$W$38,COLUMN(Q104)-COLUMN($E$5),4),$E111),0)</f>
        <v>0</v>
      </c>
      <c r="R111" s="281">
        <f>IF(R$6=$C111,IF(INDEX('Surface DEET'!$Q$9:$W$38,COLUMN(R104)-COLUMN($E$5),4)&gt;0,INDEX('Surface DEET'!$Q$9:$W$38,COLUMN(R104)-COLUMN($E$5),4),$E111),0)</f>
        <v>0</v>
      </c>
      <c r="S111" s="281">
        <f>IF(S$6=$C111,IF(INDEX('Surface DEET'!$Q$9:$W$38,COLUMN(S104)-COLUMN($E$5),4)&gt;0,INDEX('Surface DEET'!$Q$9:$W$38,COLUMN(S104)-COLUMN($E$5),4),$E111),0)</f>
        <v>0</v>
      </c>
      <c r="T111" s="281">
        <f>IF(T$6=$C111,IF(INDEX('Surface DEET'!$Q$9:$W$38,COLUMN(T104)-COLUMN($E$5),4)&gt;0,INDEX('Surface DEET'!$Q$9:$W$38,COLUMN(T104)-COLUMN($E$5),4),$E111),0)</f>
        <v>0</v>
      </c>
      <c r="U111" s="281">
        <f>IF(U$6=$C111,IF(INDEX('Surface DEET'!$Q$9:$W$38,COLUMN(U104)-COLUMN($E$5),4)&gt;0,INDEX('Surface DEET'!$Q$9:$W$38,COLUMN(U104)-COLUMN($E$5),4),$E111),0)</f>
        <v>0</v>
      </c>
      <c r="V111" s="281">
        <f>IF(V$6=$C111,IF(INDEX('Surface DEET'!$Q$9:$W$38,COLUMN(V104)-COLUMN($E$5),4)&gt;0,INDEX('Surface DEET'!$Q$9:$W$38,COLUMN(V104)-COLUMN($E$5),4),$E111),0)</f>
        <v>0</v>
      </c>
      <c r="W111" s="281">
        <f>IF(W$6=$C111,IF(INDEX('Surface DEET'!$Q$9:$W$38,COLUMN(W104)-COLUMN($E$5),4)&gt;0,INDEX('Surface DEET'!$Q$9:$W$38,COLUMN(W104)-COLUMN($E$5),4),$E111),0)</f>
        <v>0</v>
      </c>
      <c r="X111" s="281">
        <f>IF(X$6=$C111,IF(INDEX('Surface DEET'!$Q$9:$W$38,COLUMN(X104)-COLUMN($E$5),4)&gt;0,INDEX('Surface DEET'!$Q$9:$W$38,COLUMN(X104)-COLUMN($E$5),4),$E111),0)</f>
        <v>0</v>
      </c>
      <c r="Y111" s="281">
        <f>IF(Y$6=$C111,IF(INDEX('Surface DEET'!$Q$9:$W$38,COLUMN(Y104)-COLUMN($E$5),4)&gt;0,INDEX('Surface DEET'!$Q$9:$W$38,COLUMN(Y104)-COLUMN($E$5),4),$E111),0)</f>
        <v>0</v>
      </c>
      <c r="Z111" s="281">
        <f>IF(Z$6=$C111,IF(INDEX('Surface DEET'!$Q$9:$W$38,COLUMN(Z104)-COLUMN($E$5),4)&gt;0,INDEX('Surface DEET'!$Q$9:$W$38,COLUMN(Z104)-COLUMN($E$5),4),$E111),0)</f>
        <v>0</v>
      </c>
      <c r="AA111" s="281">
        <f>IF(AA$6=$C111,IF(INDEX('Surface DEET'!$Q$9:$W$38,COLUMN(AA104)-COLUMN($E$5),4)&gt;0,INDEX('Surface DEET'!$Q$9:$W$38,COLUMN(AA104)-COLUMN($E$5),4),$E111),0)</f>
        <v>0</v>
      </c>
      <c r="AB111" s="281">
        <f>IF(AB$6=$C111,IF(INDEX('Surface DEET'!$Q$9:$W$38,COLUMN(AB104)-COLUMN($E$5),4)&gt;0,INDEX('Surface DEET'!$Q$9:$W$38,COLUMN(AB104)-COLUMN($E$5),4),$E111),0)</f>
        <v>0</v>
      </c>
      <c r="AC111" s="281">
        <f>IF(AC$6=$C111,IF(INDEX('Surface DEET'!$Q$9:$W$38,COLUMN(AC104)-COLUMN($E$5),4)&gt;0,INDEX('Surface DEET'!$Q$9:$W$38,COLUMN(AC104)-COLUMN($E$5),4),$E111),0)</f>
        <v>0</v>
      </c>
      <c r="AD111" s="281">
        <f>IF(AD$6=$C111,IF(INDEX('Surface DEET'!$Q$9:$W$38,COLUMN(AD104)-COLUMN($E$5),4)&gt;0,INDEX('Surface DEET'!$Q$9:$W$38,COLUMN(AD104)-COLUMN($E$5),4),$E111),0)</f>
        <v>0</v>
      </c>
      <c r="AE111" s="281">
        <f>IF(AE$6=$C111,IF(INDEX('Surface DEET'!$Q$9:$W$38,COLUMN(AE104)-COLUMN($E$5),4)&gt;0,INDEX('Surface DEET'!$Q$9:$W$38,COLUMN(AE104)-COLUMN($E$5),4),$E111),0)</f>
        <v>0</v>
      </c>
      <c r="AF111" s="281">
        <f>IF(AF$6=$C111,IF(INDEX('Surface DEET'!$Q$9:$W$38,COLUMN(AF104)-COLUMN($E$5),4)&gt;0,INDEX('Surface DEET'!$Q$9:$W$38,COLUMN(AF104)-COLUMN($E$5),4),$E111),0)</f>
        <v>0</v>
      </c>
      <c r="AG111" s="281">
        <f>IF(AG$6=$C111,IF(INDEX('Surface DEET'!$Q$9:$W$38,COLUMN(AG104)-COLUMN($E$5),4)&gt;0,INDEX('Surface DEET'!$Q$9:$W$38,COLUMN(AG104)-COLUMN($E$5),4),$E111),0)</f>
        <v>0</v>
      </c>
      <c r="AH111" s="281">
        <f>IF(AH$6=$C111,IF(INDEX('Surface DEET'!$Q$9:$W$38,COLUMN(AH104)-COLUMN($E$5),4)&gt;0,INDEX('Surface DEET'!$Q$9:$W$38,COLUMN(AH104)-COLUMN($E$5),4),$E111),0)</f>
        <v>0</v>
      </c>
      <c r="AI111" s="281">
        <f>IF(AI$6=$C111,IF(INDEX('Surface DEET'!$Q$9:$W$38,COLUMN(AI104)-COLUMN($E$5),4)&gt;0,INDEX('Surface DEET'!$Q$9:$W$38,COLUMN(AI104)-COLUMN($E$5),4),$E111),0)</f>
        <v>0</v>
      </c>
    </row>
    <row r="112" spans="1:35">
      <c r="A112" s="542"/>
      <c r="B112" s="281" t="s">
        <v>548</v>
      </c>
      <c r="C112" s="32" t="s">
        <v>621</v>
      </c>
      <c r="D112" s="329" t="s">
        <v>623</v>
      </c>
      <c r="E112" s="281">
        <v>0.7</v>
      </c>
      <c r="F112" s="281">
        <f>IF(F$6=$C112,IF(INDEX('Surface DEET'!$Q$9:$W$38,COLUMN(F105)-COLUMN($E$5),7)&gt;0,INDEX('Surface DEET'!$Q$9:$W$38,COLUMN(F105)-COLUMN($E$5),7),$E112),0)</f>
        <v>0</v>
      </c>
      <c r="G112" s="281">
        <f>IF(G$6=$C112,IF(INDEX('Surface DEET'!$Q$9:$W$38,COLUMN(G105)-COLUMN($E$5),7)&gt;0,INDEX('Surface DEET'!$Q$9:$W$38,COLUMN(G105)-COLUMN($E$5),7),$E112),0)</f>
        <v>0</v>
      </c>
      <c r="H112" s="281">
        <f>IF(H$6=$C112,IF(INDEX('Surface DEET'!$Q$9:$W$38,COLUMN(H105)-COLUMN($E$5),7)&gt;0,INDEX('Surface DEET'!$Q$9:$W$38,COLUMN(H105)-COLUMN($E$5),7),$E112),0)</f>
        <v>0</v>
      </c>
      <c r="I112" s="281">
        <f>IF(I$6=$C112,IF(INDEX('Surface DEET'!$Q$9:$W$38,COLUMN(I105)-COLUMN($E$5),7)&gt;0,INDEX('Surface DEET'!$Q$9:$W$38,COLUMN(I105)-COLUMN($E$5),7),$E112),0)</f>
        <v>0</v>
      </c>
      <c r="J112" s="281">
        <f>IF(J$6=$C112,IF(INDEX('Surface DEET'!$Q$9:$W$38,COLUMN(J105)-COLUMN($E$5),7)&gt;0,INDEX('Surface DEET'!$Q$9:$W$38,COLUMN(J105)-COLUMN($E$5),7),$E112),0)</f>
        <v>0</v>
      </c>
      <c r="K112" s="281">
        <f>IF(K$6=$C112,IF(INDEX('Surface DEET'!$Q$9:$W$38,COLUMN(K105)-COLUMN($E$5),7)&gt;0,INDEX('Surface DEET'!$Q$9:$W$38,COLUMN(K105)-COLUMN($E$5),7),$E112),0)</f>
        <v>0</v>
      </c>
      <c r="L112" s="281">
        <f>IF(L$6=$C112,IF(INDEX('Surface DEET'!$Q$9:$W$38,COLUMN(L105)-COLUMN($E$5),7)&gt;0,INDEX('Surface DEET'!$Q$9:$W$38,COLUMN(L105)-COLUMN($E$5),7),$E112),0)</f>
        <v>0</v>
      </c>
      <c r="M112" s="281">
        <f>IF(M$6=$C112,IF(INDEX('Surface DEET'!$Q$9:$W$38,COLUMN(M105)-COLUMN($E$5),7)&gt;0,INDEX('Surface DEET'!$Q$9:$W$38,COLUMN(M105)-COLUMN($E$5),7),$E112),0)</f>
        <v>0</v>
      </c>
      <c r="N112" s="281">
        <f>IF(N$6=$C112,IF(INDEX('Surface DEET'!$Q$9:$W$38,COLUMN(N105)-COLUMN($E$5),7)&gt;0,INDEX('Surface DEET'!$Q$9:$W$38,COLUMN(N105)-COLUMN($E$5),7),$E112),0)</f>
        <v>0</v>
      </c>
      <c r="O112" s="281">
        <f>IF(O$6=$C112,IF(INDEX('Surface DEET'!$Q$9:$W$38,COLUMN(O105)-COLUMN($E$5),7)&gt;0,INDEX('Surface DEET'!$Q$9:$W$38,COLUMN(O105)-COLUMN($E$5),7),$E112),0)</f>
        <v>0</v>
      </c>
      <c r="P112" s="281">
        <f>IF(P$6=$C112,IF(INDEX('Surface DEET'!$Q$9:$W$38,COLUMN(P105)-COLUMN($E$5),7)&gt;0,INDEX('Surface DEET'!$Q$9:$W$38,COLUMN(P105)-COLUMN($E$5),7),$E112),0)</f>
        <v>0</v>
      </c>
      <c r="Q112" s="281">
        <f>IF(Q$6=$C112,IF(INDEX('Surface DEET'!$Q$9:$W$38,COLUMN(Q105)-COLUMN($E$5),7)&gt;0,INDEX('Surface DEET'!$Q$9:$W$38,COLUMN(Q105)-COLUMN($E$5),7),$E112),0)</f>
        <v>0</v>
      </c>
      <c r="R112" s="281">
        <f>IF(R$6=$C112,IF(INDEX('Surface DEET'!$Q$9:$W$38,COLUMN(R105)-COLUMN($E$5),7)&gt;0,INDEX('Surface DEET'!$Q$9:$W$38,COLUMN(R105)-COLUMN($E$5),7),$E112),0)</f>
        <v>0</v>
      </c>
      <c r="S112" s="281">
        <f>IF(S$6=$C112,IF(INDEX('Surface DEET'!$Q$9:$W$38,COLUMN(S105)-COLUMN($E$5),7)&gt;0,INDEX('Surface DEET'!$Q$9:$W$38,COLUMN(S105)-COLUMN($E$5),7),$E112),0)</f>
        <v>0</v>
      </c>
      <c r="T112" s="281">
        <f>IF(T$6=$C112,IF(INDEX('Surface DEET'!$Q$9:$W$38,COLUMN(T105)-COLUMN($E$5),7)&gt;0,INDEX('Surface DEET'!$Q$9:$W$38,COLUMN(T105)-COLUMN($E$5),7),$E112),0)</f>
        <v>0</v>
      </c>
      <c r="U112" s="281">
        <f>IF(U$6=$C112,IF(INDEX('Surface DEET'!$Q$9:$W$38,COLUMN(U105)-COLUMN($E$5),7)&gt;0,INDEX('Surface DEET'!$Q$9:$W$38,COLUMN(U105)-COLUMN($E$5),7),$E112),0)</f>
        <v>0</v>
      </c>
      <c r="V112" s="281">
        <f>IF(V$6=$C112,IF(INDEX('Surface DEET'!$Q$9:$W$38,COLUMN(V105)-COLUMN($E$5),7)&gt;0,INDEX('Surface DEET'!$Q$9:$W$38,COLUMN(V105)-COLUMN($E$5),7),$E112),0)</f>
        <v>0</v>
      </c>
      <c r="W112" s="281">
        <f>IF(W$6=$C112,IF(INDEX('Surface DEET'!$Q$9:$W$38,COLUMN(W105)-COLUMN($E$5),7)&gt;0,INDEX('Surface DEET'!$Q$9:$W$38,COLUMN(W105)-COLUMN($E$5),7),$E112),0)</f>
        <v>0</v>
      </c>
      <c r="X112" s="281">
        <f>IF(X$6=$C112,IF(INDEX('Surface DEET'!$Q$9:$W$38,COLUMN(X105)-COLUMN($E$5),7)&gt;0,INDEX('Surface DEET'!$Q$9:$W$38,COLUMN(X105)-COLUMN($E$5),7),$E112),0)</f>
        <v>0</v>
      </c>
      <c r="Y112" s="281">
        <f>IF(Y$6=$C112,IF(INDEX('Surface DEET'!$Q$9:$W$38,COLUMN(Y105)-COLUMN($E$5),7)&gt;0,INDEX('Surface DEET'!$Q$9:$W$38,COLUMN(Y105)-COLUMN($E$5),7),$E112),0)</f>
        <v>0</v>
      </c>
      <c r="Z112" s="281">
        <f>IF(Z$6=$C112,IF(INDEX('Surface DEET'!$Q$9:$W$38,COLUMN(Z105)-COLUMN($E$5),7)&gt;0,INDEX('Surface DEET'!$Q$9:$W$38,COLUMN(Z105)-COLUMN($E$5),7),$E112),0)</f>
        <v>0</v>
      </c>
      <c r="AA112" s="281">
        <f>IF(AA$6=$C112,IF(INDEX('Surface DEET'!$Q$9:$W$38,COLUMN(AA105)-COLUMN($E$5),7)&gt;0,INDEX('Surface DEET'!$Q$9:$W$38,COLUMN(AA105)-COLUMN($E$5),7),$E112),0)</f>
        <v>0</v>
      </c>
      <c r="AB112" s="281">
        <f>IF(AB$6=$C112,IF(INDEX('Surface DEET'!$Q$9:$W$38,COLUMN(AB105)-COLUMN($E$5),7)&gt;0,INDEX('Surface DEET'!$Q$9:$W$38,COLUMN(AB105)-COLUMN($E$5),7),$E112),0)</f>
        <v>0</v>
      </c>
      <c r="AC112" s="281">
        <f>IF(AC$6=$C112,IF(INDEX('Surface DEET'!$Q$9:$W$38,COLUMN(AC105)-COLUMN($E$5),7)&gt;0,INDEX('Surface DEET'!$Q$9:$W$38,COLUMN(AC105)-COLUMN($E$5),7),$E112),0)</f>
        <v>0</v>
      </c>
      <c r="AD112" s="281">
        <f>IF(AD$6=$C112,IF(INDEX('Surface DEET'!$Q$9:$W$38,COLUMN(AD105)-COLUMN($E$5),7)&gt;0,INDEX('Surface DEET'!$Q$9:$W$38,COLUMN(AD105)-COLUMN($E$5),7),$E112),0)</f>
        <v>0</v>
      </c>
      <c r="AE112" s="281">
        <f>IF(AE$6=$C112,IF(INDEX('Surface DEET'!$Q$9:$W$38,COLUMN(AE105)-COLUMN($E$5),7)&gt;0,INDEX('Surface DEET'!$Q$9:$W$38,COLUMN(AE105)-COLUMN($E$5),7),$E112),0)</f>
        <v>0</v>
      </c>
      <c r="AF112" s="281">
        <f>IF(AF$6=$C112,IF(INDEX('Surface DEET'!$Q$9:$W$38,COLUMN(AF105)-COLUMN($E$5),7)&gt;0,INDEX('Surface DEET'!$Q$9:$W$38,COLUMN(AF105)-COLUMN($E$5),7),$E112),0)</f>
        <v>0</v>
      </c>
      <c r="AG112" s="281">
        <f>IF(AG$6=$C112,IF(INDEX('Surface DEET'!$Q$9:$W$38,COLUMN(AG105)-COLUMN($E$5),7)&gt;0,INDEX('Surface DEET'!$Q$9:$W$38,COLUMN(AG105)-COLUMN($E$5),7),$E112),0)</f>
        <v>0</v>
      </c>
      <c r="AH112" s="281">
        <f>IF(AH$6=$C112,IF(INDEX('Surface DEET'!$Q$9:$W$38,COLUMN(AH105)-COLUMN($E$5),7)&gt;0,INDEX('Surface DEET'!$Q$9:$W$38,COLUMN(AH105)-COLUMN($E$5),7),$E112),0)</f>
        <v>0</v>
      </c>
      <c r="AI112" s="281">
        <f>IF(AI$6=$C112,IF(INDEX('Surface DEET'!$Q$9:$W$38,COLUMN(AI105)-COLUMN($E$5),7)&gt;0,INDEX('Surface DEET'!$Q$9:$W$38,COLUMN(AI105)-COLUMN($E$5),7),$E112),0)</f>
        <v>0</v>
      </c>
    </row>
    <row r="113" spans="1:35">
      <c r="A113" s="542"/>
      <c r="B113" s="281" t="s">
        <v>538</v>
      </c>
      <c r="C113" s="32" t="s">
        <v>621</v>
      </c>
      <c r="D113" s="281" t="s">
        <v>538</v>
      </c>
      <c r="F113" s="281">
        <f>IFERROR($E$107*(F110/$E$110)*($E$109*(F112/$E$112)*($E$111/F111)+(1-$E$109))+0.28*$E$106*(F110-$E$110)/$E$110,0)</f>
        <v>0</v>
      </c>
      <c r="G113" s="281">
        <f t="shared" ref="G113:AI113" si="12">IFERROR($E$107*(G110/$E$110)*($E$109*(G112/$E$112)*($E$111/G111)+(1-$E$109))+0.28*$E$106*(G110-$E$110)/$E$110,0)</f>
        <v>0</v>
      </c>
      <c r="H113" s="281">
        <f t="shared" si="12"/>
        <v>0</v>
      </c>
      <c r="I113" s="281">
        <f t="shared" si="12"/>
        <v>0</v>
      </c>
      <c r="J113" s="281">
        <f t="shared" si="12"/>
        <v>0</v>
      </c>
      <c r="K113" s="281">
        <f t="shared" si="12"/>
        <v>0</v>
      </c>
      <c r="L113" s="281">
        <f t="shared" si="12"/>
        <v>0</v>
      </c>
      <c r="M113" s="281">
        <f t="shared" si="12"/>
        <v>0</v>
      </c>
      <c r="N113" s="281">
        <f t="shared" si="12"/>
        <v>0</v>
      </c>
      <c r="O113" s="281">
        <f t="shared" si="12"/>
        <v>0</v>
      </c>
      <c r="P113" s="281">
        <f t="shared" si="12"/>
        <v>0</v>
      </c>
      <c r="Q113" s="281">
        <f t="shared" si="12"/>
        <v>0</v>
      </c>
      <c r="R113" s="281">
        <f t="shared" si="12"/>
        <v>0</v>
      </c>
      <c r="S113" s="281">
        <f t="shared" si="12"/>
        <v>0</v>
      </c>
      <c r="T113" s="281">
        <f t="shared" si="12"/>
        <v>0</v>
      </c>
      <c r="U113" s="281">
        <f t="shared" si="12"/>
        <v>0</v>
      </c>
      <c r="V113" s="281">
        <f t="shared" si="12"/>
        <v>0</v>
      </c>
      <c r="W113" s="281">
        <f t="shared" si="12"/>
        <v>0</v>
      </c>
      <c r="X113" s="281">
        <f t="shared" si="12"/>
        <v>0</v>
      </c>
      <c r="Y113" s="281">
        <f t="shared" si="12"/>
        <v>0</v>
      </c>
      <c r="Z113" s="281">
        <f t="shared" si="12"/>
        <v>0</v>
      </c>
      <c r="AA113" s="281">
        <f t="shared" si="12"/>
        <v>0</v>
      </c>
      <c r="AB113" s="281">
        <f t="shared" si="12"/>
        <v>0</v>
      </c>
      <c r="AC113" s="281">
        <f t="shared" si="12"/>
        <v>0</v>
      </c>
      <c r="AD113" s="281">
        <f t="shared" si="12"/>
        <v>0</v>
      </c>
      <c r="AE113" s="281">
        <f t="shared" si="12"/>
        <v>0</v>
      </c>
      <c r="AF113" s="281">
        <f t="shared" si="12"/>
        <v>0</v>
      </c>
      <c r="AG113" s="281">
        <f t="shared" si="12"/>
        <v>0</v>
      </c>
      <c r="AH113" s="281">
        <f t="shared" si="12"/>
        <v>0</v>
      </c>
      <c r="AI113" s="281">
        <f t="shared" si="12"/>
        <v>0</v>
      </c>
    </row>
    <row r="114" spans="1:35">
      <c r="A114" s="542" t="s">
        <v>624</v>
      </c>
      <c r="B114" s="92" t="s">
        <v>298</v>
      </c>
      <c r="C114" s="32" t="s">
        <v>624</v>
      </c>
      <c r="D114" s="92" t="s">
        <v>298</v>
      </c>
      <c r="E114" s="281">
        <f t="array" ref="E114">INDEX(CABS_CVC!$C$3:$O$870,MATCH(1, (CABS_CVC!$A$3:$A$870=Calculs_CABS!C114)*(CABS_CVC!$B$3:$B$870=Calculs_CABS!$D$2),0),MATCH(Calculs_CABS!$D$1,Liste_CABS!$B$3:$B$15,0))</f>
        <v>34</v>
      </c>
    </row>
    <row r="115" spans="1:35">
      <c r="A115" s="542"/>
      <c r="B115" s="281" t="s">
        <v>539</v>
      </c>
      <c r="C115" s="32" t="s">
        <v>624</v>
      </c>
      <c r="D115" s="281" t="s">
        <v>539</v>
      </c>
      <c r="E115" s="281">
        <v>28</v>
      </c>
    </row>
    <row r="116" spans="1:35">
      <c r="A116" s="542"/>
      <c r="B116" s="281" t="s">
        <v>540</v>
      </c>
      <c r="C116" s="32" t="s">
        <v>624</v>
      </c>
      <c r="D116" s="281" t="s">
        <v>540</v>
      </c>
      <c r="E116" s="281">
        <f>E114+E115</f>
        <v>62</v>
      </c>
    </row>
    <row r="117" spans="1:35">
      <c r="A117" s="542"/>
      <c r="B117" s="281" t="s">
        <v>541</v>
      </c>
      <c r="C117" s="32" t="s">
        <v>624</v>
      </c>
      <c r="D117" s="281" t="s">
        <v>541</v>
      </c>
      <c r="E117" s="281">
        <v>0.63</v>
      </c>
    </row>
    <row r="118" spans="1:35">
      <c r="A118" s="542"/>
      <c r="B118" s="281" t="s">
        <v>542</v>
      </c>
      <c r="C118" s="32" t="s">
        <v>624</v>
      </c>
      <c r="D118" s="329" t="s">
        <v>588</v>
      </c>
      <c r="E118" s="281">
        <v>3120</v>
      </c>
      <c r="F118" s="281">
        <f>IF(F$6=$C118,IF(INDEX('Surface DEET'!$Q$9:$W$38,COLUMN(F111)-COLUMN($E$5),1)&gt;0,INDEX('Surface DEET'!$Q$9:$W$38,COLUMN(F111)-COLUMN($E$5),1),$E118),0)</f>
        <v>0</v>
      </c>
      <c r="G118" s="281">
        <f>IF(G$6=$C118,IF(INDEX('Surface DEET'!$Q$9:$W$38,COLUMN(G111)-COLUMN($E$5),1)&gt;0,INDEX('Surface DEET'!$Q$9:$W$38,COLUMN(G111)-COLUMN($E$5),1),$E118),0)</f>
        <v>0</v>
      </c>
      <c r="H118" s="281">
        <f>IF(H$6=$C118,IF(INDEX('Surface DEET'!$Q$9:$W$38,COLUMN(H111)-COLUMN($E$5),1)&gt;0,INDEX('Surface DEET'!$Q$9:$W$38,COLUMN(H111)-COLUMN($E$5),1),$E118),0)</f>
        <v>0</v>
      </c>
      <c r="I118" s="281">
        <f>IF(I$6=$C118,IF(INDEX('Surface DEET'!$Q$9:$W$38,COLUMN(I111)-COLUMN($E$5),1)&gt;0,INDEX('Surface DEET'!$Q$9:$W$38,COLUMN(I111)-COLUMN($E$5),1),$E118),0)</f>
        <v>0</v>
      </c>
      <c r="J118" s="281">
        <f>IF(J$6=$C118,IF(INDEX('Surface DEET'!$Q$9:$W$38,COLUMN(J111)-COLUMN($E$5),1)&gt;0,INDEX('Surface DEET'!$Q$9:$W$38,COLUMN(J111)-COLUMN($E$5),1),$E118),0)</f>
        <v>0</v>
      </c>
      <c r="K118" s="281">
        <f>IF(K$6=$C118,IF(INDEX('Surface DEET'!$Q$9:$W$38,COLUMN(K111)-COLUMN($E$5),1)&gt;0,INDEX('Surface DEET'!$Q$9:$W$38,COLUMN(K111)-COLUMN($E$5),1),$E118),0)</f>
        <v>0</v>
      </c>
      <c r="L118" s="281">
        <f>IF(L$6=$C118,IF(INDEX('Surface DEET'!$Q$9:$W$38,COLUMN(L111)-COLUMN($E$5),1)&gt;0,INDEX('Surface DEET'!$Q$9:$W$38,COLUMN(L111)-COLUMN($E$5),1),$E118),0)</f>
        <v>0</v>
      </c>
      <c r="M118" s="281">
        <f>IF(M$6=$C118,IF(INDEX('Surface DEET'!$Q$9:$W$38,COLUMN(M111)-COLUMN($E$5),1)&gt;0,INDEX('Surface DEET'!$Q$9:$W$38,COLUMN(M111)-COLUMN($E$5),1),$E118),0)</f>
        <v>0</v>
      </c>
      <c r="N118" s="281">
        <f>IF(N$6=$C118,IF(INDEX('Surface DEET'!$Q$9:$W$38,COLUMN(N111)-COLUMN($E$5),1)&gt;0,INDEX('Surface DEET'!$Q$9:$W$38,COLUMN(N111)-COLUMN($E$5),1),$E118),0)</f>
        <v>0</v>
      </c>
      <c r="O118" s="281">
        <f>IF(O$6=$C118,IF(INDEX('Surface DEET'!$Q$9:$W$38,COLUMN(O111)-COLUMN($E$5),1)&gt;0,INDEX('Surface DEET'!$Q$9:$W$38,COLUMN(O111)-COLUMN($E$5),1),$E118),0)</f>
        <v>0</v>
      </c>
      <c r="P118" s="281">
        <f>IF(P$6=$C118,IF(INDEX('Surface DEET'!$Q$9:$W$38,COLUMN(P111)-COLUMN($E$5),1)&gt;0,INDEX('Surface DEET'!$Q$9:$W$38,COLUMN(P111)-COLUMN($E$5),1),$E118),0)</f>
        <v>0</v>
      </c>
      <c r="Q118" s="281">
        <f>IF(Q$6=$C118,IF(INDEX('Surface DEET'!$Q$9:$W$38,COLUMN(Q111)-COLUMN($E$5),1)&gt;0,INDEX('Surface DEET'!$Q$9:$W$38,COLUMN(Q111)-COLUMN($E$5),1),$E118),0)</f>
        <v>0</v>
      </c>
      <c r="R118" s="281">
        <f>IF(R$6=$C118,IF(INDEX('Surface DEET'!$Q$9:$W$38,COLUMN(R111)-COLUMN($E$5),1)&gt;0,INDEX('Surface DEET'!$Q$9:$W$38,COLUMN(R111)-COLUMN($E$5),1),$E118),0)</f>
        <v>0</v>
      </c>
      <c r="S118" s="281">
        <f>IF(S$6=$C118,IF(INDEX('Surface DEET'!$Q$9:$W$38,COLUMN(S111)-COLUMN($E$5),1)&gt;0,INDEX('Surface DEET'!$Q$9:$W$38,COLUMN(S111)-COLUMN($E$5),1),$E118),0)</f>
        <v>0</v>
      </c>
      <c r="T118" s="281">
        <f>IF(T$6=$C118,IF(INDEX('Surface DEET'!$Q$9:$W$38,COLUMN(T111)-COLUMN($E$5),1)&gt;0,INDEX('Surface DEET'!$Q$9:$W$38,COLUMN(T111)-COLUMN($E$5),1),$E118),0)</f>
        <v>0</v>
      </c>
      <c r="U118" s="281">
        <f>IF(U$6=$C118,IF(INDEX('Surface DEET'!$Q$9:$W$38,COLUMN(U111)-COLUMN($E$5),1)&gt;0,INDEX('Surface DEET'!$Q$9:$W$38,COLUMN(U111)-COLUMN($E$5),1),$E118),0)</f>
        <v>0</v>
      </c>
      <c r="V118" s="281">
        <f>IF(V$6=$C118,IF(INDEX('Surface DEET'!$Q$9:$W$38,COLUMN(V111)-COLUMN($E$5),1)&gt;0,INDEX('Surface DEET'!$Q$9:$W$38,COLUMN(V111)-COLUMN($E$5),1),$E118),0)</f>
        <v>0</v>
      </c>
      <c r="W118" s="281">
        <f>IF(W$6=$C118,IF(INDEX('Surface DEET'!$Q$9:$W$38,COLUMN(W111)-COLUMN($E$5),1)&gt;0,INDEX('Surface DEET'!$Q$9:$W$38,COLUMN(W111)-COLUMN($E$5),1),$E118),0)</f>
        <v>0</v>
      </c>
      <c r="X118" s="281">
        <f>IF(X$6=$C118,IF(INDEX('Surface DEET'!$Q$9:$W$38,COLUMN(X111)-COLUMN($E$5),1)&gt;0,INDEX('Surface DEET'!$Q$9:$W$38,COLUMN(X111)-COLUMN($E$5),1),$E118),0)</f>
        <v>0</v>
      </c>
      <c r="Y118" s="281">
        <f>IF(Y$6=$C118,IF(INDEX('Surface DEET'!$Q$9:$W$38,COLUMN(Y111)-COLUMN($E$5),1)&gt;0,INDEX('Surface DEET'!$Q$9:$W$38,COLUMN(Y111)-COLUMN($E$5),1),$E118),0)</f>
        <v>0</v>
      </c>
      <c r="Z118" s="281">
        <f>IF(Z$6=$C118,IF(INDEX('Surface DEET'!$Q$9:$W$38,COLUMN(Z111)-COLUMN($E$5),1)&gt;0,INDEX('Surface DEET'!$Q$9:$W$38,COLUMN(Z111)-COLUMN($E$5),1),$E118),0)</f>
        <v>0</v>
      </c>
      <c r="AA118" s="281">
        <f>IF(AA$6=$C118,IF(INDEX('Surface DEET'!$Q$9:$W$38,COLUMN(AA111)-COLUMN($E$5),1)&gt;0,INDEX('Surface DEET'!$Q$9:$W$38,COLUMN(AA111)-COLUMN($E$5),1),$E118),0)</f>
        <v>0</v>
      </c>
      <c r="AB118" s="281">
        <f>IF(AB$6=$C118,IF(INDEX('Surface DEET'!$Q$9:$W$38,COLUMN(AB111)-COLUMN($E$5),1)&gt;0,INDEX('Surface DEET'!$Q$9:$W$38,COLUMN(AB111)-COLUMN($E$5),1),$E118),0)</f>
        <v>0</v>
      </c>
      <c r="AC118" s="281">
        <f>IF(AC$6=$C118,IF(INDEX('Surface DEET'!$Q$9:$W$38,COLUMN(AC111)-COLUMN($E$5),1)&gt;0,INDEX('Surface DEET'!$Q$9:$W$38,COLUMN(AC111)-COLUMN($E$5),1),$E118),0)</f>
        <v>0</v>
      </c>
      <c r="AD118" s="281">
        <f>IF(AD$6=$C118,IF(INDEX('Surface DEET'!$Q$9:$W$38,COLUMN(AD111)-COLUMN($E$5),1)&gt;0,INDEX('Surface DEET'!$Q$9:$W$38,COLUMN(AD111)-COLUMN($E$5),1),$E118),0)</f>
        <v>0</v>
      </c>
      <c r="AE118" s="281">
        <f>IF(AE$6=$C118,IF(INDEX('Surface DEET'!$Q$9:$W$38,COLUMN(AE111)-COLUMN($E$5),1)&gt;0,INDEX('Surface DEET'!$Q$9:$W$38,COLUMN(AE111)-COLUMN($E$5),1),$E118),0)</f>
        <v>0</v>
      </c>
      <c r="AF118" s="281">
        <f>IF(AF$6=$C118,IF(INDEX('Surface DEET'!$Q$9:$W$38,COLUMN(AF111)-COLUMN($E$5),1)&gt;0,INDEX('Surface DEET'!$Q$9:$W$38,COLUMN(AF111)-COLUMN($E$5),1),$E118),0)</f>
        <v>0</v>
      </c>
      <c r="AG118" s="281">
        <f>IF(AG$6=$C118,IF(INDEX('Surface DEET'!$Q$9:$W$38,COLUMN(AG111)-COLUMN($E$5),1)&gt;0,INDEX('Surface DEET'!$Q$9:$W$38,COLUMN(AG111)-COLUMN($E$5),1),$E118),0)</f>
        <v>0</v>
      </c>
      <c r="AH118" s="281">
        <f>IF(AH$6=$C118,IF(INDEX('Surface DEET'!$Q$9:$W$38,COLUMN(AH111)-COLUMN($E$5),1)&gt;0,INDEX('Surface DEET'!$Q$9:$W$38,COLUMN(AH111)-COLUMN($E$5),1),$E118),0)</f>
        <v>0</v>
      </c>
      <c r="AI118" s="281">
        <f>IF(AI$6=$C118,IF(INDEX('Surface DEET'!$Q$9:$W$38,COLUMN(AI111)-COLUMN($E$5),1)&gt;0,INDEX('Surface DEET'!$Q$9:$W$38,COLUMN(AI111)-COLUMN($E$5),1),$E118),0)</f>
        <v>0</v>
      </c>
    </row>
    <row r="119" spans="1:35">
      <c r="A119" s="542"/>
      <c r="B119" s="281" t="s">
        <v>545</v>
      </c>
      <c r="C119" s="32" t="s">
        <v>624</v>
      </c>
      <c r="D119" s="329" t="s">
        <v>625</v>
      </c>
      <c r="E119" s="281">
        <v>31</v>
      </c>
      <c r="F119" s="281">
        <f>IF(F$6=$C119,IF(INDEX('Surface DEET'!$Q$9:$W$38,COLUMN(F112)-COLUMN($E$5),4)&gt;0,INDEX('Surface DEET'!$Q$9:$W$38,COLUMN(F112)-COLUMN($E$5),4),$E119),0)</f>
        <v>0</v>
      </c>
      <c r="G119" s="281">
        <f>IF(G$6=$C119,IF(INDEX('Surface DEET'!$Q$9:$W$38,COLUMN(G112)-COLUMN($E$5),4)&gt;0,INDEX('Surface DEET'!$Q$9:$W$38,COLUMN(G112)-COLUMN($E$5),4),$E119),0)</f>
        <v>0</v>
      </c>
      <c r="H119" s="281">
        <f>IF(H$6=$C119,IF(INDEX('Surface DEET'!$Q$9:$W$38,COLUMN(H112)-COLUMN($E$5),4)&gt;0,INDEX('Surface DEET'!$Q$9:$W$38,COLUMN(H112)-COLUMN($E$5),4),$E119),0)</f>
        <v>0</v>
      </c>
      <c r="I119" s="281">
        <f>IF(I$6=$C119,IF(INDEX('Surface DEET'!$Q$9:$W$38,COLUMN(I112)-COLUMN($E$5),4)&gt;0,INDEX('Surface DEET'!$Q$9:$W$38,COLUMN(I112)-COLUMN($E$5),4),$E119),0)</f>
        <v>0</v>
      </c>
      <c r="J119" s="281">
        <f>IF(J$6=$C119,IF(INDEX('Surface DEET'!$Q$9:$W$38,COLUMN(J112)-COLUMN($E$5),4)&gt;0,INDEX('Surface DEET'!$Q$9:$W$38,COLUMN(J112)-COLUMN($E$5),4),$E119),0)</f>
        <v>0</v>
      </c>
      <c r="K119" s="281">
        <f>IF(K$6=$C119,IF(INDEX('Surface DEET'!$Q$9:$W$38,COLUMN(K112)-COLUMN($E$5),4)&gt;0,INDEX('Surface DEET'!$Q$9:$W$38,COLUMN(K112)-COLUMN($E$5),4),$E119),0)</f>
        <v>0</v>
      </c>
      <c r="L119" s="281">
        <f>IF(L$6=$C119,IF(INDEX('Surface DEET'!$Q$9:$W$38,COLUMN(L112)-COLUMN($E$5),4)&gt;0,INDEX('Surface DEET'!$Q$9:$W$38,COLUMN(L112)-COLUMN($E$5),4),$E119),0)</f>
        <v>0</v>
      </c>
      <c r="M119" s="281">
        <f>IF(M$6=$C119,IF(INDEX('Surface DEET'!$Q$9:$W$38,COLUMN(M112)-COLUMN($E$5),4)&gt;0,INDEX('Surface DEET'!$Q$9:$W$38,COLUMN(M112)-COLUMN($E$5),4),$E119),0)</f>
        <v>0</v>
      </c>
      <c r="N119" s="281">
        <f>IF(N$6=$C119,IF(INDEX('Surface DEET'!$Q$9:$W$38,COLUMN(N112)-COLUMN($E$5),4)&gt;0,INDEX('Surface DEET'!$Q$9:$W$38,COLUMN(N112)-COLUMN($E$5),4),$E119),0)</f>
        <v>0</v>
      </c>
      <c r="O119" s="281">
        <f>IF(O$6=$C119,IF(INDEX('Surface DEET'!$Q$9:$W$38,COLUMN(O112)-COLUMN($E$5),4)&gt;0,INDEX('Surface DEET'!$Q$9:$W$38,COLUMN(O112)-COLUMN($E$5),4),$E119),0)</f>
        <v>0</v>
      </c>
      <c r="P119" s="281">
        <f>IF(P$6=$C119,IF(INDEX('Surface DEET'!$Q$9:$W$38,COLUMN(P112)-COLUMN($E$5),4)&gt;0,INDEX('Surface DEET'!$Q$9:$W$38,COLUMN(P112)-COLUMN($E$5),4),$E119),0)</f>
        <v>0</v>
      </c>
      <c r="Q119" s="281">
        <f>IF(Q$6=$C119,IF(INDEX('Surface DEET'!$Q$9:$W$38,COLUMN(Q112)-COLUMN($E$5),4)&gt;0,INDEX('Surface DEET'!$Q$9:$W$38,COLUMN(Q112)-COLUMN($E$5),4),$E119),0)</f>
        <v>0</v>
      </c>
      <c r="R119" s="281">
        <f>IF(R$6=$C119,IF(INDEX('Surface DEET'!$Q$9:$W$38,COLUMN(R112)-COLUMN($E$5),4)&gt;0,INDEX('Surface DEET'!$Q$9:$W$38,COLUMN(R112)-COLUMN($E$5),4),$E119),0)</f>
        <v>0</v>
      </c>
      <c r="S119" s="281">
        <f>IF(S$6=$C119,IF(INDEX('Surface DEET'!$Q$9:$W$38,COLUMN(S112)-COLUMN($E$5),4)&gt;0,INDEX('Surface DEET'!$Q$9:$W$38,COLUMN(S112)-COLUMN($E$5),4),$E119),0)</f>
        <v>0</v>
      </c>
      <c r="T119" s="281">
        <f>IF(T$6=$C119,IF(INDEX('Surface DEET'!$Q$9:$W$38,COLUMN(T112)-COLUMN($E$5),4)&gt;0,INDEX('Surface DEET'!$Q$9:$W$38,COLUMN(T112)-COLUMN($E$5),4),$E119),0)</f>
        <v>0</v>
      </c>
      <c r="U119" s="281">
        <f>IF(U$6=$C119,IF(INDEX('Surface DEET'!$Q$9:$W$38,COLUMN(U112)-COLUMN($E$5),4)&gt;0,INDEX('Surface DEET'!$Q$9:$W$38,COLUMN(U112)-COLUMN($E$5),4),$E119),0)</f>
        <v>0</v>
      </c>
      <c r="V119" s="281">
        <f>IF(V$6=$C119,IF(INDEX('Surface DEET'!$Q$9:$W$38,COLUMN(V112)-COLUMN($E$5),4)&gt;0,INDEX('Surface DEET'!$Q$9:$W$38,COLUMN(V112)-COLUMN($E$5),4),$E119),0)</f>
        <v>0</v>
      </c>
      <c r="W119" s="281">
        <f>IF(W$6=$C119,IF(INDEX('Surface DEET'!$Q$9:$W$38,COLUMN(W112)-COLUMN($E$5),4)&gt;0,INDEX('Surface DEET'!$Q$9:$W$38,COLUMN(W112)-COLUMN($E$5),4),$E119),0)</f>
        <v>0</v>
      </c>
      <c r="X119" s="281">
        <f>IF(X$6=$C119,IF(INDEX('Surface DEET'!$Q$9:$W$38,COLUMN(X112)-COLUMN($E$5),4)&gt;0,INDEX('Surface DEET'!$Q$9:$W$38,COLUMN(X112)-COLUMN($E$5),4),$E119),0)</f>
        <v>0</v>
      </c>
      <c r="Y119" s="281">
        <f>IF(Y$6=$C119,IF(INDEX('Surface DEET'!$Q$9:$W$38,COLUMN(Y112)-COLUMN($E$5),4)&gt;0,INDEX('Surface DEET'!$Q$9:$W$38,COLUMN(Y112)-COLUMN($E$5),4),$E119),0)</f>
        <v>0</v>
      </c>
      <c r="Z119" s="281">
        <f>IF(Z$6=$C119,IF(INDEX('Surface DEET'!$Q$9:$W$38,COLUMN(Z112)-COLUMN($E$5),4)&gt;0,INDEX('Surface DEET'!$Q$9:$W$38,COLUMN(Z112)-COLUMN($E$5),4),$E119),0)</f>
        <v>0</v>
      </c>
      <c r="AA119" s="281">
        <f>IF(AA$6=$C119,IF(INDEX('Surface DEET'!$Q$9:$W$38,COLUMN(AA112)-COLUMN($E$5),4)&gt;0,INDEX('Surface DEET'!$Q$9:$W$38,COLUMN(AA112)-COLUMN($E$5),4),$E119),0)</f>
        <v>0</v>
      </c>
      <c r="AB119" s="281">
        <f>IF(AB$6=$C119,IF(INDEX('Surface DEET'!$Q$9:$W$38,COLUMN(AB112)-COLUMN($E$5),4)&gt;0,INDEX('Surface DEET'!$Q$9:$W$38,COLUMN(AB112)-COLUMN($E$5),4),$E119),0)</f>
        <v>0</v>
      </c>
      <c r="AC119" s="281">
        <f>IF(AC$6=$C119,IF(INDEX('Surface DEET'!$Q$9:$W$38,COLUMN(AC112)-COLUMN($E$5),4)&gt;0,INDEX('Surface DEET'!$Q$9:$W$38,COLUMN(AC112)-COLUMN($E$5),4),$E119),0)</f>
        <v>0</v>
      </c>
      <c r="AD119" s="281">
        <f>IF(AD$6=$C119,IF(INDEX('Surface DEET'!$Q$9:$W$38,COLUMN(AD112)-COLUMN($E$5),4)&gt;0,INDEX('Surface DEET'!$Q$9:$W$38,COLUMN(AD112)-COLUMN($E$5),4),$E119),0)</f>
        <v>0</v>
      </c>
      <c r="AE119" s="281">
        <f>IF(AE$6=$C119,IF(INDEX('Surface DEET'!$Q$9:$W$38,COLUMN(AE112)-COLUMN($E$5),4)&gt;0,INDEX('Surface DEET'!$Q$9:$W$38,COLUMN(AE112)-COLUMN($E$5),4),$E119),0)</f>
        <v>0</v>
      </c>
      <c r="AF119" s="281">
        <f>IF(AF$6=$C119,IF(INDEX('Surface DEET'!$Q$9:$W$38,COLUMN(AF112)-COLUMN($E$5),4)&gt;0,INDEX('Surface DEET'!$Q$9:$W$38,COLUMN(AF112)-COLUMN($E$5),4),$E119),0)</f>
        <v>0</v>
      </c>
      <c r="AG119" s="281">
        <f>IF(AG$6=$C119,IF(INDEX('Surface DEET'!$Q$9:$W$38,COLUMN(AG112)-COLUMN($E$5),4)&gt;0,INDEX('Surface DEET'!$Q$9:$W$38,COLUMN(AG112)-COLUMN($E$5),4),$E119),0)</f>
        <v>0</v>
      </c>
      <c r="AH119" s="281">
        <f>IF(AH$6=$C119,IF(INDEX('Surface DEET'!$Q$9:$W$38,COLUMN(AH112)-COLUMN($E$5),4)&gt;0,INDEX('Surface DEET'!$Q$9:$W$38,COLUMN(AH112)-COLUMN($E$5),4),$E119),0)</f>
        <v>0</v>
      </c>
      <c r="AI119" s="281">
        <f>IF(AI$6=$C119,IF(INDEX('Surface DEET'!$Q$9:$W$38,COLUMN(AI112)-COLUMN($E$5),4)&gt;0,INDEX('Surface DEET'!$Q$9:$W$38,COLUMN(AI112)-COLUMN($E$5),4),$E119),0)</f>
        <v>0</v>
      </c>
    </row>
    <row r="120" spans="1:35">
      <c r="A120" s="542"/>
      <c r="B120" s="281" t="s">
        <v>538</v>
      </c>
      <c r="C120" s="32" t="s">
        <v>624</v>
      </c>
      <c r="D120" s="281" t="s">
        <v>538</v>
      </c>
      <c r="F120" s="281">
        <f>IFERROR($E$115*(F118/$E$118)*($E$117*($E$119/F119)+(1-$E$117))+0.28*(F118-$E$118)/$E$118,0)</f>
        <v>0</v>
      </c>
      <c r="G120" s="281">
        <f t="shared" ref="G120:AI120" si="13">IFERROR($E$115*(G118/$E$118)*($E$117*($E$119/G119)+(1-$E$117))+0.28*(G118-$E$118)/$E$118,0)</f>
        <v>0</v>
      </c>
      <c r="H120" s="281">
        <f t="shared" si="13"/>
        <v>0</v>
      </c>
      <c r="I120" s="281">
        <f t="shared" si="13"/>
        <v>0</v>
      </c>
      <c r="J120" s="281">
        <f t="shared" si="13"/>
        <v>0</v>
      </c>
      <c r="K120" s="281">
        <f t="shared" si="13"/>
        <v>0</v>
      </c>
      <c r="L120" s="281">
        <f t="shared" si="13"/>
        <v>0</v>
      </c>
      <c r="M120" s="281">
        <f t="shared" si="13"/>
        <v>0</v>
      </c>
      <c r="N120" s="281">
        <f t="shared" si="13"/>
        <v>0</v>
      </c>
      <c r="O120" s="281">
        <f t="shared" si="13"/>
        <v>0</v>
      </c>
      <c r="P120" s="281">
        <f t="shared" si="13"/>
        <v>0</v>
      </c>
      <c r="Q120" s="281">
        <f t="shared" si="13"/>
        <v>0</v>
      </c>
      <c r="R120" s="281">
        <f t="shared" si="13"/>
        <v>0</v>
      </c>
      <c r="S120" s="281">
        <f t="shared" si="13"/>
        <v>0</v>
      </c>
      <c r="T120" s="281">
        <f t="shared" si="13"/>
        <v>0</v>
      </c>
      <c r="U120" s="281">
        <f t="shared" si="13"/>
        <v>0</v>
      </c>
      <c r="V120" s="281">
        <f t="shared" si="13"/>
        <v>0</v>
      </c>
      <c r="W120" s="281">
        <f t="shared" si="13"/>
        <v>0</v>
      </c>
      <c r="X120" s="281">
        <f t="shared" si="13"/>
        <v>0</v>
      </c>
      <c r="Y120" s="281">
        <f t="shared" si="13"/>
        <v>0</v>
      </c>
      <c r="Z120" s="281">
        <f t="shared" si="13"/>
        <v>0</v>
      </c>
      <c r="AA120" s="281">
        <f t="shared" si="13"/>
        <v>0</v>
      </c>
      <c r="AB120" s="281">
        <f t="shared" si="13"/>
        <v>0</v>
      </c>
      <c r="AC120" s="281">
        <f t="shared" si="13"/>
        <v>0</v>
      </c>
      <c r="AD120" s="281">
        <f t="shared" si="13"/>
        <v>0</v>
      </c>
      <c r="AE120" s="281">
        <f t="shared" si="13"/>
        <v>0</v>
      </c>
      <c r="AF120" s="281">
        <f t="shared" si="13"/>
        <v>0</v>
      </c>
      <c r="AG120" s="281">
        <f t="shared" si="13"/>
        <v>0</v>
      </c>
      <c r="AH120" s="281">
        <f t="shared" si="13"/>
        <v>0</v>
      </c>
      <c r="AI120" s="281">
        <f t="shared" si="13"/>
        <v>0</v>
      </c>
    </row>
    <row r="121" spans="1:35">
      <c r="A121" s="542" t="s">
        <v>626</v>
      </c>
      <c r="B121" s="92" t="s">
        <v>298</v>
      </c>
      <c r="C121" s="32" t="s">
        <v>626</v>
      </c>
      <c r="D121" s="92" t="s">
        <v>298</v>
      </c>
      <c r="E121" s="281">
        <f t="array" ref="E121">INDEX(CABS_CVC!$C$3:$O$870,MATCH(1, (CABS_CVC!$A$3:$A$870=Calculs_CABS!C121)*(CABS_CVC!$B$3:$B$870=Calculs_CABS!$D$2),0),MATCH(Calculs_CABS!$D$1,Liste_CABS!$B$3:$B$15,0))</f>
        <v>95</v>
      </c>
    </row>
    <row r="122" spans="1:35">
      <c r="A122" s="542"/>
      <c r="B122" s="281" t="s">
        <v>539</v>
      </c>
      <c r="C122" s="32" t="s">
        <v>626</v>
      </c>
      <c r="D122" s="281" t="s">
        <v>539</v>
      </c>
      <c r="E122" s="281">
        <v>101</v>
      </c>
    </row>
    <row r="123" spans="1:35">
      <c r="A123" s="542"/>
      <c r="B123" s="281" t="s">
        <v>540</v>
      </c>
      <c r="C123" s="32" t="s">
        <v>626</v>
      </c>
      <c r="D123" s="281" t="s">
        <v>540</v>
      </c>
      <c r="E123" s="281">
        <f>E121+E122</f>
        <v>196</v>
      </c>
    </row>
    <row r="124" spans="1:35">
      <c r="A124" s="542"/>
      <c r="B124" s="281" t="s">
        <v>541</v>
      </c>
      <c r="C124" s="32" t="s">
        <v>626</v>
      </c>
      <c r="D124" s="281" t="s">
        <v>541</v>
      </c>
      <c r="E124" s="281">
        <v>0.64</v>
      </c>
    </row>
    <row r="125" spans="1:35">
      <c r="A125" s="542"/>
      <c r="B125" s="281" t="s">
        <v>542</v>
      </c>
      <c r="C125" s="32" t="s">
        <v>626</v>
      </c>
      <c r="D125" s="329" t="s">
        <v>605</v>
      </c>
      <c r="E125" s="281">
        <v>8760</v>
      </c>
      <c r="F125" s="281">
        <f>IF(F$6=$C125,IF(INDEX('Surface DEET'!$Q$9:$W$38,COLUMN(F118)-COLUMN($E$5),1)&gt;0,INDEX('Surface DEET'!$Q$9:$W$38,COLUMN(F118)-COLUMN($E$5),1),$E125),0)</f>
        <v>0</v>
      </c>
      <c r="G125" s="281">
        <f>IF(G$6=$C125,IF(INDEX('Surface DEET'!$Q$9:$W$38,COLUMN(G118)-COLUMN($E$5),1)&gt;0,INDEX('Surface DEET'!$Q$9:$W$38,COLUMN(G118)-COLUMN($E$5),1),$E125),0)</f>
        <v>0</v>
      </c>
      <c r="H125" s="281">
        <f>IF(H$6=$C125,IF(INDEX('Surface DEET'!$Q$9:$W$38,COLUMN(H118)-COLUMN($E$5),1)&gt;0,INDEX('Surface DEET'!$Q$9:$W$38,COLUMN(H118)-COLUMN($E$5),1),$E125),0)</f>
        <v>0</v>
      </c>
      <c r="I125" s="281">
        <f>IF(I$6=$C125,IF(INDEX('Surface DEET'!$Q$9:$W$38,COLUMN(I118)-COLUMN($E$5),1)&gt;0,INDEX('Surface DEET'!$Q$9:$W$38,COLUMN(I118)-COLUMN($E$5),1),$E125),0)</f>
        <v>0</v>
      </c>
      <c r="J125" s="281">
        <f>IF(J$6=$C125,IF(INDEX('Surface DEET'!$Q$9:$W$38,COLUMN(J118)-COLUMN($E$5),1)&gt;0,INDEX('Surface DEET'!$Q$9:$W$38,COLUMN(J118)-COLUMN($E$5),1),$E125),0)</f>
        <v>0</v>
      </c>
      <c r="K125" s="281">
        <f>IF(K$6=$C125,IF(INDEX('Surface DEET'!$Q$9:$W$38,COLUMN(K118)-COLUMN($E$5),1)&gt;0,INDEX('Surface DEET'!$Q$9:$W$38,COLUMN(K118)-COLUMN($E$5),1),$E125),0)</f>
        <v>0</v>
      </c>
      <c r="L125" s="281">
        <f>IF(L$6=$C125,IF(INDEX('Surface DEET'!$Q$9:$W$38,COLUMN(L118)-COLUMN($E$5),1)&gt;0,INDEX('Surface DEET'!$Q$9:$W$38,COLUMN(L118)-COLUMN($E$5),1),$E125),0)</f>
        <v>0</v>
      </c>
      <c r="M125" s="281">
        <f>IF(M$6=$C125,IF(INDEX('Surface DEET'!$Q$9:$W$38,COLUMN(M118)-COLUMN($E$5),1)&gt;0,INDEX('Surface DEET'!$Q$9:$W$38,COLUMN(M118)-COLUMN($E$5),1),$E125),0)</f>
        <v>0</v>
      </c>
      <c r="N125" s="281">
        <f>IF(N$6=$C125,IF(INDEX('Surface DEET'!$Q$9:$W$38,COLUMN(N118)-COLUMN($E$5),1)&gt;0,INDEX('Surface DEET'!$Q$9:$W$38,COLUMN(N118)-COLUMN($E$5),1),$E125),0)</f>
        <v>0</v>
      </c>
      <c r="O125" s="281">
        <f>IF(O$6=$C125,IF(INDEX('Surface DEET'!$Q$9:$W$38,COLUMN(O118)-COLUMN($E$5),1)&gt;0,INDEX('Surface DEET'!$Q$9:$W$38,COLUMN(O118)-COLUMN($E$5),1),$E125),0)</f>
        <v>0</v>
      </c>
      <c r="P125" s="281">
        <f>IF(P$6=$C125,IF(INDEX('Surface DEET'!$Q$9:$W$38,COLUMN(P118)-COLUMN($E$5),1)&gt;0,INDEX('Surface DEET'!$Q$9:$W$38,COLUMN(P118)-COLUMN($E$5),1),$E125),0)</f>
        <v>0</v>
      </c>
      <c r="Q125" s="281">
        <f>IF(Q$6=$C125,IF(INDEX('Surface DEET'!$Q$9:$W$38,COLUMN(Q118)-COLUMN($E$5),1)&gt;0,INDEX('Surface DEET'!$Q$9:$W$38,COLUMN(Q118)-COLUMN($E$5),1),$E125),0)</f>
        <v>0</v>
      </c>
      <c r="R125" s="281">
        <f>IF(R$6=$C125,IF(INDEX('Surface DEET'!$Q$9:$W$38,COLUMN(R118)-COLUMN($E$5),1)&gt;0,INDEX('Surface DEET'!$Q$9:$W$38,COLUMN(R118)-COLUMN($E$5),1),$E125),0)</f>
        <v>0</v>
      </c>
      <c r="S125" s="281">
        <f>IF(S$6=$C125,IF(INDEX('Surface DEET'!$Q$9:$W$38,COLUMN(S118)-COLUMN($E$5),1)&gt;0,INDEX('Surface DEET'!$Q$9:$W$38,COLUMN(S118)-COLUMN($E$5),1),$E125),0)</f>
        <v>0</v>
      </c>
      <c r="T125" s="281">
        <f>IF(T$6=$C125,IF(INDEX('Surface DEET'!$Q$9:$W$38,COLUMN(T118)-COLUMN($E$5),1)&gt;0,INDEX('Surface DEET'!$Q$9:$W$38,COLUMN(T118)-COLUMN($E$5),1),$E125),0)</f>
        <v>0</v>
      </c>
      <c r="U125" s="281">
        <f>IF(U$6=$C125,IF(INDEX('Surface DEET'!$Q$9:$W$38,COLUMN(U118)-COLUMN($E$5),1)&gt;0,INDEX('Surface DEET'!$Q$9:$W$38,COLUMN(U118)-COLUMN($E$5),1),$E125),0)</f>
        <v>0</v>
      </c>
      <c r="V125" s="281">
        <f>IF(V$6=$C125,IF(INDEX('Surface DEET'!$Q$9:$W$38,COLUMN(V118)-COLUMN($E$5),1)&gt;0,INDEX('Surface DEET'!$Q$9:$W$38,COLUMN(V118)-COLUMN($E$5),1),$E125),0)</f>
        <v>0</v>
      </c>
      <c r="W125" s="281">
        <f>IF(W$6=$C125,IF(INDEX('Surface DEET'!$Q$9:$W$38,COLUMN(W118)-COLUMN($E$5),1)&gt;0,INDEX('Surface DEET'!$Q$9:$W$38,COLUMN(W118)-COLUMN($E$5),1),$E125),0)</f>
        <v>0</v>
      </c>
      <c r="X125" s="281">
        <f>IF(X$6=$C125,IF(INDEX('Surface DEET'!$Q$9:$W$38,COLUMN(X118)-COLUMN($E$5),1)&gt;0,INDEX('Surface DEET'!$Q$9:$W$38,COLUMN(X118)-COLUMN($E$5),1),$E125),0)</f>
        <v>0</v>
      </c>
      <c r="Y125" s="281">
        <f>IF(Y$6=$C125,IF(INDEX('Surface DEET'!$Q$9:$W$38,COLUMN(Y118)-COLUMN($E$5),1)&gt;0,INDEX('Surface DEET'!$Q$9:$W$38,COLUMN(Y118)-COLUMN($E$5),1),$E125),0)</f>
        <v>0</v>
      </c>
      <c r="Z125" s="281">
        <f>IF(Z$6=$C125,IF(INDEX('Surface DEET'!$Q$9:$W$38,COLUMN(Z118)-COLUMN($E$5),1)&gt;0,INDEX('Surface DEET'!$Q$9:$W$38,COLUMN(Z118)-COLUMN($E$5),1),$E125),0)</f>
        <v>0</v>
      </c>
      <c r="AA125" s="281">
        <f>IF(AA$6=$C125,IF(INDEX('Surface DEET'!$Q$9:$W$38,COLUMN(AA118)-COLUMN($E$5),1)&gt;0,INDEX('Surface DEET'!$Q$9:$W$38,COLUMN(AA118)-COLUMN($E$5),1),$E125),0)</f>
        <v>0</v>
      </c>
      <c r="AB125" s="281">
        <f>IF(AB$6=$C125,IF(INDEX('Surface DEET'!$Q$9:$W$38,COLUMN(AB118)-COLUMN($E$5),1)&gt;0,INDEX('Surface DEET'!$Q$9:$W$38,COLUMN(AB118)-COLUMN($E$5),1),$E125),0)</f>
        <v>0</v>
      </c>
      <c r="AC125" s="281">
        <f>IF(AC$6=$C125,IF(INDEX('Surface DEET'!$Q$9:$W$38,COLUMN(AC118)-COLUMN($E$5),1)&gt;0,INDEX('Surface DEET'!$Q$9:$W$38,COLUMN(AC118)-COLUMN($E$5),1),$E125),0)</f>
        <v>0</v>
      </c>
      <c r="AD125" s="281">
        <f>IF(AD$6=$C125,IF(INDEX('Surface DEET'!$Q$9:$W$38,COLUMN(AD118)-COLUMN($E$5),1)&gt;0,INDEX('Surface DEET'!$Q$9:$W$38,COLUMN(AD118)-COLUMN($E$5),1),$E125),0)</f>
        <v>0</v>
      </c>
      <c r="AE125" s="281">
        <f>IF(AE$6=$C125,IF(INDEX('Surface DEET'!$Q$9:$W$38,COLUMN(AE118)-COLUMN($E$5),1)&gt;0,INDEX('Surface DEET'!$Q$9:$W$38,COLUMN(AE118)-COLUMN($E$5),1),$E125),0)</f>
        <v>0</v>
      </c>
      <c r="AF125" s="281">
        <f>IF(AF$6=$C125,IF(INDEX('Surface DEET'!$Q$9:$W$38,COLUMN(AF118)-COLUMN($E$5),1)&gt;0,INDEX('Surface DEET'!$Q$9:$W$38,COLUMN(AF118)-COLUMN($E$5),1),$E125),0)</f>
        <v>0</v>
      </c>
      <c r="AG125" s="281">
        <f>IF(AG$6=$C125,IF(INDEX('Surface DEET'!$Q$9:$W$38,COLUMN(AG118)-COLUMN($E$5),1)&gt;0,INDEX('Surface DEET'!$Q$9:$W$38,COLUMN(AG118)-COLUMN($E$5),1),$E125),0)</f>
        <v>0</v>
      </c>
      <c r="AH125" s="281">
        <f>IF(AH$6=$C125,IF(INDEX('Surface DEET'!$Q$9:$W$38,COLUMN(AH118)-COLUMN($E$5),1)&gt;0,INDEX('Surface DEET'!$Q$9:$W$38,COLUMN(AH118)-COLUMN($E$5),1),$E125),0)</f>
        <v>0</v>
      </c>
      <c r="AI125" s="281">
        <f>IF(AI$6=$C125,IF(INDEX('Surface DEET'!$Q$9:$W$38,COLUMN(AI118)-COLUMN($E$5),1)&gt;0,INDEX('Surface DEET'!$Q$9:$W$38,COLUMN(AI118)-COLUMN($E$5),1),$E125),0)</f>
        <v>0</v>
      </c>
    </row>
    <row r="126" spans="1:35">
      <c r="A126" s="542"/>
      <c r="B126" s="281" t="s">
        <v>545</v>
      </c>
      <c r="C126" s="32" t="s">
        <v>626</v>
      </c>
      <c r="D126" s="329" t="s">
        <v>595</v>
      </c>
      <c r="E126" s="281">
        <v>14</v>
      </c>
      <c r="F126" s="281">
        <f>IF(F$6=$C126,IF(INDEX('Surface DEET'!$Q$9:$W$38,COLUMN(F119)-COLUMN($E$5),4)&gt;0,INDEX('Surface DEET'!$Q$9:$W$38,COLUMN(F119)-COLUMN($E$5),4),$E126),0)</f>
        <v>0</v>
      </c>
      <c r="G126" s="281">
        <f>IF(G$6=$C126,IF(INDEX('Surface DEET'!$Q$9:$W$38,COLUMN(G119)-COLUMN($E$5),4)&gt;0,INDEX('Surface DEET'!$Q$9:$W$38,COLUMN(G119)-COLUMN($E$5),4),$E126),0)</f>
        <v>0</v>
      </c>
      <c r="H126" s="281">
        <f>IF(H$6=$C126,IF(INDEX('Surface DEET'!$Q$9:$W$38,COLUMN(H119)-COLUMN($E$5),4)&gt;0,INDEX('Surface DEET'!$Q$9:$W$38,COLUMN(H119)-COLUMN($E$5),4),$E126),0)</f>
        <v>0</v>
      </c>
      <c r="I126" s="281">
        <f>IF(I$6=$C126,IF(INDEX('Surface DEET'!$Q$9:$W$38,COLUMN(I119)-COLUMN($E$5),4)&gt;0,INDEX('Surface DEET'!$Q$9:$W$38,COLUMN(I119)-COLUMN($E$5),4),$E126),0)</f>
        <v>0</v>
      </c>
      <c r="J126" s="281">
        <f>IF(J$6=$C126,IF(INDEX('Surface DEET'!$Q$9:$W$38,COLUMN(J119)-COLUMN($E$5),4)&gt;0,INDEX('Surface DEET'!$Q$9:$W$38,COLUMN(J119)-COLUMN($E$5),4),$E126),0)</f>
        <v>0</v>
      </c>
      <c r="K126" s="281">
        <f>IF(K$6=$C126,IF(INDEX('Surface DEET'!$Q$9:$W$38,COLUMN(K119)-COLUMN($E$5),4)&gt;0,INDEX('Surface DEET'!$Q$9:$W$38,COLUMN(K119)-COLUMN($E$5),4),$E126),0)</f>
        <v>0</v>
      </c>
      <c r="L126" s="281">
        <f>IF(L$6=$C126,IF(INDEX('Surface DEET'!$Q$9:$W$38,COLUMN(L119)-COLUMN($E$5),4)&gt;0,INDEX('Surface DEET'!$Q$9:$W$38,COLUMN(L119)-COLUMN($E$5),4),$E126),0)</f>
        <v>0</v>
      </c>
      <c r="M126" s="281">
        <f>IF(M$6=$C126,IF(INDEX('Surface DEET'!$Q$9:$W$38,COLUMN(M119)-COLUMN($E$5),4)&gt;0,INDEX('Surface DEET'!$Q$9:$W$38,COLUMN(M119)-COLUMN($E$5),4),$E126),0)</f>
        <v>0</v>
      </c>
      <c r="N126" s="281">
        <f>IF(N$6=$C126,IF(INDEX('Surface DEET'!$Q$9:$W$38,COLUMN(N119)-COLUMN($E$5),4)&gt;0,INDEX('Surface DEET'!$Q$9:$W$38,COLUMN(N119)-COLUMN($E$5),4),$E126),0)</f>
        <v>0</v>
      </c>
      <c r="O126" s="281">
        <f>IF(O$6=$C126,IF(INDEX('Surface DEET'!$Q$9:$W$38,COLUMN(O119)-COLUMN($E$5),4)&gt;0,INDEX('Surface DEET'!$Q$9:$W$38,COLUMN(O119)-COLUMN($E$5),4),$E126),0)</f>
        <v>0</v>
      </c>
      <c r="P126" s="281">
        <f>IF(P$6=$C126,IF(INDEX('Surface DEET'!$Q$9:$W$38,COLUMN(P119)-COLUMN($E$5),4)&gt;0,INDEX('Surface DEET'!$Q$9:$W$38,COLUMN(P119)-COLUMN($E$5),4),$E126),0)</f>
        <v>0</v>
      </c>
      <c r="Q126" s="281">
        <f>IF(Q$6=$C126,IF(INDEX('Surface DEET'!$Q$9:$W$38,COLUMN(Q119)-COLUMN($E$5),4)&gt;0,INDEX('Surface DEET'!$Q$9:$W$38,COLUMN(Q119)-COLUMN($E$5),4),$E126),0)</f>
        <v>0</v>
      </c>
      <c r="R126" s="281">
        <f>IF(R$6=$C126,IF(INDEX('Surface DEET'!$Q$9:$W$38,COLUMN(R119)-COLUMN($E$5),4)&gt;0,INDEX('Surface DEET'!$Q$9:$W$38,COLUMN(R119)-COLUMN($E$5),4),$E126),0)</f>
        <v>0</v>
      </c>
      <c r="S126" s="281">
        <f>IF(S$6=$C126,IF(INDEX('Surface DEET'!$Q$9:$W$38,COLUMN(S119)-COLUMN($E$5),4)&gt;0,INDEX('Surface DEET'!$Q$9:$W$38,COLUMN(S119)-COLUMN($E$5),4),$E126),0)</f>
        <v>0</v>
      </c>
      <c r="T126" s="281">
        <f>IF(T$6=$C126,IF(INDEX('Surface DEET'!$Q$9:$W$38,COLUMN(T119)-COLUMN($E$5),4)&gt;0,INDEX('Surface DEET'!$Q$9:$W$38,COLUMN(T119)-COLUMN($E$5),4),$E126),0)</f>
        <v>0</v>
      </c>
      <c r="U126" s="281">
        <f>IF(U$6=$C126,IF(INDEX('Surface DEET'!$Q$9:$W$38,COLUMN(U119)-COLUMN($E$5),4)&gt;0,INDEX('Surface DEET'!$Q$9:$W$38,COLUMN(U119)-COLUMN($E$5),4),$E126),0)</f>
        <v>0</v>
      </c>
      <c r="V126" s="281">
        <f>IF(V$6=$C126,IF(INDEX('Surface DEET'!$Q$9:$W$38,COLUMN(V119)-COLUMN($E$5),4)&gt;0,INDEX('Surface DEET'!$Q$9:$W$38,COLUMN(V119)-COLUMN($E$5),4),$E126),0)</f>
        <v>0</v>
      </c>
      <c r="W126" s="281">
        <f>IF(W$6=$C126,IF(INDEX('Surface DEET'!$Q$9:$W$38,COLUMN(W119)-COLUMN($E$5),4)&gt;0,INDEX('Surface DEET'!$Q$9:$W$38,COLUMN(W119)-COLUMN($E$5),4),$E126),0)</f>
        <v>0</v>
      </c>
      <c r="X126" s="281">
        <f>IF(X$6=$C126,IF(INDEX('Surface DEET'!$Q$9:$W$38,COLUMN(X119)-COLUMN($E$5),4)&gt;0,INDEX('Surface DEET'!$Q$9:$W$38,COLUMN(X119)-COLUMN($E$5),4),$E126),0)</f>
        <v>0</v>
      </c>
      <c r="Y126" s="281">
        <f>IF(Y$6=$C126,IF(INDEX('Surface DEET'!$Q$9:$W$38,COLUMN(Y119)-COLUMN($E$5),4)&gt;0,INDEX('Surface DEET'!$Q$9:$W$38,COLUMN(Y119)-COLUMN($E$5),4),$E126),0)</f>
        <v>0</v>
      </c>
      <c r="Z126" s="281">
        <f>IF(Z$6=$C126,IF(INDEX('Surface DEET'!$Q$9:$W$38,COLUMN(Z119)-COLUMN($E$5),4)&gt;0,INDEX('Surface DEET'!$Q$9:$W$38,COLUMN(Z119)-COLUMN($E$5),4),$E126),0)</f>
        <v>0</v>
      </c>
      <c r="AA126" s="281">
        <f>IF(AA$6=$C126,IF(INDEX('Surface DEET'!$Q$9:$W$38,COLUMN(AA119)-COLUMN($E$5),4)&gt;0,INDEX('Surface DEET'!$Q$9:$W$38,COLUMN(AA119)-COLUMN($E$5),4),$E126),0)</f>
        <v>0</v>
      </c>
      <c r="AB126" s="281">
        <f>IF(AB$6=$C126,IF(INDEX('Surface DEET'!$Q$9:$W$38,COLUMN(AB119)-COLUMN($E$5),4)&gt;0,INDEX('Surface DEET'!$Q$9:$W$38,COLUMN(AB119)-COLUMN($E$5),4),$E126),0)</f>
        <v>0</v>
      </c>
      <c r="AC126" s="281">
        <f>IF(AC$6=$C126,IF(INDEX('Surface DEET'!$Q$9:$W$38,COLUMN(AC119)-COLUMN($E$5),4)&gt;0,INDEX('Surface DEET'!$Q$9:$W$38,COLUMN(AC119)-COLUMN($E$5),4),$E126),0)</f>
        <v>0</v>
      </c>
      <c r="AD126" s="281">
        <f>IF(AD$6=$C126,IF(INDEX('Surface DEET'!$Q$9:$W$38,COLUMN(AD119)-COLUMN($E$5),4)&gt;0,INDEX('Surface DEET'!$Q$9:$W$38,COLUMN(AD119)-COLUMN($E$5),4),$E126),0)</f>
        <v>0</v>
      </c>
      <c r="AE126" s="281">
        <f>IF(AE$6=$C126,IF(INDEX('Surface DEET'!$Q$9:$W$38,COLUMN(AE119)-COLUMN($E$5),4)&gt;0,INDEX('Surface DEET'!$Q$9:$W$38,COLUMN(AE119)-COLUMN($E$5),4),$E126),0)</f>
        <v>0</v>
      </c>
      <c r="AF126" s="281">
        <f>IF(AF$6=$C126,IF(INDEX('Surface DEET'!$Q$9:$W$38,COLUMN(AF119)-COLUMN($E$5),4)&gt;0,INDEX('Surface DEET'!$Q$9:$W$38,COLUMN(AF119)-COLUMN($E$5),4),$E126),0)</f>
        <v>0</v>
      </c>
      <c r="AG126" s="281">
        <f>IF(AG$6=$C126,IF(INDEX('Surface DEET'!$Q$9:$W$38,COLUMN(AG119)-COLUMN($E$5),4)&gt;0,INDEX('Surface DEET'!$Q$9:$W$38,COLUMN(AG119)-COLUMN($E$5),4),$E126),0)</f>
        <v>0</v>
      </c>
      <c r="AH126" s="281">
        <f>IF(AH$6=$C126,IF(INDEX('Surface DEET'!$Q$9:$W$38,COLUMN(AH119)-COLUMN($E$5),4)&gt;0,INDEX('Surface DEET'!$Q$9:$W$38,COLUMN(AH119)-COLUMN($E$5),4),$E126),0)</f>
        <v>0</v>
      </c>
      <c r="AI126" s="281">
        <f>IF(AI$6=$C126,IF(INDEX('Surface DEET'!$Q$9:$W$38,COLUMN(AI119)-COLUMN($E$5),4)&gt;0,INDEX('Surface DEET'!$Q$9:$W$38,COLUMN(AI119)-COLUMN($E$5),4),$E126),0)</f>
        <v>0</v>
      </c>
    </row>
    <row r="127" spans="1:35">
      <c r="A127" s="542"/>
      <c r="B127" s="281" t="s">
        <v>548</v>
      </c>
      <c r="C127" s="32" t="s">
        <v>626</v>
      </c>
      <c r="D127" s="329" t="s">
        <v>623</v>
      </c>
      <c r="E127" s="281">
        <v>90</v>
      </c>
      <c r="F127" s="281">
        <f>IF(F$6=$C127,IF(INDEX('Surface DEET'!$Q$9:$W$38,COLUMN(F120)-COLUMN($E$5),7)&gt;0,INDEX('Surface DEET'!$Q$9:$W$38,COLUMN(F120)-COLUMN($E$5),7),$E127),0)</f>
        <v>0</v>
      </c>
      <c r="G127" s="281">
        <f>IF(G$6=$C127,IF(INDEX('Surface DEET'!$Q$9:$W$38,COLUMN(G120)-COLUMN($E$5),7)&gt;0,INDEX('Surface DEET'!$Q$9:$W$38,COLUMN(G120)-COLUMN($E$5),7),$E127),0)</f>
        <v>0</v>
      </c>
      <c r="H127" s="281">
        <f>IF(H$6=$C127,IF(INDEX('Surface DEET'!$Q$9:$W$38,COLUMN(H120)-COLUMN($E$5),7)&gt;0,INDEX('Surface DEET'!$Q$9:$W$38,COLUMN(H120)-COLUMN($E$5),7),$E127),0)</f>
        <v>0</v>
      </c>
      <c r="I127" s="281">
        <f>IF(I$6=$C127,IF(INDEX('Surface DEET'!$Q$9:$W$38,COLUMN(I120)-COLUMN($E$5),7)&gt;0,INDEX('Surface DEET'!$Q$9:$W$38,COLUMN(I120)-COLUMN($E$5),7),$E127),0)</f>
        <v>0</v>
      </c>
      <c r="J127" s="281">
        <f>IF(J$6=$C127,IF(INDEX('Surface DEET'!$Q$9:$W$38,COLUMN(J120)-COLUMN($E$5),7)&gt;0,INDEX('Surface DEET'!$Q$9:$W$38,COLUMN(J120)-COLUMN($E$5),7),$E127),0)</f>
        <v>0</v>
      </c>
      <c r="K127" s="281">
        <f>IF(K$6=$C127,IF(INDEX('Surface DEET'!$Q$9:$W$38,COLUMN(K120)-COLUMN($E$5),7)&gt;0,INDEX('Surface DEET'!$Q$9:$W$38,COLUMN(K120)-COLUMN($E$5),7),$E127),0)</f>
        <v>0</v>
      </c>
      <c r="L127" s="281">
        <f>IF(L$6=$C127,IF(INDEX('Surface DEET'!$Q$9:$W$38,COLUMN(L120)-COLUMN($E$5),7)&gt;0,INDEX('Surface DEET'!$Q$9:$W$38,COLUMN(L120)-COLUMN($E$5),7),$E127),0)</f>
        <v>0</v>
      </c>
      <c r="M127" s="281">
        <f>IF(M$6=$C127,IF(INDEX('Surface DEET'!$Q$9:$W$38,COLUMN(M120)-COLUMN($E$5),7)&gt;0,INDEX('Surface DEET'!$Q$9:$W$38,COLUMN(M120)-COLUMN($E$5),7),$E127),0)</f>
        <v>0</v>
      </c>
      <c r="N127" s="281">
        <f>IF(N$6=$C127,IF(INDEX('Surface DEET'!$Q$9:$W$38,COLUMN(N120)-COLUMN($E$5),7)&gt;0,INDEX('Surface DEET'!$Q$9:$W$38,COLUMN(N120)-COLUMN($E$5),7),$E127),0)</f>
        <v>0</v>
      </c>
      <c r="O127" s="281">
        <f>IF(O$6=$C127,IF(INDEX('Surface DEET'!$Q$9:$W$38,COLUMN(O120)-COLUMN($E$5),7)&gt;0,INDEX('Surface DEET'!$Q$9:$W$38,COLUMN(O120)-COLUMN($E$5),7),$E127),0)</f>
        <v>0</v>
      </c>
      <c r="P127" s="281">
        <f>IF(P$6=$C127,IF(INDEX('Surface DEET'!$Q$9:$W$38,COLUMN(P120)-COLUMN($E$5),7)&gt;0,INDEX('Surface DEET'!$Q$9:$W$38,COLUMN(P120)-COLUMN($E$5),7),$E127),0)</f>
        <v>0</v>
      </c>
      <c r="Q127" s="281">
        <f>IF(Q$6=$C127,IF(INDEX('Surface DEET'!$Q$9:$W$38,COLUMN(Q120)-COLUMN($E$5),7)&gt;0,INDEX('Surface DEET'!$Q$9:$W$38,COLUMN(Q120)-COLUMN($E$5),7),$E127),0)</f>
        <v>0</v>
      </c>
      <c r="R127" s="281">
        <f>IF(R$6=$C127,IF(INDEX('Surface DEET'!$Q$9:$W$38,COLUMN(R120)-COLUMN($E$5),7)&gt;0,INDEX('Surface DEET'!$Q$9:$W$38,COLUMN(R120)-COLUMN($E$5),7),$E127),0)</f>
        <v>0</v>
      </c>
      <c r="S127" s="281">
        <f>IF(S$6=$C127,IF(INDEX('Surface DEET'!$Q$9:$W$38,COLUMN(S120)-COLUMN($E$5),7)&gt;0,INDEX('Surface DEET'!$Q$9:$W$38,COLUMN(S120)-COLUMN($E$5),7),$E127),0)</f>
        <v>0</v>
      </c>
      <c r="T127" s="281">
        <f>IF(T$6=$C127,IF(INDEX('Surface DEET'!$Q$9:$W$38,COLUMN(T120)-COLUMN($E$5),7)&gt;0,INDEX('Surface DEET'!$Q$9:$W$38,COLUMN(T120)-COLUMN($E$5),7),$E127),0)</f>
        <v>0</v>
      </c>
      <c r="U127" s="281">
        <f>IF(U$6=$C127,IF(INDEX('Surface DEET'!$Q$9:$W$38,COLUMN(U120)-COLUMN($E$5),7)&gt;0,INDEX('Surface DEET'!$Q$9:$W$38,COLUMN(U120)-COLUMN($E$5),7),$E127),0)</f>
        <v>0</v>
      </c>
      <c r="V127" s="281">
        <f>IF(V$6=$C127,IF(INDEX('Surface DEET'!$Q$9:$W$38,COLUMN(V120)-COLUMN($E$5),7)&gt;0,INDEX('Surface DEET'!$Q$9:$W$38,COLUMN(V120)-COLUMN($E$5),7),$E127),0)</f>
        <v>0</v>
      </c>
      <c r="W127" s="281">
        <f>IF(W$6=$C127,IF(INDEX('Surface DEET'!$Q$9:$W$38,COLUMN(W120)-COLUMN($E$5),7)&gt;0,INDEX('Surface DEET'!$Q$9:$W$38,COLUMN(W120)-COLUMN($E$5),7),$E127),0)</f>
        <v>0</v>
      </c>
      <c r="X127" s="281">
        <f>IF(X$6=$C127,IF(INDEX('Surface DEET'!$Q$9:$W$38,COLUMN(X120)-COLUMN($E$5),7)&gt;0,INDEX('Surface DEET'!$Q$9:$W$38,COLUMN(X120)-COLUMN($E$5),7),$E127),0)</f>
        <v>0</v>
      </c>
      <c r="Y127" s="281">
        <f>IF(Y$6=$C127,IF(INDEX('Surface DEET'!$Q$9:$W$38,COLUMN(Y120)-COLUMN($E$5),7)&gt;0,INDEX('Surface DEET'!$Q$9:$W$38,COLUMN(Y120)-COLUMN($E$5),7),$E127),0)</f>
        <v>0</v>
      </c>
      <c r="Z127" s="281">
        <f>IF(Z$6=$C127,IF(INDEX('Surface DEET'!$Q$9:$W$38,COLUMN(Z120)-COLUMN($E$5),7)&gt;0,INDEX('Surface DEET'!$Q$9:$W$38,COLUMN(Z120)-COLUMN($E$5),7),$E127),0)</f>
        <v>0</v>
      </c>
      <c r="AA127" s="281">
        <f>IF(AA$6=$C127,IF(INDEX('Surface DEET'!$Q$9:$W$38,COLUMN(AA120)-COLUMN($E$5),7)&gt;0,INDEX('Surface DEET'!$Q$9:$W$38,COLUMN(AA120)-COLUMN($E$5),7),$E127),0)</f>
        <v>0</v>
      </c>
      <c r="AB127" s="281">
        <f>IF(AB$6=$C127,IF(INDEX('Surface DEET'!$Q$9:$W$38,COLUMN(AB120)-COLUMN($E$5),7)&gt;0,INDEX('Surface DEET'!$Q$9:$W$38,COLUMN(AB120)-COLUMN($E$5),7),$E127),0)</f>
        <v>0</v>
      </c>
      <c r="AC127" s="281">
        <f>IF(AC$6=$C127,IF(INDEX('Surface DEET'!$Q$9:$W$38,COLUMN(AC120)-COLUMN($E$5),7)&gt;0,INDEX('Surface DEET'!$Q$9:$W$38,COLUMN(AC120)-COLUMN($E$5),7),$E127),0)</f>
        <v>0</v>
      </c>
      <c r="AD127" s="281">
        <f>IF(AD$6=$C127,IF(INDEX('Surface DEET'!$Q$9:$W$38,COLUMN(AD120)-COLUMN($E$5),7)&gt;0,INDEX('Surface DEET'!$Q$9:$W$38,COLUMN(AD120)-COLUMN($E$5),7),$E127),0)</f>
        <v>0</v>
      </c>
      <c r="AE127" s="281">
        <f>IF(AE$6=$C127,IF(INDEX('Surface DEET'!$Q$9:$W$38,COLUMN(AE120)-COLUMN($E$5),7)&gt;0,INDEX('Surface DEET'!$Q$9:$W$38,COLUMN(AE120)-COLUMN($E$5),7),$E127),0)</f>
        <v>0</v>
      </c>
      <c r="AF127" s="281">
        <f>IF(AF$6=$C127,IF(INDEX('Surface DEET'!$Q$9:$W$38,COLUMN(AF120)-COLUMN($E$5),7)&gt;0,INDEX('Surface DEET'!$Q$9:$W$38,COLUMN(AF120)-COLUMN($E$5),7),$E127),0)</f>
        <v>0</v>
      </c>
      <c r="AG127" s="281">
        <f>IF(AG$6=$C127,IF(INDEX('Surface DEET'!$Q$9:$W$38,COLUMN(AG120)-COLUMN($E$5),7)&gt;0,INDEX('Surface DEET'!$Q$9:$W$38,COLUMN(AG120)-COLUMN($E$5),7),$E127),0)</f>
        <v>0</v>
      </c>
      <c r="AH127" s="281">
        <f>IF(AH$6=$C127,IF(INDEX('Surface DEET'!$Q$9:$W$38,COLUMN(AH120)-COLUMN($E$5),7)&gt;0,INDEX('Surface DEET'!$Q$9:$W$38,COLUMN(AH120)-COLUMN($E$5),7),$E127),0)</f>
        <v>0</v>
      </c>
      <c r="AI127" s="281">
        <f>IF(AI$6=$C127,IF(INDEX('Surface DEET'!$Q$9:$W$38,COLUMN(AI120)-COLUMN($E$5),7)&gt;0,INDEX('Surface DEET'!$Q$9:$W$38,COLUMN(AI120)-COLUMN($E$5),7),$E127),0)</f>
        <v>0</v>
      </c>
    </row>
    <row r="128" spans="1:35">
      <c r="A128" s="542"/>
      <c r="B128" s="281" t="s">
        <v>538</v>
      </c>
      <c r="C128" s="32" t="s">
        <v>626</v>
      </c>
      <c r="D128" s="281" t="s">
        <v>538</v>
      </c>
      <c r="F128" s="281">
        <f>IFERROR($E$122*(F125/$E$125)*($E$124*(F127/$E$127)*($E$126/F126)+(1-$E$124))+0.28*$E$121*(F125-$E$125)/$E$125,0)</f>
        <v>0</v>
      </c>
      <c r="G128" s="281">
        <f t="shared" ref="G128:AI128" si="14">IFERROR($E$122*(G125/$E$125)*($E$124*(G127/$E$127)*($E$126/G126)+(1-$E$124))+0.28*$E$121*(G125-$E$125)/$E$125,0)</f>
        <v>0</v>
      </c>
      <c r="H128" s="281">
        <f t="shared" si="14"/>
        <v>0</v>
      </c>
      <c r="I128" s="281">
        <f t="shared" si="14"/>
        <v>0</v>
      </c>
      <c r="J128" s="281">
        <f t="shared" si="14"/>
        <v>0</v>
      </c>
      <c r="K128" s="281">
        <f t="shared" si="14"/>
        <v>0</v>
      </c>
      <c r="L128" s="281">
        <f t="shared" si="14"/>
        <v>0</v>
      </c>
      <c r="M128" s="281">
        <f t="shared" si="14"/>
        <v>0</v>
      </c>
      <c r="N128" s="281">
        <f t="shared" si="14"/>
        <v>0</v>
      </c>
      <c r="O128" s="281">
        <f t="shared" si="14"/>
        <v>0</v>
      </c>
      <c r="P128" s="281">
        <f t="shared" si="14"/>
        <v>0</v>
      </c>
      <c r="Q128" s="281">
        <f t="shared" si="14"/>
        <v>0</v>
      </c>
      <c r="R128" s="281">
        <f t="shared" si="14"/>
        <v>0</v>
      </c>
      <c r="S128" s="281">
        <f t="shared" si="14"/>
        <v>0</v>
      </c>
      <c r="T128" s="281">
        <f t="shared" si="14"/>
        <v>0</v>
      </c>
      <c r="U128" s="281">
        <f t="shared" si="14"/>
        <v>0</v>
      </c>
      <c r="V128" s="281">
        <f t="shared" si="14"/>
        <v>0</v>
      </c>
      <c r="W128" s="281">
        <f t="shared" si="14"/>
        <v>0</v>
      </c>
      <c r="X128" s="281">
        <f t="shared" si="14"/>
        <v>0</v>
      </c>
      <c r="Y128" s="281">
        <f t="shared" si="14"/>
        <v>0</v>
      </c>
      <c r="Z128" s="281">
        <f t="shared" si="14"/>
        <v>0</v>
      </c>
      <c r="AA128" s="281">
        <f t="shared" si="14"/>
        <v>0</v>
      </c>
      <c r="AB128" s="281">
        <f t="shared" si="14"/>
        <v>0</v>
      </c>
      <c r="AC128" s="281">
        <f t="shared" si="14"/>
        <v>0</v>
      </c>
      <c r="AD128" s="281">
        <f t="shared" si="14"/>
        <v>0</v>
      </c>
      <c r="AE128" s="281">
        <f t="shared" si="14"/>
        <v>0</v>
      </c>
      <c r="AF128" s="281">
        <f t="shared" si="14"/>
        <v>0</v>
      </c>
      <c r="AG128" s="281">
        <f t="shared" si="14"/>
        <v>0</v>
      </c>
      <c r="AH128" s="281">
        <f t="shared" si="14"/>
        <v>0</v>
      </c>
      <c r="AI128" s="281">
        <f t="shared" si="14"/>
        <v>0</v>
      </c>
    </row>
    <row r="129" spans="1:35">
      <c r="A129" s="542" t="s">
        <v>627</v>
      </c>
      <c r="B129" s="92" t="s">
        <v>298</v>
      </c>
      <c r="C129" s="32" t="s">
        <v>627</v>
      </c>
      <c r="D129" s="92" t="s">
        <v>298</v>
      </c>
      <c r="E129" s="281">
        <f t="array" ref="E129">INDEX(CABS_CVC!$C$3:$O$870,MATCH(1, (CABS_CVC!$A$3:$A$870=Calculs_CABS!C129)*(CABS_CVC!$B$3:$B$870=Calculs_CABS!$D$2),0),MATCH(Calculs_CABS!$D$1,Liste_CABS!$B$3:$B$15,0))</f>
        <v>95</v>
      </c>
    </row>
    <row r="130" spans="1:35">
      <c r="A130" s="542"/>
      <c r="B130" s="281" t="s">
        <v>539</v>
      </c>
      <c r="C130" s="32" t="s">
        <v>627</v>
      </c>
      <c r="D130" s="281" t="s">
        <v>539</v>
      </c>
      <c r="E130" s="281">
        <v>82</v>
      </c>
    </row>
    <row r="131" spans="1:35">
      <c r="A131" s="542"/>
      <c r="B131" s="281" t="s">
        <v>540</v>
      </c>
      <c r="C131" s="32" t="s">
        <v>627</v>
      </c>
      <c r="D131" s="281" t="s">
        <v>540</v>
      </c>
      <c r="E131" s="281">
        <f>E129+E130</f>
        <v>177</v>
      </c>
    </row>
    <row r="132" spans="1:35">
      <c r="A132" s="542"/>
      <c r="B132" s="281" t="s">
        <v>541</v>
      </c>
      <c r="C132" s="32" t="s">
        <v>627</v>
      </c>
      <c r="D132" s="281" t="s">
        <v>541</v>
      </c>
      <c r="E132" s="281">
        <v>0.63</v>
      </c>
    </row>
    <row r="133" spans="1:35">
      <c r="A133" s="542"/>
      <c r="B133" s="281" t="s">
        <v>542</v>
      </c>
      <c r="C133" s="32" t="s">
        <v>627</v>
      </c>
      <c r="D133" s="329" t="s">
        <v>605</v>
      </c>
      <c r="E133" s="281">
        <v>3510</v>
      </c>
      <c r="F133" s="281">
        <f>IF(F$6=$C133,IF(INDEX('Surface DEET'!$Q$9:$W$38,COLUMN(F126)-COLUMN($E$5),1)&gt;0,INDEX('Surface DEET'!$Q$9:$W$38,COLUMN(F126)-COLUMN($E$5),1),$E133),0)</f>
        <v>0</v>
      </c>
      <c r="G133" s="281">
        <f>IF(G$6=$C133,IF(INDEX('Surface DEET'!$Q$9:$W$38,COLUMN(G126)-COLUMN($E$5),1)&gt;0,INDEX('Surface DEET'!$Q$9:$W$38,COLUMN(G126)-COLUMN($E$5),1),$E133),0)</f>
        <v>0</v>
      </c>
      <c r="H133" s="281">
        <f>IF(H$6=$C133,IF(INDEX('Surface DEET'!$Q$9:$W$38,COLUMN(H126)-COLUMN($E$5),1)&gt;0,INDEX('Surface DEET'!$Q$9:$W$38,COLUMN(H126)-COLUMN($E$5),1),$E133),0)</f>
        <v>0</v>
      </c>
      <c r="I133" s="281">
        <f>IF(I$6=$C133,IF(INDEX('Surface DEET'!$Q$9:$W$38,COLUMN(I126)-COLUMN($E$5),1)&gt;0,INDEX('Surface DEET'!$Q$9:$W$38,COLUMN(I126)-COLUMN($E$5),1),$E133),0)</f>
        <v>0</v>
      </c>
      <c r="J133" s="281">
        <f>IF(J$6=$C133,IF(INDEX('Surface DEET'!$Q$9:$W$38,COLUMN(J126)-COLUMN($E$5),1)&gt;0,INDEX('Surface DEET'!$Q$9:$W$38,COLUMN(J126)-COLUMN($E$5),1),$E133),0)</f>
        <v>0</v>
      </c>
      <c r="K133" s="281">
        <f>IF(K$6=$C133,IF(INDEX('Surface DEET'!$Q$9:$W$38,COLUMN(K126)-COLUMN($E$5),1)&gt;0,INDEX('Surface DEET'!$Q$9:$W$38,COLUMN(K126)-COLUMN($E$5),1),$E133),0)</f>
        <v>0</v>
      </c>
      <c r="L133" s="281">
        <f>IF(L$6=$C133,IF(INDEX('Surface DEET'!$Q$9:$W$38,COLUMN(L126)-COLUMN($E$5),1)&gt;0,INDEX('Surface DEET'!$Q$9:$W$38,COLUMN(L126)-COLUMN($E$5),1),$E133),0)</f>
        <v>0</v>
      </c>
      <c r="M133" s="281">
        <f>IF(M$6=$C133,IF(INDEX('Surface DEET'!$Q$9:$W$38,COLUMN(M126)-COLUMN($E$5),1)&gt;0,INDEX('Surface DEET'!$Q$9:$W$38,COLUMN(M126)-COLUMN($E$5),1),$E133),0)</f>
        <v>0</v>
      </c>
      <c r="N133" s="281">
        <f>IF(N$6=$C133,IF(INDEX('Surface DEET'!$Q$9:$W$38,COLUMN(N126)-COLUMN($E$5),1)&gt;0,INDEX('Surface DEET'!$Q$9:$W$38,COLUMN(N126)-COLUMN($E$5),1),$E133),0)</f>
        <v>0</v>
      </c>
      <c r="O133" s="281">
        <f>IF(O$6=$C133,IF(INDEX('Surface DEET'!$Q$9:$W$38,COLUMN(O126)-COLUMN($E$5),1)&gt;0,INDEX('Surface DEET'!$Q$9:$W$38,COLUMN(O126)-COLUMN($E$5),1),$E133),0)</f>
        <v>0</v>
      </c>
      <c r="P133" s="281">
        <f>IF(P$6=$C133,IF(INDEX('Surface DEET'!$Q$9:$W$38,COLUMN(P126)-COLUMN($E$5),1)&gt;0,INDEX('Surface DEET'!$Q$9:$W$38,COLUMN(P126)-COLUMN($E$5),1),$E133),0)</f>
        <v>0</v>
      </c>
      <c r="Q133" s="281">
        <f>IF(Q$6=$C133,IF(INDEX('Surface DEET'!$Q$9:$W$38,COLUMN(Q126)-COLUMN($E$5),1)&gt;0,INDEX('Surface DEET'!$Q$9:$W$38,COLUMN(Q126)-COLUMN($E$5),1),$E133),0)</f>
        <v>0</v>
      </c>
      <c r="R133" s="281">
        <f>IF(R$6=$C133,IF(INDEX('Surface DEET'!$Q$9:$W$38,COLUMN(R126)-COLUMN($E$5),1)&gt;0,INDEX('Surface DEET'!$Q$9:$W$38,COLUMN(R126)-COLUMN($E$5),1),$E133),0)</f>
        <v>0</v>
      </c>
      <c r="S133" s="281">
        <f>IF(S$6=$C133,IF(INDEX('Surface DEET'!$Q$9:$W$38,COLUMN(S126)-COLUMN($E$5),1)&gt;0,INDEX('Surface DEET'!$Q$9:$W$38,COLUMN(S126)-COLUMN($E$5),1),$E133),0)</f>
        <v>0</v>
      </c>
      <c r="T133" s="281">
        <f>IF(T$6=$C133,IF(INDEX('Surface DEET'!$Q$9:$W$38,COLUMN(T126)-COLUMN($E$5),1)&gt;0,INDEX('Surface DEET'!$Q$9:$W$38,COLUMN(T126)-COLUMN($E$5),1),$E133),0)</f>
        <v>0</v>
      </c>
      <c r="U133" s="281">
        <f>IF(U$6=$C133,IF(INDEX('Surface DEET'!$Q$9:$W$38,COLUMN(U126)-COLUMN($E$5),1)&gt;0,INDEX('Surface DEET'!$Q$9:$W$38,COLUMN(U126)-COLUMN($E$5),1),$E133),0)</f>
        <v>0</v>
      </c>
      <c r="V133" s="281">
        <f>IF(V$6=$C133,IF(INDEX('Surface DEET'!$Q$9:$W$38,COLUMN(V126)-COLUMN($E$5),1)&gt;0,INDEX('Surface DEET'!$Q$9:$W$38,COLUMN(V126)-COLUMN($E$5),1),$E133),0)</f>
        <v>0</v>
      </c>
      <c r="W133" s="281">
        <f>IF(W$6=$C133,IF(INDEX('Surface DEET'!$Q$9:$W$38,COLUMN(W126)-COLUMN($E$5),1)&gt;0,INDEX('Surface DEET'!$Q$9:$W$38,COLUMN(W126)-COLUMN($E$5),1),$E133),0)</f>
        <v>0</v>
      </c>
      <c r="X133" s="281">
        <f>IF(X$6=$C133,IF(INDEX('Surface DEET'!$Q$9:$W$38,COLUMN(X126)-COLUMN($E$5),1)&gt;0,INDEX('Surface DEET'!$Q$9:$W$38,COLUMN(X126)-COLUMN($E$5),1),$E133),0)</f>
        <v>0</v>
      </c>
      <c r="Y133" s="281">
        <f>IF(Y$6=$C133,IF(INDEX('Surface DEET'!$Q$9:$W$38,COLUMN(Y126)-COLUMN($E$5),1)&gt;0,INDEX('Surface DEET'!$Q$9:$W$38,COLUMN(Y126)-COLUMN($E$5),1),$E133),0)</f>
        <v>0</v>
      </c>
      <c r="Z133" s="281">
        <f>IF(Z$6=$C133,IF(INDEX('Surface DEET'!$Q$9:$W$38,COLUMN(Z126)-COLUMN($E$5),1)&gt;0,INDEX('Surface DEET'!$Q$9:$W$38,COLUMN(Z126)-COLUMN($E$5),1),$E133),0)</f>
        <v>0</v>
      </c>
      <c r="AA133" s="281">
        <f>IF(AA$6=$C133,IF(INDEX('Surface DEET'!$Q$9:$W$38,COLUMN(AA126)-COLUMN($E$5),1)&gt;0,INDEX('Surface DEET'!$Q$9:$W$38,COLUMN(AA126)-COLUMN($E$5),1),$E133),0)</f>
        <v>0</v>
      </c>
      <c r="AB133" s="281">
        <f>IF(AB$6=$C133,IF(INDEX('Surface DEET'!$Q$9:$W$38,COLUMN(AB126)-COLUMN($E$5),1)&gt;0,INDEX('Surface DEET'!$Q$9:$W$38,COLUMN(AB126)-COLUMN($E$5),1),$E133),0)</f>
        <v>0</v>
      </c>
      <c r="AC133" s="281">
        <f>IF(AC$6=$C133,IF(INDEX('Surface DEET'!$Q$9:$W$38,COLUMN(AC126)-COLUMN($E$5),1)&gt;0,INDEX('Surface DEET'!$Q$9:$W$38,COLUMN(AC126)-COLUMN($E$5),1),$E133),0)</f>
        <v>0</v>
      </c>
      <c r="AD133" s="281">
        <f>IF(AD$6=$C133,IF(INDEX('Surface DEET'!$Q$9:$W$38,COLUMN(AD126)-COLUMN($E$5),1)&gt;0,INDEX('Surface DEET'!$Q$9:$W$38,COLUMN(AD126)-COLUMN($E$5),1),$E133),0)</f>
        <v>0</v>
      </c>
      <c r="AE133" s="281">
        <f>IF(AE$6=$C133,IF(INDEX('Surface DEET'!$Q$9:$W$38,COLUMN(AE126)-COLUMN($E$5),1)&gt;0,INDEX('Surface DEET'!$Q$9:$W$38,COLUMN(AE126)-COLUMN($E$5),1),$E133),0)</f>
        <v>0</v>
      </c>
      <c r="AF133" s="281">
        <f>IF(AF$6=$C133,IF(INDEX('Surface DEET'!$Q$9:$W$38,COLUMN(AF126)-COLUMN($E$5),1)&gt;0,INDEX('Surface DEET'!$Q$9:$W$38,COLUMN(AF126)-COLUMN($E$5),1),$E133),0)</f>
        <v>0</v>
      </c>
      <c r="AG133" s="281">
        <f>IF(AG$6=$C133,IF(INDEX('Surface DEET'!$Q$9:$W$38,COLUMN(AG126)-COLUMN($E$5),1)&gt;0,INDEX('Surface DEET'!$Q$9:$W$38,COLUMN(AG126)-COLUMN($E$5),1),$E133),0)</f>
        <v>0</v>
      </c>
      <c r="AH133" s="281">
        <f>IF(AH$6=$C133,IF(INDEX('Surface DEET'!$Q$9:$W$38,COLUMN(AH126)-COLUMN($E$5),1)&gt;0,INDEX('Surface DEET'!$Q$9:$W$38,COLUMN(AH126)-COLUMN($E$5),1),$E133),0)</f>
        <v>0</v>
      </c>
      <c r="AI133" s="281">
        <f>IF(AI$6=$C133,IF(INDEX('Surface DEET'!$Q$9:$W$38,COLUMN(AI126)-COLUMN($E$5),1)&gt;0,INDEX('Surface DEET'!$Q$9:$W$38,COLUMN(AI126)-COLUMN($E$5),1),$E133),0)</f>
        <v>0</v>
      </c>
    </row>
    <row r="134" spans="1:35">
      <c r="A134" s="542"/>
      <c r="B134" s="281" t="s">
        <v>545</v>
      </c>
      <c r="C134" s="32" t="s">
        <v>627</v>
      </c>
      <c r="D134" s="329" t="s">
        <v>595</v>
      </c>
      <c r="E134" s="281">
        <v>11</v>
      </c>
      <c r="F134" s="281">
        <f>IF(F$6=$C134,IF(INDEX('Surface DEET'!$Q$9:$W$38,COLUMN(F127)-COLUMN($E$5),4)&gt;0,INDEX('Surface DEET'!$Q$9:$W$38,COLUMN(F127)-COLUMN($E$5),4),$E134),0)</f>
        <v>0</v>
      </c>
      <c r="G134" s="281">
        <f>IF(G$6=$C134,IF(INDEX('Surface DEET'!$Q$9:$W$38,COLUMN(G127)-COLUMN($E$5),4)&gt;0,INDEX('Surface DEET'!$Q$9:$W$38,COLUMN(G127)-COLUMN($E$5),4),$E134),0)</f>
        <v>0</v>
      </c>
      <c r="H134" s="281">
        <f>IF(H$6=$C134,IF(INDEX('Surface DEET'!$Q$9:$W$38,COLUMN(H127)-COLUMN($E$5),4)&gt;0,INDEX('Surface DEET'!$Q$9:$W$38,COLUMN(H127)-COLUMN($E$5),4),$E134),0)</f>
        <v>0</v>
      </c>
      <c r="I134" s="281">
        <f>IF(I$6=$C134,IF(INDEX('Surface DEET'!$Q$9:$W$38,COLUMN(I127)-COLUMN($E$5),4)&gt;0,INDEX('Surface DEET'!$Q$9:$W$38,COLUMN(I127)-COLUMN($E$5),4),$E134),0)</f>
        <v>0</v>
      </c>
      <c r="J134" s="281">
        <f>IF(J$6=$C134,IF(INDEX('Surface DEET'!$Q$9:$W$38,COLUMN(J127)-COLUMN($E$5),4)&gt;0,INDEX('Surface DEET'!$Q$9:$W$38,COLUMN(J127)-COLUMN($E$5),4),$E134),0)</f>
        <v>0</v>
      </c>
      <c r="K134" s="281">
        <f>IF(K$6=$C134,IF(INDEX('Surface DEET'!$Q$9:$W$38,COLUMN(K127)-COLUMN($E$5),4)&gt;0,INDEX('Surface DEET'!$Q$9:$W$38,COLUMN(K127)-COLUMN($E$5),4),$E134),0)</f>
        <v>0</v>
      </c>
      <c r="L134" s="281">
        <f>IF(L$6=$C134,IF(INDEX('Surface DEET'!$Q$9:$W$38,COLUMN(L127)-COLUMN($E$5),4)&gt;0,INDEX('Surface DEET'!$Q$9:$W$38,COLUMN(L127)-COLUMN($E$5),4),$E134),0)</f>
        <v>0</v>
      </c>
      <c r="M134" s="281">
        <f>IF(M$6=$C134,IF(INDEX('Surface DEET'!$Q$9:$W$38,COLUMN(M127)-COLUMN($E$5),4)&gt;0,INDEX('Surface DEET'!$Q$9:$W$38,COLUMN(M127)-COLUMN($E$5),4),$E134),0)</f>
        <v>0</v>
      </c>
      <c r="N134" s="281">
        <f>IF(N$6=$C134,IF(INDEX('Surface DEET'!$Q$9:$W$38,COLUMN(N127)-COLUMN($E$5),4)&gt;0,INDEX('Surface DEET'!$Q$9:$W$38,COLUMN(N127)-COLUMN($E$5),4),$E134),0)</f>
        <v>0</v>
      </c>
      <c r="O134" s="281">
        <f>IF(O$6=$C134,IF(INDEX('Surface DEET'!$Q$9:$W$38,COLUMN(O127)-COLUMN($E$5),4)&gt;0,INDEX('Surface DEET'!$Q$9:$W$38,COLUMN(O127)-COLUMN($E$5),4),$E134),0)</f>
        <v>0</v>
      </c>
      <c r="P134" s="281">
        <f>IF(P$6=$C134,IF(INDEX('Surface DEET'!$Q$9:$W$38,COLUMN(P127)-COLUMN($E$5),4)&gt;0,INDEX('Surface DEET'!$Q$9:$W$38,COLUMN(P127)-COLUMN($E$5),4),$E134),0)</f>
        <v>0</v>
      </c>
      <c r="Q134" s="281">
        <f>IF(Q$6=$C134,IF(INDEX('Surface DEET'!$Q$9:$W$38,COLUMN(Q127)-COLUMN($E$5),4)&gt;0,INDEX('Surface DEET'!$Q$9:$W$38,COLUMN(Q127)-COLUMN($E$5),4),$E134),0)</f>
        <v>0</v>
      </c>
      <c r="R134" s="281">
        <f>IF(R$6=$C134,IF(INDEX('Surface DEET'!$Q$9:$W$38,COLUMN(R127)-COLUMN($E$5),4)&gt;0,INDEX('Surface DEET'!$Q$9:$W$38,COLUMN(R127)-COLUMN($E$5),4),$E134),0)</f>
        <v>0</v>
      </c>
      <c r="S134" s="281">
        <f>IF(S$6=$C134,IF(INDEX('Surface DEET'!$Q$9:$W$38,COLUMN(S127)-COLUMN($E$5),4)&gt;0,INDEX('Surface DEET'!$Q$9:$W$38,COLUMN(S127)-COLUMN($E$5),4),$E134),0)</f>
        <v>0</v>
      </c>
      <c r="T134" s="281">
        <f>IF(T$6=$C134,IF(INDEX('Surface DEET'!$Q$9:$W$38,COLUMN(T127)-COLUMN($E$5),4)&gt;0,INDEX('Surface DEET'!$Q$9:$W$38,COLUMN(T127)-COLUMN($E$5),4),$E134),0)</f>
        <v>0</v>
      </c>
      <c r="U134" s="281">
        <f>IF(U$6=$C134,IF(INDEX('Surface DEET'!$Q$9:$W$38,COLUMN(U127)-COLUMN($E$5),4)&gt;0,INDEX('Surface DEET'!$Q$9:$W$38,COLUMN(U127)-COLUMN($E$5),4),$E134),0)</f>
        <v>0</v>
      </c>
      <c r="V134" s="281">
        <f>IF(V$6=$C134,IF(INDEX('Surface DEET'!$Q$9:$W$38,COLUMN(V127)-COLUMN($E$5),4)&gt;0,INDEX('Surface DEET'!$Q$9:$W$38,COLUMN(V127)-COLUMN($E$5),4),$E134),0)</f>
        <v>0</v>
      </c>
      <c r="W134" s="281">
        <f>IF(W$6=$C134,IF(INDEX('Surface DEET'!$Q$9:$W$38,COLUMN(W127)-COLUMN($E$5),4)&gt;0,INDEX('Surface DEET'!$Q$9:$W$38,COLUMN(W127)-COLUMN($E$5),4),$E134),0)</f>
        <v>0</v>
      </c>
      <c r="X134" s="281">
        <f>IF(X$6=$C134,IF(INDEX('Surface DEET'!$Q$9:$W$38,COLUMN(X127)-COLUMN($E$5),4)&gt;0,INDEX('Surface DEET'!$Q$9:$W$38,COLUMN(X127)-COLUMN($E$5),4),$E134),0)</f>
        <v>0</v>
      </c>
      <c r="Y134" s="281">
        <f>IF(Y$6=$C134,IF(INDEX('Surface DEET'!$Q$9:$W$38,COLUMN(Y127)-COLUMN($E$5),4)&gt;0,INDEX('Surface DEET'!$Q$9:$W$38,COLUMN(Y127)-COLUMN($E$5),4),$E134),0)</f>
        <v>0</v>
      </c>
      <c r="Z134" s="281">
        <f>IF(Z$6=$C134,IF(INDEX('Surface DEET'!$Q$9:$W$38,COLUMN(Z127)-COLUMN($E$5),4)&gt;0,INDEX('Surface DEET'!$Q$9:$W$38,COLUMN(Z127)-COLUMN($E$5),4),$E134),0)</f>
        <v>0</v>
      </c>
      <c r="AA134" s="281">
        <f>IF(AA$6=$C134,IF(INDEX('Surface DEET'!$Q$9:$W$38,COLUMN(AA127)-COLUMN($E$5),4)&gt;0,INDEX('Surface DEET'!$Q$9:$W$38,COLUMN(AA127)-COLUMN($E$5),4),$E134),0)</f>
        <v>0</v>
      </c>
      <c r="AB134" s="281">
        <f>IF(AB$6=$C134,IF(INDEX('Surface DEET'!$Q$9:$W$38,COLUMN(AB127)-COLUMN($E$5),4)&gt;0,INDEX('Surface DEET'!$Q$9:$W$38,COLUMN(AB127)-COLUMN($E$5),4),$E134),0)</f>
        <v>0</v>
      </c>
      <c r="AC134" s="281">
        <f>IF(AC$6=$C134,IF(INDEX('Surface DEET'!$Q$9:$W$38,COLUMN(AC127)-COLUMN($E$5),4)&gt;0,INDEX('Surface DEET'!$Q$9:$W$38,COLUMN(AC127)-COLUMN($E$5),4),$E134),0)</f>
        <v>0</v>
      </c>
      <c r="AD134" s="281">
        <f>IF(AD$6=$C134,IF(INDEX('Surface DEET'!$Q$9:$W$38,COLUMN(AD127)-COLUMN($E$5),4)&gt;0,INDEX('Surface DEET'!$Q$9:$W$38,COLUMN(AD127)-COLUMN($E$5),4),$E134),0)</f>
        <v>0</v>
      </c>
      <c r="AE134" s="281">
        <f>IF(AE$6=$C134,IF(INDEX('Surface DEET'!$Q$9:$W$38,COLUMN(AE127)-COLUMN($E$5),4)&gt;0,INDEX('Surface DEET'!$Q$9:$W$38,COLUMN(AE127)-COLUMN($E$5),4),$E134),0)</f>
        <v>0</v>
      </c>
      <c r="AF134" s="281">
        <f>IF(AF$6=$C134,IF(INDEX('Surface DEET'!$Q$9:$W$38,COLUMN(AF127)-COLUMN($E$5),4)&gt;0,INDEX('Surface DEET'!$Q$9:$W$38,COLUMN(AF127)-COLUMN($E$5),4),$E134),0)</f>
        <v>0</v>
      </c>
      <c r="AG134" s="281">
        <f>IF(AG$6=$C134,IF(INDEX('Surface DEET'!$Q$9:$W$38,COLUMN(AG127)-COLUMN($E$5),4)&gt;0,INDEX('Surface DEET'!$Q$9:$W$38,COLUMN(AG127)-COLUMN($E$5),4),$E134),0)</f>
        <v>0</v>
      </c>
      <c r="AH134" s="281">
        <f>IF(AH$6=$C134,IF(INDEX('Surface DEET'!$Q$9:$W$38,COLUMN(AH127)-COLUMN($E$5),4)&gt;0,INDEX('Surface DEET'!$Q$9:$W$38,COLUMN(AH127)-COLUMN($E$5),4),$E134),0)</f>
        <v>0</v>
      </c>
      <c r="AI134" s="281">
        <f>IF(AI$6=$C134,IF(INDEX('Surface DEET'!$Q$9:$W$38,COLUMN(AI127)-COLUMN($E$5),4)&gt;0,INDEX('Surface DEET'!$Q$9:$W$38,COLUMN(AI127)-COLUMN($E$5),4),$E134),0)</f>
        <v>0</v>
      </c>
    </row>
    <row r="135" spans="1:35">
      <c r="A135" s="542"/>
      <c r="B135" s="281" t="s">
        <v>548</v>
      </c>
      <c r="C135" s="32" t="s">
        <v>627</v>
      </c>
      <c r="D135" s="329" t="s">
        <v>623</v>
      </c>
      <c r="E135" s="281">
        <v>90</v>
      </c>
      <c r="F135" s="281">
        <f>IF(F$6=$C135,IF(INDEX('Surface DEET'!$Q$9:$W$38,COLUMN(F128)-COLUMN($E$5),7)&gt;0,INDEX('Surface DEET'!$Q$9:$W$38,COLUMN(F128)-COLUMN($E$5),7),$E135),0)</f>
        <v>0</v>
      </c>
      <c r="G135" s="281">
        <f>IF(G$6=$C135,IF(INDEX('Surface DEET'!$Q$9:$W$38,COLUMN(G128)-COLUMN($E$5),7)&gt;0,INDEX('Surface DEET'!$Q$9:$W$38,COLUMN(G128)-COLUMN($E$5),7),$E135),0)</f>
        <v>0</v>
      </c>
      <c r="H135" s="281">
        <f>IF(H$6=$C135,IF(INDEX('Surface DEET'!$Q$9:$W$38,COLUMN(H128)-COLUMN($E$5),7)&gt;0,INDEX('Surface DEET'!$Q$9:$W$38,COLUMN(H128)-COLUMN($E$5),7),$E135),0)</f>
        <v>0</v>
      </c>
      <c r="I135" s="281">
        <f>IF(I$6=$C135,IF(INDEX('Surface DEET'!$Q$9:$W$38,COLUMN(I128)-COLUMN($E$5),7)&gt;0,INDEX('Surface DEET'!$Q$9:$W$38,COLUMN(I128)-COLUMN($E$5),7),$E135),0)</f>
        <v>0</v>
      </c>
      <c r="J135" s="281">
        <f>IF(J$6=$C135,IF(INDEX('Surface DEET'!$Q$9:$W$38,COLUMN(J128)-COLUMN($E$5),7)&gt;0,INDEX('Surface DEET'!$Q$9:$W$38,COLUMN(J128)-COLUMN($E$5),7),$E135),0)</f>
        <v>0</v>
      </c>
      <c r="K135" s="281">
        <f>IF(K$6=$C135,IF(INDEX('Surface DEET'!$Q$9:$W$38,COLUMN(K128)-COLUMN($E$5),7)&gt;0,INDEX('Surface DEET'!$Q$9:$W$38,COLUMN(K128)-COLUMN($E$5),7),$E135),0)</f>
        <v>0</v>
      </c>
      <c r="L135" s="281">
        <f>IF(L$6=$C135,IF(INDEX('Surface DEET'!$Q$9:$W$38,COLUMN(L128)-COLUMN($E$5),7)&gt;0,INDEX('Surface DEET'!$Q$9:$W$38,COLUMN(L128)-COLUMN($E$5),7),$E135),0)</f>
        <v>0</v>
      </c>
      <c r="M135" s="281">
        <f>IF(M$6=$C135,IF(INDEX('Surface DEET'!$Q$9:$W$38,COLUMN(M128)-COLUMN($E$5),7)&gt;0,INDEX('Surface DEET'!$Q$9:$W$38,COLUMN(M128)-COLUMN($E$5),7),$E135),0)</f>
        <v>0</v>
      </c>
      <c r="N135" s="281">
        <f>IF(N$6=$C135,IF(INDEX('Surface DEET'!$Q$9:$W$38,COLUMN(N128)-COLUMN($E$5),7)&gt;0,INDEX('Surface DEET'!$Q$9:$W$38,COLUMN(N128)-COLUMN($E$5),7),$E135),0)</f>
        <v>0</v>
      </c>
      <c r="O135" s="281">
        <f>IF(O$6=$C135,IF(INDEX('Surface DEET'!$Q$9:$W$38,COLUMN(O128)-COLUMN($E$5),7)&gt;0,INDEX('Surface DEET'!$Q$9:$W$38,COLUMN(O128)-COLUMN($E$5),7),$E135),0)</f>
        <v>0</v>
      </c>
      <c r="P135" s="281">
        <f>IF(P$6=$C135,IF(INDEX('Surface DEET'!$Q$9:$W$38,COLUMN(P128)-COLUMN($E$5),7)&gt;0,INDEX('Surface DEET'!$Q$9:$W$38,COLUMN(P128)-COLUMN($E$5),7),$E135),0)</f>
        <v>0</v>
      </c>
      <c r="Q135" s="281">
        <f>IF(Q$6=$C135,IF(INDEX('Surface DEET'!$Q$9:$W$38,COLUMN(Q128)-COLUMN($E$5),7)&gt;0,INDEX('Surface DEET'!$Q$9:$W$38,COLUMN(Q128)-COLUMN($E$5),7),$E135),0)</f>
        <v>0</v>
      </c>
      <c r="R135" s="281">
        <f>IF(R$6=$C135,IF(INDEX('Surface DEET'!$Q$9:$W$38,COLUMN(R128)-COLUMN($E$5),7)&gt;0,INDEX('Surface DEET'!$Q$9:$W$38,COLUMN(R128)-COLUMN($E$5),7),$E135),0)</f>
        <v>0</v>
      </c>
      <c r="S135" s="281">
        <f>IF(S$6=$C135,IF(INDEX('Surface DEET'!$Q$9:$W$38,COLUMN(S128)-COLUMN($E$5),7)&gt;0,INDEX('Surface DEET'!$Q$9:$W$38,COLUMN(S128)-COLUMN($E$5),7),$E135),0)</f>
        <v>0</v>
      </c>
      <c r="T135" s="281">
        <f>IF(T$6=$C135,IF(INDEX('Surface DEET'!$Q$9:$W$38,COLUMN(T128)-COLUMN($E$5),7)&gt;0,INDEX('Surface DEET'!$Q$9:$W$38,COLUMN(T128)-COLUMN($E$5),7),$E135),0)</f>
        <v>0</v>
      </c>
      <c r="U135" s="281">
        <f>IF(U$6=$C135,IF(INDEX('Surface DEET'!$Q$9:$W$38,COLUMN(U128)-COLUMN($E$5),7)&gt;0,INDEX('Surface DEET'!$Q$9:$W$38,COLUMN(U128)-COLUMN($E$5),7),$E135),0)</f>
        <v>0</v>
      </c>
      <c r="V135" s="281">
        <f>IF(V$6=$C135,IF(INDEX('Surface DEET'!$Q$9:$W$38,COLUMN(V128)-COLUMN($E$5),7)&gt;0,INDEX('Surface DEET'!$Q$9:$W$38,COLUMN(V128)-COLUMN($E$5),7),$E135),0)</f>
        <v>0</v>
      </c>
      <c r="W135" s="281">
        <f>IF(W$6=$C135,IF(INDEX('Surface DEET'!$Q$9:$W$38,COLUMN(W128)-COLUMN($E$5),7)&gt;0,INDEX('Surface DEET'!$Q$9:$W$38,COLUMN(W128)-COLUMN($E$5),7),$E135),0)</f>
        <v>0</v>
      </c>
      <c r="X135" s="281">
        <f>IF(X$6=$C135,IF(INDEX('Surface DEET'!$Q$9:$W$38,COLUMN(X128)-COLUMN($E$5),7)&gt;0,INDEX('Surface DEET'!$Q$9:$W$38,COLUMN(X128)-COLUMN($E$5),7),$E135),0)</f>
        <v>0</v>
      </c>
      <c r="Y135" s="281">
        <f>IF(Y$6=$C135,IF(INDEX('Surface DEET'!$Q$9:$W$38,COLUMN(Y128)-COLUMN($E$5),7)&gt;0,INDEX('Surface DEET'!$Q$9:$W$38,COLUMN(Y128)-COLUMN($E$5),7),$E135),0)</f>
        <v>0</v>
      </c>
      <c r="Z135" s="281">
        <f>IF(Z$6=$C135,IF(INDEX('Surface DEET'!$Q$9:$W$38,COLUMN(Z128)-COLUMN($E$5),7)&gt;0,INDEX('Surface DEET'!$Q$9:$W$38,COLUMN(Z128)-COLUMN($E$5),7),$E135),0)</f>
        <v>0</v>
      </c>
      <c r="AA135" s="281">
        <f>IF(AA$6=$C135,IF(INDEX('Surface DEET'!$Q$9:$W$38,COLUMN(AA128)-COLUMN($E$5),7)&gt;0,INDEX('Surface DEET'!$Q$9:$W$38,COLUMN(AA128)-COLUMN($E$5),7),$E135),0)</f>
        <v>0</v>
      </c>
      <c r="AB135" s="281">
        <f>IF(AB$6=$C135,IF(INDEX('Surface DEET'!$Q$9:$W$38,COLUMN(AB128)-COLUMN($E$5),7)&gt;0,INDEX('Surface DEET'!$Q$9:$W$38,COLUMN(AB128)-COLUMN($E$5),7),$E135),0)</f>
        <v>0</v>
      </c>
      <c r="AC135" s="281">
        <f>IF(AC$6=$C135,IF(INDEX('Surface DEET'!$Q$9:$W$38,COLUMN(AC128)-COLUMN($E$5),7)&gt;0,INDEX('Surface DEET'!$Q$9:$W$38,COLUMN(AC128)-COLUMN($E$5),7),$E135),0)</f>
        <v>0</v>
      </c>
      <c r="AD135" s="281">
        <f>IF(AD$6=$C135,IF(INDEX('Surface DEET'!$Q$9:$W$38,COLUMN(AD128)-COLUMN($E$5),7)&gt;0,INDEX('Surface DEET'!$Q$9:$W$38,COLUMN(AD128)-COLUMN($E$5),7),$E135),0)</f>
        <v>0</v>
      </c>
      <c r="AE135" s="281">
        <f>IF(AE$6=$C135,IF(INDEX('Surface DEET'!$Q$9:$W$38,COLUMN(AE128)-COLUMN($E$5),7)&gt;0,INDEX('Surface DEET'!$Q$9:$W$38,COLUMN(AE128)-COLUMN($E$5),7),$E135),0)</f>
        <v>0</v>
      </c>
      <c r="AF135" s="281">
        <f>IF(AF$6=$C135,IF(INDEX('Surface DEET'!$Q$9:$W$38,COLUMN(AF128)-COLUMN($E$5),7)&gt;0,INDEX('Surface DEET'!$Q$9:$W$38,COLUMN(AF128)-COLUMN($E$5),7),$E135),0)</f>
        <v>0</v>
      </c>
      <c r="AG135" s="281">
        <f>IF(AG$6=$C135,IF(INDEX('Surface DEET'!$Q$9:$W$38,COLUMN(AG128)-COLUMN($E$5),7)&gt;0,INDEX('Surface DEET'!$Q$9:$W$38,COLUMN(AG128)-COLUMN($E$5),7),$E135),0)</f>
        <v>0</v>
      </c>
      <c r="AH135" s="281">
        <f>IF(AH$6=$C135,IF(INDEX('Surface DEET'!$Q$9:$W$38,COLUMN(AH128)-COLUMN($E$5),7)&gt;0,INDEX('Surface DEET'!$Q$9:$W$38,COLUMN(AH128)-COLUMN($E$5),7),$E135),0)</f>
        <v>0</v>
      </c>
      <c r="AI135" s="281">
        <f>IF(AI$6=$C135,IF(INDEX('Surface DEET'!$Q$9:$W$38,COLUMN(AI128)-COLUMN($E$5),7)&gt;0,INDEX('Surface DEET'!$Q$9:$W$38,COLUMN(AI128)-COLUMN($E$5),7),$E135),0)</f>
        <v>0</v>
      </c>
    </row>
    <row r="136" spans="1:35">
      <c r="A136" s="542"/>
      <c r="B136" s="281" t="s">
        <v>538</v>
      </c>
      <c r="C136" s="32" t="s">
        <v>627</v>
      </c>
      <c r="D136" s="281" t="s">
        <v>538</v>
      </c>
      <c r="F136" s="281">
        <f>IFERROR($E$130*(F133/$E$133)*($E$132*(F135/$E$135)*($E$134/F134)+(1-$E$132))+0.28*$E$129*(F133-$E$133)/$E$133,0)</f>
        <v>0</v>
      </c>
      <c r="G136" s="281">
        <f t="shared" ref="G136:AI136" si="15">IFERROR($E$130*(G133/$E$133)*($E$132*(G135/$E$135)*($E$134/G134)+(1-$E$132))+0.28*$E$129*(G133-$E$133)/$E$133,0)</f>
        <v>0</v>
      </c>
      <c r="H136" s="281">
        <f t="shared" si="15"/>
        <v>0</v>
      </c>
      <c r="I136" s="281">
        <f t="shared" si="15"/>
        <v>0</v>
      </c>
      <c r="J136" s="281">
        <f t="shared" si="15"/>
        <v>0</v>
      </c>
      <c r="K136" s="281">
        <f t="shared" si="15"/>
        <v>0</v>
      </c>
      <c r="L136" s="281">
        <f t="shared" si="15"/>
        <v>0</v>
      </c>
      <c r="M136" s="281">
        <f t="shared" si="15"/>
        <v>0</v>
      </c>
      <c r="N136" s="281">
        <f t="shared" si="15"/>
        <v>0</v>
      </c>
      <c r="O136" s="281">
        <f t="shared" si="15"/>
        <v>0</v>
      </c>
      <c r="P136" s="281">
        <f t="shared" si="15"/>
        <v>0</v>
      </c>
      <c r="Q136" s="281">
        <f t="shared" si="15"/>
        <v>0</v>
      </c>
      <c r="R136" s="281">
        <f t="shared" si="15"/>
        <v>0</v>
      </c>
      <c r="S136" s="281">
        <f t="shared" si="15"/>
        <v>0</v>
      </c>
      <c r="T136" s="281">
        <f t="shared" si="15"/>
        <v>0</v>
      </c>
      <c r="U136" s="281">
        <f t="shared" si="15"/>
        <v>0</v>
      </c>
      <c r="V136" s="281">
        <f t="shared" si="15"/>
        <v>0</v>
      </c>
      <c r="W136" s="281">
        <f t="shared" si="15"/>
        <v>0</v>
      </c>
      <c r="X136" s="281">
        <f t="shared" si="15"/>
        <v>0</v>
      </c>
      <c r="Y136" s="281">
        <f t="shared" si="15"/>
        <v>0</v>
      </c>
      <c r="Z136" s="281">
        <f t="shared" si="15"/>
        <v>0</v>
      </c>
      <c r="AA136" s="281">
        <f t="shared" si="15"/>
        <v>0</v>
      </c>
      <c r="AB136" s="281">
        <f t="shared" si="15"/>
        <v>0</v>
      </c>
      <c r="AC136" s="281">
        <f t="shared" si="15"/>
        <v>0</v>
      </c>
      <c r="AD136" s="281">
        <f t="shared" si="15"/>
        <v>0</v>
      </c>
      <c r="AE136" s="281">
        <f t="shared" si="15"/>
        <v>0</v>
      </c>
      <c r="AF136" s="281">
        <f t="shared" si="15"/>
        <v>0</v>
      </c>
      <c r="AG136" s="281">
        <f t="shared" si="15"/>
        <v>0</v>
      </c>
      <c r="AH136" s="281">
        <f t="shared" si="15"/>
        <v>0</v>
      </c>
      <c r="AI136" s="281">
        <f t="shared" si="15"/>
        <v>0</v>
      </c>
    </row>
    <row r="137" spans="1:35">
      <c r="A137" s="542" t="s">
        <v>628</v>
      </c>
      <c r="B137" s="92" t="s">
        <v>298</v>
      </c>
      <c r="C137" s="32" t="s">
        <v>628</v>
      </c>
      <c r="D137" s="92" t="s">
        <v>298</v>
      </c>
      <c r="E137" s="281">
        <f t="array" ref="E137">INDEX(CABS_CVC!$C$3:$O$894,MATCH(1, (CABS_CVC!$A$3:$A$894=Calculs_CABS!C137)*(CABS_CVC!$B$3:$B$894=Calculs_CABS!$D$2),0),MATCH(Calculs_CABS!$D$1,Liste_CABS!$B$3:$B$15,0))</f>
        <v>50</v>
      </c>
    </row>
    <row r="138" spans="1:35">
      <c r="A138" s="542"/>
      <c r="B138" s="281" t="s">
        <v>539</v>
      </c>
      <c r="C138" s="32" t="s">
        <v>628</v>
      </c>
      <c r="D138" s="281" t="s">
        <v>539</v>
      </c>
      <c r="E138" s="332">
        <v>22</v>
      </c>
    </row>
    <row r="139" spans="1:35">
      <c r="A139" s="542"/>
      <c r="B139" s="281" t="s">
        <v>540</v>
      </c>
      <c r="C139" s="32" t="s">
        <v>628</v>
      </c>
      <c r="D139" s="281" t="s">
        <v>540</v>
      </c>
      <c r="E139" s="281">
        <f>E137+E138</f>
        <v>72</v>
      </c>
    </row>
    <row r="140" spans="1:35">
      <c r="A140" s="542"/>
      <c r="B140" s="281" t="s">
        <v>541</v>
      </c>
      <c r="C140" s="32" t="s">
        <v>628</v>
      </c>
      <c r="D140" s="281" t="s">
        <v>541</v>
      </c>
      <c r="E140" s="281">
        <v>0</v>
      </c>
    </row>
    <row r="141" spans="1:35">
      <c r="A141" s="542"/>
      <c r="B141" s="281" t="s">
        <v>542</v>
      </c>
      <c r="C141" s="32" t="s">
        <v>628</v>
      </c>
      <c r="D141" s="329" t="s">
        <v>588</v>
      </c>
      <c r="E141" s="281">
        <v>3510</v>
      </c>
      <c r="F141" s="281">
        <f>IF(F$6=$C141,IF(INDEX('Surface DEET'!$Q$9:$W$38,COLUMN(F134)-COLUMN($E$5),1)&gt;0,INDEX('Surface DEET'!$Q$9:$W$38,COLUMN(F134)-COLUMN($E$5),1),$E141),0)</f>
        <v>0</v>
      </c>
      <c r="G141" s="281">
        <f>IF(G$6=$C141,IF(INDEX('Surface DEET'!$Q$9:$W$38,COLUMN(G134)-COLUMN($E$5),1)&gt;0,INDEX('Surface DEET'!$Q$9:$W$38,COLUMN(G134)-COLUMN($E$5),1),$E141),0)</f>
        <v>0</v>
      </c>
      <c r="H141" s="281">
        <f>IF(H$6=$C141,IF(INDEX('Surface DEET'!$Q$9:$W$38,COLUMN(H134)-COLUMN($E$5),1)&gt;0,INDEX('Surface DEET'!$Q$9:$W$38,COLUMN(H134)-COLUMN($E$5),1),$E141),0)</f>
        <v>0</v>
      </c>
      <c r="I141" s="281">
        <f>IF(I$6=$C141,IF(INDEX('Surface DEET'!$Q$9:$W$38,COLUMN(I134)-COLUMN($E$5),1)&gt;0,INDEX('Surface DEET'!$Q$9:$W$38,COLUMN(I134)-COLUMN($E$5),1),$E141),0)</f>
        <v>0</v>
      </c>
      <c r="J141" s="281">
        <f>IF(J$6=$C141,IF(INDEX('Surface DEET'!$Q$9:$W$38,COLUMN(J134)-COLUMN($E$5),1)&gt;0,INDEX('Surface DEET'!$Q$9:$W$38,COLUMN(J134)-COLUMN($E$5),1),$E141),0)</f>
        <v>0</v>
      </c>
      <c r="K141" s="281">
        <f>IF(K$6=$C141,IF(INDEX('Surface DEET'!$Q$9:$W$38,COLUMN(K134)-COLUMN($E$5),1)&gt;0,INDEX('Surface DEET'!$Q$9:$W$38,COLUMN(K134)-COLUMN($E$5),1),$E141),0)</f>
        <v>0</v>
      </c>
      <c r="L141" s="281">
        <f>IF(L$6=$C141,IF(INDEX('Surface DEET'!$Q$9:$W$38,COLUMN(L134)-COLUMN($E$5),1)&gt;0,INDEX('Surface DEET'!$Q$9:$W$38,COLUMN(L134)-COLUMN($E$5),1),$E141),0)</f>
        <v>0</v>
      </c>
      <c r="M141" s="281">
        <f>IF(M$6=$C141,IF(INDEX('Surface DEET'!$Q$9:$W$38,COLUMN(M134)-COLUMN($E$5),1)&gt;0,INDEX('Surface DEET'!$Q$9:$W$38,COLUMN(M134)-COLUMN($E$5),1),$E141),0)</f>
        <v>0</v>
      </c>
      <c r="N141" s="281">
        <f>IF(N$6=$C141,IF(INDEX('Surface DEET'!$Q$9:$W$38,COLUMN(N134)-COLUMN($E$5),1)&gt;0,INDEX('Surface DEET'!$Q$9:$W$38,COLUMN(N134)-COLUMN($E$5),1),$E141),0)</f>
        <v>0</v>
      </c>
      <c r="O141" s="281">
        <f>IF(O$6=$C141,IF(INDEX('Surface DEET'!$Q$9:$W$38,COLUMN(O134)-COLUMN($E$5),1)&gt;0,INDEX('Surface DEET'!$Q$9:$W$38,COLUMN(O134)-COLUMN($E$5),1),$E141),0)</f>
        <v>0</v>
      </c>
      <c r="P141" s="281">
        <f>IF(P$6=$C141,IF(INDEX('Surface DEET'!$Q$9:$W$38,COLUMN(P134)-COLUMN($E$5),1)&gt;0,INDEX('Surface DEET'!$Q$9:$W$38,COLUMN(P134)-COLUMN($E$5),1),$E141),0)</f>
        <v>0</v>
      </c>
      <c r="Q141" s="281">
        <f>IF(Q$6=$C141,IF(INDEX('Surface DEET'!$Q$9:$W$38,COLUMN(Q134)-COLUMN($E$5),1)&gt;0,INDEX('Surface DEET'!$Q$9:$W$38,COLUMN(Q134)-COLUMN($E$5),1),$E141),0)</f>
        <v>0</v>
      </c>
      <c r="R141" s="281">
        <f>IF(R$6=$C141,IF(INDEX('Surface DEET'!$Q$9:$W$38,COLUMN(R134)-COLUMN($E$5),1)&gt;0,INDEX('Surface DEET'!$Q$9:$W$38,COLUMN(R134)-COLUMN($E$5),1),$E141),0)</f>
        <v>0</v>
      </c>
      <c r="S141" s="281">
        <f>IF(S$6=$C141,IF(INDEX('Surface DEET'!$Q$9:$W$38,COLUMN(S134)-COLUMN($E$5),1)&gt;0,INDEX('Surface DEET'!$Q$9:$W$38,COLUMN(S134)-COLUMN($E$5),1),$E141),0)</f>
        <v>0</v>
      </c>
      <c r="T141" s="281">
        <f>IF(T$6=$C141,IF(INDEX('Surface DEET'!$Q$9:$W$38,COLUMN(T134)-COLUMN($E$5),1)&gt;0,INDEX('Surface DEET'!$Q$9:$W$38,COLUMN(T134)-COLUMN($E$5),1),$E141),0)</f>
        <v>0</v>
      </c>
      <c r="U141" s="281">
        <f>IF(U$6=$C141,IF(INDEX('Surface DEET'!$Q$9:$W$38,COLUMN(U134)-COLUMN($E$5),1)&gt;0,INDEX('Surface DEET'!$Q$9:$W$38,COLUMN(U134)-COLUMN($E$5),1),$E141),0)</f>
        <v>0</v>
      </c>
      <c r="V141" s="281">
        <f>IF(V$6=$C141,IF(INDEX('Surface DEET'!$Q$9:$W$38,COLUMN(V134)-COLUMN($E$5),1)&gt;0,INDEX('Surface DEET'!$Q$9:$W$38,COLUMN(V134)-COLUMN($E$5),1),$E141),0)</f>
        <v>0</v>
      </c>
      <c r="W141" s="281">
        <f>IF(W$6=$C141,IF(INDEX('Surface DEET'!$Q$9:$W$38,COLUMN(W134)-COLUMN($E$5),1)&gt;0,INDEX('Surface DEET'!$Q$9:$W$38,COLUMN(W134)-COLUMN($E$5),1),$E141),0)</f>
        <v>0</v>
      </c>
      <c r="X141" s="281">
        <f>IF(X$6=$C141,IF(INDEX('Surface DEET'!$Q$9:$W$38,COLUMN(X134)-COLUMN($E$5),1)&gt;0,INDEX('Surface DEET'!$Q$9:$W$38,COLUMN(X134)-COLUMN($E$5),1),$E141),0)</f>
        <v>0</v>
      </c>
      <c r="Y141" s="281">
        <f>IF(Y$6=$C141,IF(INDEX('Surface DEET'!$Q$9:$W$38,COLUMN(Y134)-COLUMN($E$5),1)&gt;0,INDEX('Surface DEET'!$Q$9:$W$38,COLUMN(Y134)-COLUMN($E$5),1),$E141),0)</f>
        <v>0</v>
      </c>
      <c r="Z141" s="281">
        <f>IF(Z$6=$C141,IF(INDEX('Surface DEET'!$Q$9:$W$38,COLUMN(Z134)-COLUMN($E$5),1)&gt;0,INDEX('Surface DEET'!$Q$9:$W$38,COLUMN(Z134)-COLUMN($E$5),1),$E141),0)</f>
        <v>0</v>
      </c>
      <c r="AA141" s="281">
        <f>IF(AA$6=$C141,IF(INDEX('Surface DEET'!$Q$9:$W$38,COLUMN(AA134)-COLUMN($E$5),1)&gt;0,INDEX('Surface DEET'!$Q$9:$W$38,COLUMN(AA134)-COLUMN($E$5),1),$E141),0)</f>
        <v>0</v>
      </c>
      <c r="AB141" s="281">
        <f>IF(AB$6=$C141,IF(INDEX('Surface DEET'!$Q$9:$W$38,COLUMN(AB134)-COLUMN($E$5),1)&gt;0,INDEX('Surface DEET'!$Q$9:$W$38,COLUMN(AB134)-COLUMN($E$5),1),$E141),0)</f>
        <v>0</v>
      </c>
      <c r="AC141" s="281">
        <f>IF(AC$6=$C141,IF(INDEX('Surface DEET'!$Q$9:$W$38,COLUMN(AC134)-COLUMN($E$5),1)&gt;0,INDEX('Surface DEET'!$Q$9:$W$38,COLUMN(AC134)-COLUMN($E$5),1),$E141),0)</f>
        <v>0</v>
      </c>
      <c r="AD141" s="281">
        <f>IF(AD$6=$C141,IF(INDEX('Surface DEET'!$Q$9:$W$38,COLUMN(AD134)-COLUMN($E$5),1)&gt;0,INDEX('Surface DEET'!$Q$9:$W$38,COLUMN(AD134)-COLUMN($E$5),1),$E141),0)</f>
        <v>0</v>
      </c>
      <c r="AE141" s="281">
        <f>IF(AE$6=$C141,IF(INDEX('Surface DEET'!$Q$9:$W$38,COLUMN(AE134)-COLUMN($E$5),1)&gt;0,INDEX('Surface DEET'!$Q$9:$W$38,COLUMN(AE134)-COLUMN($E$5),1),$E141),0)</f>
        <v>0</v>
      </c>
      <c r="AF141" s="281">
        <f>IF(AF$6=$C141,IF(INDEX('Surface DEET'!$Q$9:$W$38,COLUMN(AF134)-COLUMN($E$5),1)&gt;0,INDEX('Surface DEET'!$Q$9:$W$38,COLUMN(AF134)-COLUMN($E$5),1),$E141),0)</f>
        <v>0</v>
      </c>
      <c r="AG141" s="281">
        <f>IF(AG$6=$C141,IF(INDEX('Surface DEET'!$Q$9:$W$38,COLUMN(AG134)-COLUMN($E$5),1)&gt;0,INDEX('Surface DEET'!$Q$9:$W$38,COLUMN(AG134)-COLUMN($E$5),1),$E141),0)</f>
        <v>0</v>
      </c>
      <c r="AH141" s="281">
        <f>IF(AH$6=$C141,IF(INDEX('Surface DEET'!$Q$9:$W$38,COLUMN(AH134)-COLUMN($E$5),1)&gt;0,INDEX('Surface DEET'!$Q$9:$W$38,COLUMN(AH134)-COLUMN($E$5),1),$E141),0)</f>
        <v>0</v>
      </c>
      <c r="AI141" s="281">
        <f>IF(AI$6=$C141,IF(INDEX('Surface DEET'!$Q$9:$W$38,COLUMN(AI134)-COLUMN($E$5),1)&gt;0,INDEX('Surface DEET'!$Q$9:$W$38,COLUMN(AI134)-COLUMN($E$5),1),$E141),0)</f>
        <v>0</v>
      </c>
    </row>
    <row r="142" spans="1:35">
      <c r="A142" s="542"/>
      <c r="B142" s="281" t="s">
        <v>538</v>
      </c>
      <c r="C142" s="32" t="s">
        <v>628</v>
      </c>
      <c r="D142" s="281" t="s">
        <v>538</v>
      </c>
      <c r="F142" s="281">
        <f>$E$138*(F141/$E$141)+0.28*$E$137*(F141-$E$141)/$E$141</f>
        <v>-14.000000000000002</v>
      </c>
      <c r="G142" s="281">
        <f t="shared" ref="G142:AI142" si="16">$E$138*(G141/$E$141)+0.28*$E$137*(G141-$E$141)/$E$141</f>
        <v>-14.000000000000002</v>
      </c>
      <c r="H142" s="281">
        <f t="shared" si="16"/>
        <v>-14.000000000000002</v>
      </c>
      <c r="I142" s="281">
        <f t="shared" si="16"/>
        <v>-14.000000000000002</v>
      </c>
      <c r="J142" s="281">
        <f t="shared" si="16"/>
        <v>-14.000000000000002</v>
      </c>
      <c r="K142" s="281">
        <f t="shared" si="16"/>
        <v>-14.000000000000002</v>
      </c>
      <c r="L142" s="281">
        <f t="shared" si="16"/>
        <v>-14.000000000000002</v>
      </c>
      <c r="M142" s="281">
        <f t="shared" si="16"/>
        <v>-14.000000000000002</v>
      </c>
      <c r="N142" s="281">
        <f t="shared" si="16"/>
        <v>-14.000000000000002</v>
      </c>
      <c r="O142" s="281">
        <f t="shared" si="16"/>
        <v>-14.000000000000002</v>
      </c>
      <c r="P142" s="281">
        <f t="shared" si="16"/>
        <v>-14.000000000000002</v>
      </c>
      <c r="Q142" s="281">
        <f t="shared" si="16"/>
        <v>-14.000000000000002</v>
      </c>
      <c r="R142" s="281">
        <f t="shared" si="16"/>
        <v>-14.000000000000002</v>
      </c>
      <c r="S142" s="281">
        <f t="shared" si="16"/>
        <v>-14.000000000000002</v>
      </c>
      <c r="T142" s="281">
        <f t="shared" si="16"/>
        <v>-14.000000000000002</v>
      </c>
      <c r="U142" s="281">
        <f t="shared" si="16"/>
        <v>-14.000000000000002</v>
      </c>
      <c r="V142" s="281">
        <f t="shared" si="16"/>
        <v>-14.000000000000002</v>
      </c>
      <c r="W142" s="281">
        <f t="shared" si="16"/>
        <v>-14.000000000000002</v>
      </c>
      <c r="X142" s="281">
        <f t="shared" si="16"/>
        <v>-14.000000000000002</v>
      </c>
      <c r="Y142" s="281">
        <f t="shared" si="16"/>
        <v>-14.000000000000002</v>
      </c>
      <c r="Z142" s="281">
        <f t="shared" si="16"/>
        <v>-14.000000000000002</v>
      </c>
      <c r="AA142" s="281">
        <f t="shared" si="16"/>
        <v>-14.000000000000002</v>
      </c>
      <c r="AB142" s="281">
        <f t="shared" si="16"/>
        <v>-14.000000000000002</v>
      </c>
      <c r="AC142" s="281">
        <f t="shared" si="16"/>
        <v>-14.000000000000002</v>
      </c>
      <c r="AD142" s="281">
        <f t="shared" si="16"/>
        <v>-14.000000000000002</v>
      </c>
      <c r="AE142" s="281">
        <f t="shared" si="16"/>
        <v>-14.000000000000002</v>
      </c>
      <c r="AF142" s="281">
        <f t="shared" si="16"/>
        <v>-14.000000000000002</v>
      </c>
      <c r="AG142" s="281">
        <f t="shared" si="16"/>
        <v>-14.000000000000002</v>
      </c>
      <c r="AH142" s="281">
        <f t="shared" si="16"/>
        <v>-14.000000000000002</v>
      </c>
      <c r="AI142" s="281">
        <f t="shared" si="16"/>
        <v>-14.000000000000002</v>
      </c>
    </row>
    <row r="143" spans="1:35">
      <c r="A143" s="542" t="s">
        <v>629</v>
      </c>
      <c r="B143" s="92" t="s">
        <v>298</v>
      </c>
      <c r="C143" s="32" t="s">
        <v>629</v>
      </c>
      <c r="D143" s="92" t="s">
        <v>298</v>
      </c>
      <c r="E143" s="281">
        <f t="array" ref="E143">INDEX(CABS_CVC!$C$3:$O$894,MATCH(1, (CABS_CVC!$A$3:$A$894=Calculs_CABS!C143)*(CABS_CVC!$B$3:$B$894=Calculs_CABS!$D$2),0),MATCH(Calculs_CABS!$D$1,Liste_CABS!$B$3:$B$15,0))</f>
        <v>76</v>
      </c>
    </row>
    <row r="144" spans="1:35">
      <c r="A144" s="542"/>
      <c r="B144" s="281" t="s">
        <v>539</v>
      </c>
      <c r="C144" s="32" t="s">
        <v>629</v>
      </c>
      <c r="D144" s="281" t="s">
        <v>539</v>
      </c>
      <c r="E144" s="332">
        <v>75</v>
      </c>
    </row>
    <row r="145" spans="1:35">
      <c r="A145" s="542"/>
      <c r="B145" s="281" t="s">
        <v>540</v>
      </c>
      <c r="C145" s="32" t="s">
        <v>629</v>
      </c>
      <c r="D145" s="281" t="s">
        <v>540</v>
      </c>
      <c r="E145" s="281">
        <f>E143+E144</f>
        <v>151</v>
      </c>
    </row>
    <row r="146" spans="1:35">
      <c r="A146" s="542"/>
      <c r="B146" s="281" t="s">
        <v>541</v>
      </c>
      <c r="C146" s="32" t="s">
        <v>629</v>
      </c>
      <c r="D146" s="281" t="s">
        <v>541</v>
      </c>
      <c r="E146" s="281">
        <v>0</v>
      </c>
    </row>
    <row r="147" spans="1:35">
      <c r="A147" s="542"/>
      <c r="B147" s="281" t="s">
        <v>542</v>
      </c>
      <c r="C147" s="32" t="s">
        <v>629</v>
      </c>
      <c r="D147" s="329" t="s">
        <v>588</v>
      </c>
      <c r="E147" s="281">
        <v>8760</v>
      </c>
      <c r="F147" s="281">
        <f>IF(F$6=$C147,IF(INDEX('Surface DEET'!$Q$9:$W$38,COLUMN(F140)-COLUMN($E$5),1)&gt;0,INDEX('Surface DEET'!$Q$9:$W$38,COLUMN(F140)-COLUMN($E$5),1),$E147),0)</f>
        <v>0</v>
      </c>
      <c r="G147" s="281">
        <f>IF(G$6=$C147,IF(INDEX('Surface DEET'!$Q$9:$W$38,COLUMN(G140)-COLUMN($E$5),1)&gt;0,INDEX('Surface DEET'!$Q$9:$W$38,COLUMN(G140)-COLUMN($E$5),1),$E147),0)</f>
        <v>0</v>
      </c>
      <c r="H147" s="281">
        <f>IF(H$6=$C147,IF(INDEX('Surface DEET'!$Q$9:$W$38,COLUMN(H140)-COLUMN($E$5),1)&gt;0,INDEX('Surface DEET'!$Q$9:$W$38,COLUMN(H140)-COLUMN($E$5),1),$E147),0)</f>
        <v>0</v>
      </c>
      <c r="I147" s="281">
        <f>IF(I$6=$C147,IF(INDEX('Surface DEET'!$Q$9:$W$38,COLUMN(I140)-COLUMN($E$5),1)&gt;0,INDEX('Surface DEET'!$Q$9:$W$38,COLUMN(I140)-COLUMN($E$5),1),$E147),0)</f>
        <v>0</v>
      </c>
      <c r="J147" s="281">
        <f>IF(J$6=$C147,IF(INDEX('Surface DEET'!$Q$9:$W$38,COLUMN(J140)-COLUMN($E$5),1)&gt;0,INDEX('Surface DEET'!$Q$9:$W$38,COLUMN(J140)-COLUMN($E$5),1),$E147),0)</f>
        <v>0</v>
      </c>
      <c r="K147" s="281">
        <f>IF(K$6=$C147,IF(INDEX('Surface DEET'!$Q$9:$W$38,COLUMN(K140)-COLUMN($E$5),1)&gt;0,INDEX('Surface DEET'!$Q$9:$W$38,COLUMN(K140)-COLUMN($E$5),1),$E147),0)</f>
        <v>0</v>
      </c>
      <c r="L147" s="281">
        <f>IF(L$6=$C147,IF(INDEX('Surface DEET'!$Q$9:$W$38,COLUMN(L140)-COLUMN($E$5),1)&gt;0,INDEX('Surface DEET'!$Q$9:$W$38,COLUMN(L140)-COLUMN($E$5),1),$E147),0)</f>
        <v>0</v>
      </c>
      <c r="M147" s="281">
        <f>IF(M$6=$C147,IF(INDEX('Surface DEET'!$Q$9:$W$38,COLUMN(M140)-COLUMN($E$5),1)&gt;0,INDEX('Surface DEET'!$Q$9:$W$38,COLUMN(M140)-COLUMN($E$5),1),$E147),0)</f>
        <v>0</v>
      </c>
      <c r="N147" s="281">
        <f>IF(N$6=$C147,IF(INDEX('Surface DEET'!$Q$9:$W$38,COLUMN(N140)-COLUMN($E$5),1)&gt;0,INDEX('Surface DEET'!$Q$9:$W$38,COLUMN(N140)-COLUMN($E$5),1),$E147),0)</f>
        <v>0</v>
      </c>
      <c r="O147" s="281">
        <f>IF(O$6=$C147,IF(INDEX('Surface DEET'!$Q$9:$W$38,COLUMN(O140)-COLUMN($E$5),1)&gt;0,INDEX('Surface DEET'!$Q$9:$W$38,COLUMN(O140)-COLUMN($E$5),1),$E147),0)</f>
        <v>0</v>
      </c>
      <c r="P147" s="281">
        <f>IF(P$6=$C147,IF(INDEX('Surface DEET'!$Q$9:$W$38,COLUMN(P140)-COLUMN($E$5),1)&gt;0,INDEX('Surface DEET'!$Q$9:$W$38,COLUMN(P140)-COLUMN($E$5),1),$E147),0)</f>
        <v>0</v>
      </c>
      <c r="Q147" s="281">
        <f>IF(Q$6=$C147,IF(INDEX('Surface DEET'!$Q$9:$W$38,COLUMN(Q140)-COLUMN($E$5),1)&gt;0,INDEX('Surface DEET'!$Q$9:$W$38,COLUMN(Q140)-COLUMN($E$5),1),$E147),0)</f>
        <v>0</v>
      </c>
      <c r="R147" s="281">
        <f>IF(R$6=$C147,IF(INDEX('Surface DEET'!$Q$9:$W$38,COLUMN(R140)-COLUMN($E$5),1)&gt;0,INDEX('Surface DEET'!$Q$9:$W$38,COLUMN(R140)-COLUMN($E$5),1),$E147),0)</f>
        <v>0</v>
      </c>
      <c r="S147" s="281">
        <f>IF(S$6=$C147,IF(INDEX('Surface DEET'!$Q$9:$W$38,COLUMN(S140)-COLUMN($E$5),1)&gt;0,INDEX('Surface DEET'!$Q$9:$W$38,COLUMN(S140)-COLUMN($E$5),1),$E147),0)</f>
        <v>0</v>
      </c>
      <c r="T147" s="281">
        <f>IF(T$6=$C147,IF(INDEX('Surface DEET'!$Q$9:$W$38,COLUMN(T140)-COLUMN($E$5),1)&gt;0,INDEX('Surface DEET'!$Q$9:$W$38,COLUMN(T140)-COLUMN($E$5),1),$E147),0)</f>
        <v>0</v>
      </c>
      <c r="U147" s="281">
        <f>IF(U$6=$C147,IF(INDEX('Surface DEET'!$Q$9:$W$38,COLUMN(U140)-COLUMN($E$5),1)&gt;0,INDEX('Surface DEET'!$Q$9:$W$38,COLUMN(U140)-COLUMN($E$5),1),$E147),0)</f>
        <v>0</v>
      </c>
      <c r="V147" s="281">
        <f>IF(V$6=$C147,IF(INDEX('Surface DEET'!$Q$9:$W$38,COLUMN(V140)-COLUMN($E$5),1)&gt;0,INDEX('Surface DEET'!$Q$9:$W$38,COLUMN(V140)-COLUMN($E$5),1),$E147),0)</f>
        <v>0</v>
      </c>
      <c r="W147" s="281">
        <f>IF(W$6=$C147,IF(INDEX('Surface DEET'!$Q$9:$W$38,COLUMN(W140)-COLUMN($E$5),1)&gt;0,INDEX('Surface DEET'!$Q$9:$W$38,COLUMN(W140)-COLUMN($E$5),1),$E147),0)</f>
        <v>0</v>
      </c>
      <c r="X147" s="281">
        <f>IF(X$6=$C147,IF(INDEX('Surface DEET'!$Q$9:$W$38,COLUMN(X140)-COLUMN($E$5),1)&gt;0,INDEX('Surface DEET'!$Q$9:$W$38,COLUMN(X140)-COLUMN($E$5),1),$E147),0)</f>
        <v>0</v>
      </c>
      <c r="Y147" s="281">
        <f>IF(Y$6=$C147,IF(INDEX('Surface DEET'!$Q$9:$W$38,COLUMN(Y140)-COLUMN($E$5),1)&gt;0,INDEX('Surface DEET'!$Q$9:$W$38,COLUMN(Y140)-COLUMN($E$5),1),$E147),0)</f>
        <v>0</v>
      </c>
      <c r="Z147" s="281">
        <f>IF(Z$6=$C147,IF(INDEX('Surface DEET'!$Q$9:$W$38,COLUMN(Z140)-COLUMN($E$5),1)&gt;0,INDEX('Surface DEET'!$Q$9:$W$38,COLUMN(Z140)-COLUMN($E$5),1),$E147),0)</f>
        <v>0</v>
      </c>
      <c r="AA147" s="281">
        <f>IF(AA$6=$C147,IF(INDEX('Surface DEET'!$Q$9:$W$38,COLUMN(AA140)-COLUMN($E$5),1)&gt;0,INDEX('Surface DEET'!$Q$9:$W$38,COLUMN(AA140)-COLUMN($E$5),1),$E147),0)</f>
        <v>0</v>
      </c>
      <c r="AB147" s="281">
        <f>IF(AB$6=$C147,IF(INDEX('Surface DEET'!$Q$9:$W$38,COLUMN(AB140)-COLUMN($E$5),1)&gt;0,INDEX('Surface DEET'!$Q$9:$W$38,COLUMN(AB140)-COLUMN($E$5),1),$E147),0)</f>
        <v>0</v>
      </c>
      <c r="AC147" s="281">
        <f>IF(AC$6=$C147,IF(INDEX('Surface DEET'!$Q$9:$W$38,COLUMN(AC140)-COLUMN($E$5),1)&gt;0,INDEX('Surface DEET'!$Q$9:$W$38,COLUMN(AC140)-COLUMN($E$5),1),$E147),0)</f>
        <v>0</v>
      </c>
      <c r="AD147" s="281">
        <f>IF(AD$6=$C147,IF(INDEX('Surface DEET'!$Q$9:$W$38,COLUMN(AD140)-COLUMN($E$5),1)&gt;0,INDEX('Surface DEET'!$Q$9:$W$38,COLUMN(AD140)-COLUMN($E$5),1),$E147),0)</f>
        <v>0</v>
      </c>
      <c r="AE147" s="281">
        <f>IF(AE$6=$C147,IF(INDEX('Surface DEET'!$Q$9:$W$38,COLUMN(AE140)-COLUMN($E$5),1)&gt;0,INDEX('Surface DEET'!$Q$9:$W$38,COLUMN(AE140)-COLUMN($E$5),1),$E147),0)</f>
        <v>0</v>
      </c>
      <c r="AF147" s="281">
        <f>IF(AF$6=$C147,IF(INDEX('Surface DEET'!$Q$9:$W$38,COLUMN(AF140)-COLUMN($E$5),1)&gt;0,INDEX('Surface DEET'!$Q$9:$W$38,COLUMN(AF140)-COLUMN($E$5),1),$E147),0)</f>
        <v>0</v>
      </c>
      <c r="AG147" s="281">
        <f>IF(AG$6=$C147,IF(INDEX('Surface DEET'!$Q$9:$W$38,COLUMN(AG140)-COLUMN($E$5),1)&gt;0,INDEX('Surface DEET'!$Q$9:$W$38,COLUMN(AG140)-COLUMN($E$5),1),$E147),0)</f>
        <v>0</v>
      </c>
      <c r="AH147" s="281">
        <f>IF(AH$6=$C147,IF(INDEX('Surface DEET'!$Q$9:$W$38,COLUMN(AH140)-COLUMN($E$5),1)&gt;0,INDEX('Surface DEET'!$Q$9:$W$38,COLUMN(AH140)-COLUMN($E$5),1),$E147),0)</f>
        <v>0</v>
      </c>
      <c r="AI147" s="281">
        <f>IF(AI$6=$C147,IF(INDEX('Surface DEET'!$Q$9:$W$38,COLUMN(AI140)-COLUMN($E$5),1)&gt;0,INDEX('Surface DEET'!$Q$9:$W$38,COLUMN(AI140)-COLUMN($E$5),1),$E147),0)</f>
        <v>0</v>
      </c>
    </row>
    <row r="148" spans="1:35">
      <c r="A148" s="542"/>
      <c r="B148" s="281" t="s">
        <v>538</v>
      </c>
      <c r="C148" s="32" t="s">
        <v>629</v>
      </c>
      <c r="D148" s="281" t="s">
        <v>538</v>
      </c>
      <c r="F148" s="281">
        <f>$E$144*(F147/$E$147)+0.28*$E$143*(F147-$E$147)/$E$147</f>
        <v>-21.28</v>
      </c>
      <c r="G148" s="281">
        <f t="shared" ref="G148:AI148" si="17">$E$144*(G147/$E$147)+0.28*$E$143*(G147-$E$147)/$E$147</f>
        <v>-21.28</v>
      </c>
      <c r="H148" s="281">
        <f t="shared" si="17"/>
        <v>-21.28</v>
      </c>
      <c r="I148" s="281">
        <f t="shared" si="17"/>
        <v>-21.28</v>
      </c>
      <c r="J148" s="281">
        <f t="shared" si="17"/>
        <v>-21.28</v>
      </c>
      <c r="K148" s="281">
        <f t="shared" si="17"/>
        <v>-21.28</v>
      </c>
      <c r="L148" s="281">
        <f t="shared" si="17"/>
        <v>-21.28</v>
      </c>
      <c r="M148" s="281">
        <f t="shared" si="17"/>
        <v>-21.28</v>
      </c>
      <c r="N148" s="281">
        <f t="shared" si="17"/>
        <v>-21.28</v>
      </c>
      <c r="O148" s="281">
        <f t="shared" si="17"/>
        <v>-21.28</v>
      </c>
      <c r="P148" s="281">
        <f t="shared" si="17"/>
        <v>-21.28</v>
      </c>
      <c r="Q148" s="281">
        <f t="shared" si="17"/>
        <v>-21.28</v>
      </c>
      <c r="R148" s="281">
        <f t="shared" si="17"/>
        <v>-21.28</v>
      </c>
      <c r="S148" s="281">
        <f t="shared" si="17"/>
        <v>-21.28</v>
      </c>
      <c r="T148" s="281">
        <f t="shared" si="17"/>
        <v>-21.28</v>
      </c>
      <c r="U148" s="281">
        <f t="shared" si="17"/>
        <v>-21.28</v>
      </c>
      <c r="V148" s="281">
        <f t="shared" si="17"/>
        <v>-21.28</v>
      </c>
      <c r="W148" s="281">
        <f t="shared" si="17"/>
        <v>-21.28</v>
      </c>
      <c r="X148" s="281">
        <f t="shared" si="17"/>
        <v>-21.28</v>
      </c>
      <c r="Y148" s="281">
        <f t="shared" si="17"/>
        <v>-21.28</v>
      </c>
      <c r="Z148" s="281">
        <f t="shared" si="17"/>
        <v>-21.28</v>
      </c>
      <c r="AA148" s="281">
        <f t="shared" si="17"/>
        <v>-21.28</v>
      </c>
      <c r="AB148" s="281">
        <f t="shared" si="17"/>
        <v>-21.28</v>
      </c>
      <c r="AC148" s="281">
        <f t="shared" si="17"/>
        <v>-21.28</v>
      </c>
      <c r="AD148" s="281">
        <f t="shared" si="17"/>
        <v>-21.28</v>
      </c>
      <c r="AE148" s="281">
        <f t="shared" si="17"/>
        <v>-21.28</v>
      </c>
      <c r="AF148" s="281">
        <f t="shared" si="17"/>
        <v>-21.28</v>
      </c>
      <c r="AG148" s="281">
        <f t="shared" si="17"/>
        <v>-21.28</v>
      </c>
      <c r="AH148" s="281">
        <f t="shared" si="17"/>
        <v>-21.28</v>
      </c>
      <c r="AI148" s="281">
        <f t="shared" si="17"/>
        <v>-21.28</v>
      </c>
    </row>
    <row r="149" spans="1:35">
      <c r="A149" s="542" t="s">
        <v>630</v>
      </c>
      <c r="B149" s="92" t="s">
        <v>298</v>
      </c>
      <c r="C149" s="32" t="s">
        <v>630</v>
      </c>
      <c r="D149" s="92" t="s">
        <v>298</v>
      </c>
      <c r="E149" s="281">
        <f t="array" ref="E149">INDEX(CABS_CVC!$C$3:$O$894,MATCH(1, (CABS_CVC!$A$3:$A$894=Calculs_CABS!C149)*(CABS_CVC!$B$3:$B$894=Calculs_CABS!$D$2),0),MATCH(Calculs_CABS!$D$1,Liste_CABS!$B$3:$B$15,0))</f>
        <v>42</v>
      </c>
    </row>
    <row r="150" spans="1:35">
      <c r="A150" s="542"/>
      <c r="B150" s="281" t="s">
        <v>539</v>
      </c>
      <c r="C150" s="32" t="s">
        <v>630</v>
      </c>
      <c r="D150" s="281" t="s">
        <v>539</v>
      </c>
      <c r="E150" s="281">
        <v>914</v>
      </c>
    </row>
    <row r="151" spans="1:35">
      <c r="A151" s="542"/>
      <c r="B151" s="281" t="s">
        <v>540</v>
      </c>
      <c r="C151" s="32" t="s">
        <v>630</v>
      </c>
      <c r="D151" s="281" t="s">
        <v>540</v>
      </c>
      <c r="E151" s="281">
        <f>E149+E150</f>
        <v>956</v>
      </c>
    </row>
    <row r="152" spans="1:35">
      <c r="A152" s="542"/>
      <c r="B152" s="281" t="s">
        <v>541</v>
      </c>
      <c r="C152" s="32" t="s">
        <v>630</v>
      </c>
      <c r="D152" s="281" t="s">
        <v>541</v>
      </c>
      <c r="E152" s="281">
        <v>0.99</v>
      </c>
    </row>
    <row r="153" spans="1:35">
      <c r="A153" s="542"/>
      <c r="B153" s="281" t="s">
        <v>542</v>
      </c>
      <c r="C153" s="32" t="s">
        <v>630</v>
      </c>
      <c r="D153" s="281" t="s">
        <v>602</v>
      </c>
      <c r="E153" s="281">
        <v>2600</v>
      </c>
      <c r="F153" s="281">
        <f>IF(F$6=$C153,IF(INDEX('Surface DEET'!$Q$9:$W$38,COLUMN(F146)-COLUMN($E$5),1)&gt;0,INDEX('Surface DEET'!$Q$9:$W$38,COLUMN(F146)-COLUMN($E$5),1),$E153),0)</f>
        <v>0</v>
      </c>
      <c r="G153" s="281">
        <f>IF(G$6=$C153,IF(INDEX('Surface DEET'!$Q$9:$W$38,COLUMN(G146)-COLUMN($E$5),1)&gt;0,INDEX('Surface DEET'!$Q$9:$W$38,COLUMN(G146)-COLUMN($E$5),1),$E153),0)</f>
        <v>0</v>
      </c>
      <c r="H153" s="281">
        <f>IF(H$6=$C153,IF(INDEX('Surface DEET'!$Q$9:$W$38,COLUMN(H146)-COLUMN($E$5),1)&gt;0,INDEX('Surface DEET'!$Q$9:$W$38,COLUMN(H146)-COLUMN($E$5),1),$E153),0)</f>
        <v>0</v>
      </c>
      <c r="I153" s="281">
        <f>IF(I$6=$C153,IF(INDEX('Surface DEET'!$Q$9:$W$38,COLUMN(I146)-COLUMN($E$5),1)&gt;0,INDEX('Surface DEET'!$Q$9:$W$38,COLUMN(I146)-COLUMN($E$5),1),$E153),0)</f>
        <v>0</v>
      </c>
      <c r="J153" s="281">
        <f>IF(J$6=$C153,IF(INDEX('Surface DEET'!$Q$9:$W$38,COLUMN(J146)-COLUMN($E$5),1)&gt;0,INDEX('Surface DEET'!$Q$9:$W$38,COLUMN(J146)-COLUMN($E$5),1),$E153),0)</f>
        <v>0</v>
      </c>
      <c r="K153" s="281">
        <f>IF(K$6=$C153,IF(INDEX('Surface DEET'!$Q$9:$W$38,COLUMN(K146)-COLUMN($E$5),1)&gt;0,INDEX('Surface DEET'!$Q$9:$W$38,COLUMN(K146)-COLUMN($E$5),1),$E153),0)</f>
        <v>0</v>
      </c>
      <c r="L153" s="281">
        <f>IF(L$6=$C153,IF(INDEX('Surface DEET'!$Q$9:$W$38,COLUMN(L146)-COLUMN($E$5),1)&gt;0,INDEX('Surface DEET'!$Q$9:$W$38,COLUMN(L146)-COLUMN($E$5),1),$E153),0)</f>
        <v>0</v>
      </c>
      <c r="M153" s="281">
        <f>IF(M$6=$C153,IF(INDEX('Surface DEET'!$Q$9:$W$38,COLUMN(M146)-COLUMN($E$5),1)&gt;0,INDEX('Surface DEET'!$Q$9:$W$38,COLUMN(M146)-COLUMN($E$5),1),$E153),0)</f>
        <v>0</v>
      </c>
      <c r="N153" s="281">
        <f>IF(N$6=$C153,IF(INDEX('Surface DEET'!$Q$9:$W$38,COLUMN(N146)-COLUMN($E$5),1)&gt;0,INDEX('Surface DEET'!$Q$9:$W$38,COLUMN(N146)-COLUMN($E$5),1),$E153),0)</f>
        <v>0</v>
      </c>
      <c r="O153" s="281">
        <f>IF(O$6=$C153,IF(INDEX('Surface DEET'!$Q$9:$W$38,COLUMN(O146)-COLUMN($E$5),1)&gt;0,INDEX('Surface DEET'!$Q$9:$W$38,COLUMN(O146)-COLUMN($E$5),1),$E153),0)</f>
        <v>0</v>
      </c>
      <c r="P153" s="281">
        <f>IF(P$6=$C153,IF(INDEX('Surface DEET'!$Q$9:$W$38,COLUMN(P146)-COLUMN($E$5),1)&gt;0,INDEX('Surface DEET'!$Q$9:$W$38,COLUMN(P146)-COLUMN($E$5),1),$E153),0)</f>
        <v>0</v>
      </c>
      <c r="Q153" s="281">
        <f>IF(Q$6=$C153,IF(INDEX('Surface DEET'!$Q$9:$W$38,COLUMN(Q146)-COLUMN($E$5),1)&gt;0,INDEX('Surface DEET'!$Q$9:$W$38,COLUMN(Q146)-COLUMN($E$5),1),$E153),0)</f>
        <v>0</v>
      </c>
      <c r="R153" s="281">
        <f>IF(R$6=$C153,IF(INDEX('Surface DEET'!$Q$9:$W$38,COLUMN(R146)-COLUMN($E$5),1)&gt;0,INDEX('Surface DEET'!$Q$9:$W$38,COLUMN(R146)-COLUMN($E$5),1),$E153),0)</f>
        <v>0</v>
      </c>
      <c r="S153" s="281">
        <f>IF(S$6=$C153,IF(INDEX('Surface DEET'!$Q$9:$W$38,COLUMN(S146)-COLUMN($E$5),1)&gt;0,INDEX('Surface DEET'!$Q$9:$W$38,COLUMN(S146)-COLUMN($E$5),1),$E153),0)</f>
        <v>0</v>
      </c>
      <c r="T153" s="281">
        <f>IF(T$6=$C153,IF(INDEX('Surface DEET'!$Q$9:$W$38,COLUMN(T146)-COLUMN($E$5),1)&gt;0,INDEX('Surface DEET'!$Q$9:$W$38,COLUMN(T146)-COLUMN($E$5),1),$E153),0)</f>
        <v>0</v>
      </c>
      <c r="U153" s="281">
        <f>IF(U$6=$C153,IF(INDEX('Surface DEET'!$Q$9:$W$38,COLUMN(U146)-COLUMN($E$5),1)&gt;0,INDEX('Surface DEET'!$Q$9:$W$38,COLUMN(U146)-COLUMN($E$5),1),$E153),0)</f>
        <v>0</v>
      </c>
      <c r="V153" s="281">
        <f>IF(V$6=$C153,IF(INDEX('Surface DEET'!$Q$9:$W$38,COLUMN(V146)-COLUMN($E$5),1)&gt;0,INDEX('Surface DEET'!$Q$9:$W$38,COLUMN(V146)-COLUMN($E$5),1),$E153),0)</f>
        <v>0</v>
      </c>
      <c r="W153" s="281">
        <f>IF(W$6=$C153,IF(INDEX('Surface DEET'!$Q$9:$W$38,COLUMN(W146)-COLUMN($E$5),1)&gt;0,INDEX('Surface DEET'!$Q$9:$W$38,COLUMN(W146)-COLUMN($E$5),1),$E153),0)</f>
        <v>0</v>
      </c>
      <c r="X153" s="281">
        <f>IF(X$6=$C153,IF(INDEX('Surface DEET'!$Q$9:$W$38,COLUMN(X146)-COLUMN($E$5),1)&gt;0,INDEX('Surface DEET'!$Q$9:$W$38,COLUMN(X146)-COLUMN($E$5),1),$E153),0)</f>
        <v>0</v>
      </c>
      <c r="Y153" s="281">
        <f>IF(Y$6=$C153,IF(INDEX('Surface DEET'!$Q$9:$W$38,COLUMN(Y146)-COLUMN($E$5),1)&gt;0,INDEX('Surface DEET'!$Q$9:$W$38,COLUMN(Y146)-COLUMN($E$5),1),$E153),0)</f>
        <v>0</v>
      </c>
      <c r="Z153" s="281">
        <f>IF(Z$6=$C153,IF(INDEX('Surface DEET'!$Q$9:$W$38,COLUMN(Z146)-COLUMN($E$5),1)&gt;0,INDEX('Surface DEET'!$Q$9:$W$38,COLUMN(Z146)-COLUMN($E$5),1),$E153),0)</f>
        <v>0</v>
      </c>
      <c r="AA153" s="281">
        <f>IF(AA$6=$C153,IF(INDEX('Surface DEET'!$Q$9:$W$38,COLUMN(AA146)-COLUMN($E$5),1)&gt;0,INDEX('Surface DEET'!$Q$9:$W$38,COLUMN(AA146)-COLUMN($E$5),1),$E153),0)</f>
        <v>0</v>
      </c>
      <c r="AB153" s="281">
        <f>IF(AB$6=$C153,IF(INDEX('Surface DEET'!$Q$9:$W$38,COLUMN(AB146)-COLUMN($E$5),1)&gt;0,INDEX('Surface DEET'!$Q$9:$W$38,COLUMN(AB146)-COLUMN($E$5),1),$E153),0)</f>
        <v>0</v>
      </c>
      <c r="AC153" s="281">
        <f>IF(AC$6=$C153,IF(INDEX('Surface DEET'!$Q$9:$W$38,COLUMN(AC146)-COLUMN($E$5),1)&gt;0,INDEX('Surface DEET'!$Q$9:$W$38,COLUMN(AC146)-COLUMN($E$5),1),$E153),0)</f>
        <v>0</v>
      </c>
      <c r="AD153" s="281">
        <f>IF(AD$6=$C153,IF(INDEX('Surface DEET'!$Q$9:$W$38,COLUMN(AD146)-COLUMN($E$5),1)&gt;0,INDEX('Surface DEET'!$Q$9:$W$38,COLUMN(AD146)-COLUMN($E$5),1),$E153),0)</f>
        <v>0</v>
      </c>
      <c r="AE153" s="281">
        <f>IF(AE$6=$C153,IF(INDEX('Surface DEET'!$Q$9:$W$38,COLUMN(AE146)-COLUMN($E$5),1)&gt;0,INDEX('Surface DEET'!$Q$9:$W$38,COLUMN(AE146)-COLUMN($E$5),1),$E153),0)</f>
        <v>0</v>
      </c>
      <c r="AF153" s="281">
        <f>IF(AF$6=$C153,IF(INDEX('Surface DEET'!$Q$9:$W$38,COLUMN(AF146)-COLUMN($E$5),1)&gt;0,INDEX('Surface DEET'!$Q$9:$W$38,COLUMN(AF146)-COLUMN($E$5),1),$E153),0)</f>
        <v>0</v>
      </c>
      <c r="AG153" s="281">
        <f>IF(AG$6=$C153,IF(INDEX('Surface DEET'!$Q$9:$W$38,COLUMN(AG146)-COLUMN($E$5),1)&gt;0,INDEX('Surface DEET'!$Q$9:$W$38,COLUMN(AG146)-COLUMN($E$5),1),$E153),0)</f>
        <v>0</v>
      </c>
      <c r="AH153" s="281">
        <f>IF(AH$6=$C153,IF(INDEX('Surface DEET'!$Q$9:$W$38,COLUMN(AH146)-COLUMN($E$5),1)&gt;0,INDEX('Surface DEET'!$Q$9:$W$38,COLUMN(AH146)-COLUMN($E$5),1),$E153),0)</f>
        <v>0</v>
      </c>
      <c r="AI153" s="281">
        <f>IF(AI$6=$C153,IF(INDEX('Surface DEET'!$Q$9:$W$38,COLUMN(AI146)-COLUMN($E$5),1)&gt;0,INDEX('Surface DEET'!$Q$9:$W$38,COLUMN(AI146)-COLUMN($E$5),1),$E153),0)</f>
        <v>0</v>
      </c>
    </row>
    <row r="154" spans="1:35">
      <c r="A154" s="542"/>
      <c r="B154" s="281" t="s">
        <v>545</v>
      </c>
      <c r="C154" s="32" t="s">
        <v>630</v>
      </c>
      <c r="D154" s="281" t="s">
        <v>631</v>
      </c>
      <c r="E154" s="281">
        <v>3120</v>
      </c>
      <c r="F154" s="281">
        <f>IF(F$6=$C154,IF(INDEX('Surface DEET'!$Q$9:$W$38,COLUMN(F147)-COLUMN($E$5),4)&gt;0,INDEX('Surface DEET'!$Q$9:$W$38,COLUMN(F147)-COLUMN($E$5),4),$E154),0)</f>
        <v>0</v>
      </c>
      <c r="G154" s="281">
        <f>IF(G$6=$C154,IF(INDEX('Surface DEET'!$Q$9:$W$38,COLUMN(G147)-COLUMN($E$5),4)&gt;0,INDEX('Surface DEET'!$Q$9:$W$38,COLUMN(G147)-COLUMN($E$5),4),$E154),0)</f>
        <v>0</v>
      </c>
      <c r="H154" s="281">
        <f>IF(H$6=$C154,IF(INDEX('Surface DEET'!$Q$9:$W$38,COLUMN(H147)-COLUMN($E$5),4)&gt;0,INDEX('Surface DEET'!$Q$9:$W$38,COLUMN(H147)-COLUMN($E$5),4),$E154),0)</f>
        <v>0</v>
      </c>
      <c r="I154" s="281">
        <f>IF(I$6=$C154,IF(INDEX('Surface DEET'!$Q$9:$W$38,COLUMN(I147)-COLUMN($E$5),4)&gt;0,INDEX('Surface DEET'!$Q$9:$W$38,COLUMN(I147)-COLUMN($E$5),4),$E154),0)</f>
        <v>0</v>
      </c>
      <c r="J154" s="281">
        <f>IF(J$6=$C154,IF(INDEX('Surface DEET'!$Q$9:$W$38,COLUMN(J147)-COLUMN($E$5),4)&gt;0,INDEX('Surface DEET'!$Q$9:$W$38,COLUMN(J147)-COLUMN($E$5),4),$E154),0)</f>
        <v>0</v>
      </c>
      <c r="K154" s="281">
        <f>IF(K$6=$C154,IF(INDEX('Surface DEET'!$Q$9:$W$38,COLUMN(K147)-COLUMN($E$5),4)&gt;0,INDEX('Surface DEET'!$Q$9:$W$38,COLUMN(K147)-COLUMN($E$5),4),$E154),0)</f>
        <v>0</v>
      </c>
      <c r="L154" s="281">
        <f>IF(L$6=$C154,IF(INDEX('Surface DEET'!$Q$9:$W$38,COLUMN(L147)-COLUMN($E$5),4)&gt;0,INDEX('Surface DEET'!$Q$9:$W$38,COLUMN(L147)-COLUMN($E$5),4),$E154),0)</f>
        <v>0</v>
      </c>
      <c r="M154" s="281">
        <f>IF(M$6=$C154,IF(INDEX('Surface DEET'!$Q$9:$W$38,COLUMN(M147)-COLUMN($E$5),4)&gt;0,INDEX('Surface DEET'!$Q$9:$W$38,COLUMN(M147)-COLUMN($E$5),4),$E154),0)</f>
        <v>0</v>
      </c>
      <c r="N154" s="281">
        <f>IF(N$6=$C154,IF(INDEX('Surface DEET'!$Q$9:$W$38,COLUMN(N147)-COLUMN($E$5),4)&gt;0,INDEX('Surface DEET'!$Q$9:$W$38,COLUMN(N147)-COLUMN($E$5),4),$E154),0)</f>
        <v>0</v>
      </c>
      <c r="O154" s="281">
        <f>IF(O$6=$C154,IF(INDEX('Surface DEET'!$Q$9:$W$38,COLUMN(O147)-COLUMN($E$5),4)&gt;0,INDEX('Surface DEET'!$Q$9:$W$38,COLUMN(O147)-COLUMN($E$5),4),$E154),0)</f>
        <v>0</v>
      </c>
      <c r="P154" s="281">
        <f>IF(P$6=$C154,IF(INDEX('Surface DEET'!$Q$9:$W$38,COLUMN(P147)-COLUMN($E$5),4)&gt;0,INDEX('Surface DEET'!$Q$9:$W$38,COLUMN(P147)-COLUMN($E$5),4),$E154),0)</f>
        <v>0</v>
      </c>
      <c r="Q154" s="281">
        <f>IF(Q$6=$C154,IF(INDEX('Surface DEET'!$Q$9:$W$38,COLUMN(Q147)-COLUMN($E$5),4)&gt;0,INDEX('Surface DEET'!$Q$9:$W$38,COLUMN(Q147)-COLUMN($E$5),4),$E154),0)</f>
        <v>0</v>
      </c>
      <c r="R154" s="281">
        <f>IF(R$6=$C154,IF(INDEX('Surface DEET'!$Q$9:$W$38,COLUMN(R147)-COLUMN($E$5),4)&gt;0,INDEX('Surface DEET'!$Q$9:$W$38,COLUMN(R147)-COLUMN($E$5),4),$E154),0)</f>
        <v>0</v>
      </c>
      <c r="S154" s="281">
        <f>IF(S$6=$C154,IF(INDEX('Surface DEET'!$Q$9:$W$38,COLUMN(S147)-COLUMN($E$5),4)&gt;0,INDEX('Surface DEET'!$Q$9:$W$38,COLUMN(S147)-COLUMN($E$5),4),$E154),0)</f>
        <v>0</v>
      </c>
      <c r="T154" s="281">
        <f>IF(T$6=$C154,IF(INDEX('Surface DEET'!$Q$9:$W$38,COLUMN(T147)-COLUMN($E$5),4)&gt;0,INDEX('Surface DEET'!$Q$9:$W$38,COLUMN(T147)-COLUMN($E$5),4),$E154),0)</f>
        <v>0</v>
      </c>
      <c r="U154" s="281">
        <f>IF(U$6=$C154,IF(INDEX('Surface DEET'!$Q$9:$W$38,COLUMN(U147)-COLUMN($E$5),4)&gt;0,INDEX('Surface DEET'!$Q$9:$W$38,COLUMN(U147)-COLUMN($E$5),4),$E154),0)</f>
        <v>0</v>
      </c>
      <c r="V154" s="281">
        <f>IF(V$6=$C154,IF(INDEX('Surface DEET'!$Q$9:$W$38,COLUMN(V147)-COLUMN($E$5),4)&gt;0,INDEX('Surface DEET'!$Q$9:$W$38,COLUMN(V147)-COLUMN($E$5),4),$E154),0)</f>
        <v>0</v>
      </c>
      <c r="W154" s="281">
        <f>IF(W$6=$C154,IF(INDEX('Surface DEET'!$Q$9:$W$38,COLUMN(W147)-COLUMN($E$5),4)&gt;0,INDEX('Surface DEET'!$Q$9:$W$38,COLUMN(W147)-COLUMN($E$5),4),$E154),0)</f>
        <v>0</v>
      </c>
      <c r="X154" s="281">
        <f>IF(X$6=$C154,IF(INDEX('Surface DEET'!$Q$9:$W$38,COLUMN(X147)-COLUMN($E$5),4)&gt;0,INDEX('Surface DEET'!$Q$9:$W$38,COLUMN(X147)-COLUMN($E$5),4),$E154),0)</f>
        <v>0</v>
      </c>
      <c r="Y154" s="281">
        <f>IF(Y$6=$C154,IF(INDEX('Surface DEET'!$Q$9:$W$38,COLUMN(Y147)-COLUMN($E$5),4)&gt;0,INDEX('Surface DEET'!$Q$9:$W$38,COLUMN(Y147)-COLUMN($E$5),4),$E154),0)</f>
        <v>0</v>
      </c>
      <c r="Z154" s="281">
        <f>IF(Z$6=$C154,IF(INDEX('Surface DEET'!$Q$9:$W$38,COLUMN(Z147)-COLUMN($E$5),4)&gt;0,INDEX('Surface DEET'!$Q$9:$W$38,COLUMN(Z147)-COLUMN($E$5),4),$E154),0)</f>
        <v>0</v>
      </c>
      <c r="AA154" s="281">
        <f>IF(AA$6=$C154,IF(INDEX('Surface DEET'!$Q$9:$W$38,COLUMN(AA147)-COLUMN($E$5),4)&gt;0,INDEX('Surface DEET'!$Q$9:$W$38,COLUMN(AA147)-COLUMN($E$5),4),$E154),0)</f>
        <v>0</v>
      </c>
      <c r="AB154" s="281">
        <f>IF(AB$6=$C154,IF(INDEX('Surface DEET'!$Q$9:$W$38,COLUMN(AB147)-COLUMN($E$5),4)&gt;0,INDEX('Surface DEET'!$Q$9:$W$38,COLUMN(AB147)-COLUMN($E$5),4),$E154),0)</f>
        <v>0</v>
      </c>
      <c r="AC154" s="281">
        <f>IF(AC$6=$C154,IF(INDEX('Surface DEET'!$Q$9:$W$38,COLUMN(AC147)-COLUMN($E$5),4)&gt;0,INDEX('Surface DEET'!$Q$9:$W$38,COLUMN(AC147)-COLUMN($E$5),4),$E154),0)</f>
        <v>0</v>
      </c>
      <c r="AD154" s="281">
        <f>IF(AD$6=$C154,IF(INDEX('Surface DEET'!$Q$9:$W$38,COLUMN(AD147)-COLUMN($E$5),4)&gt;0,INDEX('Surface DEET'!$Q$9:$W$38,COLUMN(AD147)-COLUMN($E$5),4),$E154),0)</f>
        <v>0</v>
      </c>
      <c r="AE154" s="281">
        <f>IF(AE$6=$C154,IF(INDEX('Surface DEET'!$Q$9:$W$38,COLUMN(AE147)-COLUMN($E$5),4)&gt;0,INDEX('Surface DEET'!$Q$9:$W$38,COLUMN(AE147)-COLUMN($E$5),4),$E154),0)</f>
        <v>0</v>
      </c>
      <c r="AF154" s="281">
        <f>IF(AF$6=$C154,IF(INDEX('Surface DEET'!$Q$9:$W$38,COLUMN(AF147)-COLUMN($E$5),4)&gt;0,INDEX('Surface DEET'!$Q$9:$W$38,COLUMN(AF147)-COLUMN($E$5),4),$E154),0)</f>
        <v>0</v>
      </c>
      <c r="AG154" s="281">
        <f>IF(AG$6=$C154,IF(INDEX('Surface DEET'!$Q$9:$W$38,COLUMN(AG147)-COLUMN($E$5),4)&gt;0,INDEX('Surface DEET'!$Q$9:$W$38,COLUMN(AG147)-COLUMN($E$5),4),$E154),0)</f>
        <v>0</v>
      </c>
      <c r="AH154" s="281">
        <f>IF(AH$6=$C154,IF(INDEX('Surface DEET'!$Q$9:$W$38,COLUMN(AH147)-COLUMN($E$5),4)&gt;0,INDEX('Surface DEET'!$Q$9:$W$38,COLUMN(AH147)-COLUMN($E$5),4),$E154),0)</f>
        <v>0</v>
      </c>
      <c r="AI154" s="281">
        <f>IF(AI$6=$C154,IF(INDEX('Surface DEET'!$Q$9:$W$38,COLUMN(AI147)-COLUMN($E$5),4)&gt;0,INDEX('Surface DEET'!$Q$9:$W$38,COLUMN(AI147)-COLUMN($E$5),4),$E154),0)</f>
        <v>0</v>
      </c>
    </row>
    <row r="155" spans="1:35">
      <c r="A155" s="542"/>
      <c r="B155" s="281" t="s">
        <v>548</v>
      </c>
      <c r="C155" s="32" t="s">
        <v>630</v>
      </c>
      <c r="D155" s="281" t="s">
        <v>632</v>
      </c>
      <c r="F155" s="281">
        <f>IF(F$6=$C155,IF(INDEX('Surface DEET'!$F$9:$W$38,COLUMN(F148)-COLUMN($E$5),7)&gt;0,INDEX('Surface DEET'!$F$9:$W$38,COLUMN(F148)-COLUMN($E$5),1),$E155),0)</f>
        <v>0</v>
      </c>
      <c r="G155" s="281">
        <f>IF(G$6=$C155,IF(INDEX('Surface DEET'!$F$9:$W$38,COLUMN(G148)-COLUMN($E$5),7)&gt;0,INDEX('Surface DEET'!$F$9:$W$38,COLUMN(G148)-COLUMN($E$5),1),$E155),0)</f>
        <v>0</v>
      </c>
      <c r="H155" s="281">
        <f>IF(H$6=$C155,IF(INDEX('Surface DEET'!$F$9:$W$38,COLUMN(H148)-COLUMN($E$5),7)&gt;0,INDEX('Surface DEET'!$F$9:$W$38,COLUMN(H148)-COLUMN($E$5),1),$E155),0)</f>
        <v>0</v>
      </c>
      <c r="I155" s="281">
        <f>IF(I$6=$C155,IF(INDEX('Surface DEET'!$F$9:$W$38,COLUMN(I148)-COLUMN($E$5),7)&gt;0,INDEX('Surface DEET'!$F$9:$W$38,COLUMN(I148)-COLUMN($E$5),1),$E155),0)</f>
        <v>0</v>
      </c>
      <c r="J155" s="281">
        <f>IF(J$6=$C155,IF(INDEX('Surface DEET'!$F$9:$W$38,COLUMN(J148)-COLUMN($E$5),7)&gt;0,INDEX('Surface DEET'!$F$9:$W$38,COLUMN(J148)-COLUMN($E$5),1),$E155),0)</f>
        <v>0</v>
      </c>
      <c r="K155" s="281">
        <f>IF(K$6=$C155,IF(INDEX('Surface DEET'!$F$9:$W$38,COLUMN(K148)-COLUMN($E$5),7)&gt;0,INDEX('Surface DEET'!$F$9:$W$38,COLUMN(K148)-COLUMN($E$5),1),$E155),0)</f>
        <v>0</v>
      </c>
      <c r="L155" s="281">
        <f>IF(L$6=$C155,IF(INDEX('Surface DEET'!$F$9:$W$38,COLUMN(L148)-COLUMN($E$5),7)&gt;0,INDEX('Surface DEET'!$F$9:$W$38,COLUMN(L148)-COLUMN($E$5),1),$E155),0)</f>
        <v>0</v>
      </c>
      <c r="M155" s="281">
        <f>IF(M$6=$C155,IF(INDEX('Surface DEET'!$F$9:$W$38,COLUMN(M148)-COLUMN($E$5),7)&gt;0,INDEX('Surface DEET'!$F$9:$W$38,COLUMN(M148)-COLUMN($E$5),1),$E155),0)</f>
        <v>0</v>
      </c>
      <c r="N155" s="281">
        <f>IF(N$6=$C155,IF(INDEX('Surface DEET'!$F$9:$W$38,COLUMN(N148)-COLUMN($E$5),7)&gt;0,INDEX('Surface DEET'!$F$9:$W$38,COLUMN(N148)-COLUMN($E$5),1),$E155),0)</f>
        <v>0</v>
      </c>
      <c r="O155" s="281">
        <f>IF(O$6=$C155,IF(INDEX('Surface DEET'!$F$9:$W$38,COLUMN(O148)-COLUMN($E$5),7)&gt;0,INDEX('Surface DEET'!$F$9:$W$38,COLUMN(O148)-COLUMN($E$5),1),$E155),0)</f>
        <v>0</v>
      </c>
      <c r="P155" s="281">
        <f>IF(P$6=$C155,IF(INDEX('Surface DEET'!$F$9:$W$38,COLUMN(P148)-COLUMN($E$5),7)&gt;0,INDEX('Surface DEET'!$F$9:$W$38,COLUMN(P148)-COLUMN($E$5),1),$E155),0)</f>
        <v>0</v>
      </c>
      <c r="Q155" s="281">
        <f>IF(Q$6=$C155,IF(INDEX('Surface DEET'!$F$9:$W$38,COLUMN(Q148)-COLUMN($E$5),7)&gt;0,INDEX('Surface DEET'!$F$9:$W$38,COLUMN(Q148)-COLUMN($E$5),1),$E155),0)</f>
        <v>0</v>
      </c>
      <c r="R155" s="281">
        <f>IF(R$6=$C155,IF(INDEX('Surface DEET'!$F$9:$W$38,COLUMN(R148)-COLUMN($E$5),7)&gt;0,INDEX('Surface DEET'!$F$9:$W$38,COLUMN(R148)-COLUMN($E$5),1),$E155),0)</f>
        <v>0</v>
      </c>
      <c r="S155" s="281">
        <f>IF(S$6=$C155,IF(INDEX('Surface DEET'!$F$9:$W$38,COLUMN(S148)-COLUMN($E$5),7)&gt;0,INDEX('Surface DEET'!$F$9:$W$38,COLUMN(S148)-COLUMN($E$5),1),$E155),0)</f>
        <v>0</v>
      </c>
      <c r="T155" s="281">
        <f>IF(T$6=$C155,IF(INDEX('Surface DEET'!$F$9:$W$38,COLUMN(T148)-COLUMN($E$5),7)&gt;0,INDEX('Surface DEET'!$F$9:$W$38,COLUMN(T148)-COLUMN($E$5),1),$E155),0)</f>
        <v>0</v>
      </c>
      <c r="U155" s="281">
        <f>IF(U$6=$C155,IF(INDEX('Surface DEET'!$F$9:$W$38,COLUMN(U148)-COLUMN($E$5),7)&gt;0,INDEX('Surface DEET'!$F$9:$W$38,COLUMN(U148)-COLUMN($E$5),1),$E155),0)</f>
        <v>0</v>
      </c>
      <c r="V155" s="281">
        <f>IF(V$6=$C155,IF(INDEX('Surface DEET'!$F$9:$W$38,COLUMN(V148)-COLUMN($E$5),7)&gt;0,INDEX('Surface DEET'!$F$9:$W$38,COLUMN(V148)-COLUMN($E$5),1),$E155),0)</f>
        <v>0</v>
      </c>
      <c r="W155" s="281">
        <f>IF(W$6=$C155,IF(INDEX('Surface DEET'!$F$9:$W$38,COLUMN(W148)-COLUMN($E$5),7)&gt;0,INDEX('Surface DEET'!$F$9:$W$38,COLUMN(W148)-COLUMN($E$5),1),$E155),0)</f>
        <v>0</v>
      </c>
      <c r="X155" s="281">
        <f>IF(X$6=$C155,IF(INDEX('Surface DEET'!$F$9:$W$38,COLUMN(X148)-COLUMN($E$5),7)&gt;0,INDEX('Surface DEET'!$F$9:$W$38,COLUMN(X148)-COLUMN($E$5),1),$E155),0)</f>
        <v>0</v>
      </c>
      <c r="Y155" s="281">
        <f>IF(Y$6=$C155,IF(INDEX('Surface DEET'!$F$9:$W$38,COLUMN(Y148)-COLUMN($E$5),7)&gt;0,INDEX('Surface DEET'!$F$9:$W$38,COLUMN(Y148)-COLUMN($E$5),1),$E155),0)</f>
        <v>0</v>
      </c>
      <c r="Z155" s="281">
        <f>IF(Z$6=$C155,IF(INDEX('Surface DEET'!$F$9:$W$38,COLUMN(Z148)-COLUMN($E$5),7)&gt;0,INDEX('Surface DEET'!$F$9:$W$38,COLUMN(Z148)-COLUMN($E$5),1),$E155),0)</f>
        <v>0</v>
      </c>
      <c r="AA155" s="281">
        <f>IF(AA$6=$C155,IF(INDEX('Surface DEET'!$F$9:$W$38,COLUMN(AA148)-COLUMN($E$5),7)&gt;0,INDEX('Surface DEET'!$F$9:$W$38,COLUMN(AA148)-COLUMN($E$5),1),$E155),0)</f>
        <v>0</v>
      </c>
      <c r="AB155" s="281">
        <f>IF(AB$6=$C155,IF(INDEX('Surface DEET'!$F$9:$W$38,COLUMN(AB148)-COLUMN($E$5),7)&gt;0,INDEX('Surface DEET'!$F$9:$W$38,COLUMN(AB148)-COLUMN($E$5),1),$E155),0)</f>
        <v>0</v>
      </c>
      <c r="AC155" s="281">
        <f>IF(AC$6=$C155,IF(INDEX('Surface DEET'!$F$9:$W$38,COLUMN(AC148)-COLUMN($E$5),7)&gt;0,INDEX('Surface DEET'!$F$9:$W$38,COLUMN(AC148)-COLUMN($E$5),1),$E155),0)</f>
        <v>0</v>
      </c>
      <c r="AD155" s="281">
        <f>IF(AD$6=$C155,IF(INDEX('Surface DEET'!$F$9:$W$38,COLUMN(AD148)-COLUMN($E$5),7)&gt;0,INDEX('Surface DEET'!$F$9:$W$38,COLUMN(AD148)-COLUMN($E$5),1),$E155),0)</f>
        <v>0</v>
      </c>
      <c r="AE155" s="281">
        <f>IF(AE$6=$C155,IF(INDEX('Surface DEET'!$F$9:$W$38,COLUMN(AE148)-COLUMN($E$5),7)&gt;0,INDEX('Surface DEET'!$F$9:$W$38,COLUMN(AE148)-COLUMN($E$5),1),$E155),0)</f>
        <v>0</v>
      </c>
      <c r="AF155" s="281">
        <f>IF(AF$6=$C155,IF(INDEX('Surface DEET'!$F$9:$W$38,COLUMN(AF148)-COLUMN($E$5),7)&gt;0,INDEX('Surface DEET'!$F$9:$W$38,COLUMN(AF148)-COLUMN($E$5),1),$E155),0)</f>
        <v>0</v>
      </c>
      <c r="AG155" s="281">
        <f>IF(AG$6=$C155,IF(INDEX('Surface DEET'!$F$9:$W$38,COLUMN(AG148)-COLUMN($E$5),7)&gt;0,INDEX('Surface DEET'!$F$9:$W$38,COLUMN(AG148)-COLUMN($E$5),1),$E155),0)</f>
        <v>0</v>
      </c>
      <c r="AH155" s="281">
        <f>IF(AH$6=$C155,IF(INDEX('Surface DEET'!$F$9:$W$38,COLUMN(AH148)-COLUMN($E$5),7)&gt;0,INDEX('Surface DEET'!$F$9:$W$38,COLUMN(AH148)-COLUMN($E$5),1),$E155),0)</f>
        <v>0</v>
      </c>
      <c r="AI155" s="281">
        <f>IF(AI$6=$C155,IF(INDEX('Surface DEET'!$F$9:$W$38,COLUMN(AI148)-COLUMN($E$5),7)&gt;0,INDEX('Surface DEET'!$F$9:$W$38,COLUMN(AI148)-COLUMN($E$5),1),$E155),0)</f>
        <v>0</v>
      </c>
    </row>
    <row r="156" spans="1:35">
      <c r="A156" s="542"/>
      <c r="B156" s="281" t="s">
        <v>538</v>
      </c>
      <c r="C156" s="32" t="s">
        <v>630</v>
      </c>
      <c r="D156" s="281" t="s">
        <v>538</v>
      </c>
      <c r="F156" s="281">
        <f>IFERROR(1127*F154/F155+(1-$E$152)*$E$150*(F153/$E$153)+0.25*$E$149*(F153-$E$153)/$E$153,0)</f>
        <v>0</v>
      </c>
      <c r="G156" s="281">
        <f>IFERROR(1127*G154/G155+(1-$E$152)*$E$150*(G153/$E$153)+0.25*$E$149*(G153-$E$153)/$E$153,0)</f>
        <v>0</v>
      </c>
      <c r="H156" s="281">
        <f t="shared" ref="H156:AI156" si="18">IFERROR(1127*H154/H155+(1-$E$152)*$E$150*(H153/$E$153)+0.25*$E$149*(H153-$E$153)/$E$153,0)</f>
        <v>0</v>
      </c>
      <c r="I156" s="281">
        <f t="shared" si="18"/>
        <v>0</v>
      </c>
      <c r="J156" s="281">
        <f t="shared" si="18"/>
        <v>0</v>
      </c>
      <c r="K156" s="281">
        <f t="shared" si="18"/>
        <v>0</v>
      </c>
      <c r="L156" s="281">
        <f t="shared" si="18"/>
        <v>0</v>
      </c>
      <c r="M156" s="281">
        <f t="shared" si="18"/>
        <v>0</v>
      </c>
      <c r="N156" s="281">
        <f t="shared" si="18"/>
        <v>0</v>
      </c>
      <c r="O156" s="281">
        <f t="shared" si="18"/>
        <v>0</v>
      </c>
      <c r="P156" s="281">
        <f t="shared" si="18"/>
        <v>0</v>
      </c>
      <c r="Q156" s="281">
        <f t="shared" si="18"/>
        <v>0</v>
      </c>
      <c r="R156" s="281">
        <f t="shared" si="18"/>
        <v>0</v>
      </c>
      <c r="S156" s="281">
        <f t="shared" si="18"/>
        <v>0</v>
      </c>
      <c r="T156" s="281">
        <f t="shared" si="18"/>
        <v>0</v>
      </c>
      <c r="U156" s="281">
        <f t="shared" si="18"/>
        <v>0</v>
      </c>
      <c r="V156" s="281">
        <f t="shared" si="18"/>
        <v>0</v>
      </c>
      <c r="W156" s="281">
        <f t="shared" si="18"/>
        <v>0</v>
      </c>
      <c r="X156" s="281">
        <f t="shared" si="18"/>
        <v>0</v>
      </c>
      <c r="Y156" s="281">
        <f t="shared" si="18"/>
        <v>0</v>
      </c>
      <c r="Z156" s="281">
        <f t="shared" si="18"/>
        <v>0</v>
      </c>
      <c r="AA156" s="281">
        <f t="shared" si="18"/>
        <v>0</v>
      </c>
      <c r="AB156" s="281">
        <f t="shared" si="18"/>
        <v>0</v>
      </c>
      <c r="AC156" s="281">
        <f t="shared" si="18"/>
        <v>0</v>
      </c>
      <c r="AD156" s="281">
        <f t="shared" si="18"/>
        <v>0</v>
      </c>
      <c r="AE156" s="281">
        <f t="shared" si="18"/>
        <v>0</v>
      </c>
      <c r="AF156" s="281">
        <f t="shared" si="18"/>
        <v>0</v>
      </c>
      <c r="AG156" s="281">
        <f t="shared" si="18"/>
        <v>0</v>
      </c>
      <c r="AH156" s="281">
        <f t="shared" si="18"/>
        <v>0</v>
      </c>
      <c r="AI156" s="281">
        <f t="shared" si="18"/>
        <v>0</v>
      </c>
    </row>
    <row r="157" spans="1:35">
      <c r="A157" s="540" t="s">
        <v>633</v>
      </c>
      <c r="B157" s="92" t="s">
        <v>298</v>
      </c>
      <c r="C157" s="32" t="s">
        <v>633</v>
      </c>
      <c r="D157" s="92" t="s">
        <v>298</v>
      </c>
      <c r="E157" s="281">
        <f t="array" ref="E157">INDEX(CABS_CVC!$C$3:$O$894,MATCH(1, (CABS_CVC!$A$3:$A$894=Calculs_CABS!C157)*(CABS_CVC!$B$3:$B$894=Calculs_CABS!$D$2),0),MATCH(Calculs_CABS!$D$1,Liste_CABS!$B$3:$B$15,0))</f>
        <v>91</v>
      </c>
    </row>
    <row r="158" spans="1:35">
      <c r="A158" s="540"/>
      <c r="B158" s="281" t="s">
        <v>539</v>
      </c>
      <c r="C158" s="32" t="s">
        <v>633</v>
      </c>
      <c r="D158" s="281" t="s">
        <v>539</v>
      </c>
      <c r="E158" s="281">
        <v>276</v>
      </c>
    </row>
    <row r="159" spans="1:35">
      <c r="A159" s="540"/>
      <c r="B159" s="281" t="s">
        <v>540</v>
      </c>
      <c r="C159" s="32" t="s">
        <v>633</v>
      </c>
      <c r="D159" s="281" t="s">
        <v>540</v>
      </c>
      <c r="E159" s="281">
        <f>E157+E158</f>
        <v>367</v>
      </c>
    </row>
    <row r="160" spans="1:35">
      <c r="A160" s="540"/>
      <c r="B160" s="281" t="s">
        <v>541</v>
      </c>
      <c r="C160" s="32" t="s">
        <v>633</v>
      </c>
      <c r="D160" s="281" t="s">
        <v>541</v>
      </c>
      <c r="E160" s="281">
        <v>0.89</v>
      </c>
    </row>
    <row r="161" spans="1:35">
      <c r="A161" s="540"/>
      <c r="B161" s="281" t="s">
        <v>542</v>
      </c>
      <c r="C161" s="32" t="s">
        <v>633</v>
      </c>
      <c r="D161" s="281" t="s">
        <v>634</v>
      </c>
      <c r="E161" s="281">
        <v>8760</v>
      </c>
      <c r="F161" s="281">
        <f>IF(F$6=$C161,IF(INDEX('Surface DEET'!$Q$9:$W$38,COLUMN(F154)-COLUMN($E$5),1)&gt;0,INDEX('Surface DEET'!$Q$9:$W$38,COLUMN(F154)-COLUMN($E$5),1),$E161),0)</f>
        <v>0</v>
      </c>
      <c r="G161" s="281">
        <f>IF(G$6=$C161,IF(INDEX('Surface DEET'!$Q$9:$W$38,COLUMN(G154)-COLUMN($E$5),1)&gt;0,INDEX('Surface DEET'!$Q$9:$W$38,COLUMN(G154)-COLUMN($E$5),1),$E161),0)</f>
        <v>0</v>
      </c>
      <c r="H161" s="281">
        <f>IF(H$6=$C161,IF(INDEX('Surface DEET'!$Q$9:$W$38,COLUMN(H154)-COLUMN($E$5),1)&gt;0,INDEX('Surface DEET'!$Q$9:$W$38,COLUMN(H154)-COLUMN($E$5),1),$E161),0)</f>
        <v>0</v>
      </c>
      <c r="I161" s="281">
        <f>IF(I$6=$C161,IF(INDEX('Surface DEET'!$Q$9:$W$38,COLUMN(I154)-COLUMN($E$5),1)&gt;0,INDEX('Surface DEET'!$Q$9:$W$38,COLUMN(I154)-COLUMN($E$5),1),$E161),0)</f>
        <v>0</v>
      </c>
      <c r="J161" s="281">
        <f>IF(J$6=$C161,IF(INDEX('Surface DEET'!$Q$9:$W$38,COLUMN(J154)-COLUMN($E$5),1)&gt;0,INDEX('Surface DEET'!$Q$9:$W$38,COLUMN(J154)-COLUMN($E$5),1),$E161),0)</f>
        <v>0</v>
      </c>
      <c r="K161" s="281">
        <f>IF(K$6=$C161,IF(INDEX('Surface DEET'!$Q$9:$W$38,COLUMN(K154)-COLUMN($E$5),1)&gt;0,INDEX('Surface DEET'!$Q$9:$W$38,COLUMN(K154)-COLUMN($E$5),1),$E161),0)</f>
        <v>0</v>
      </c>
      <c r="L161" s="281">
        <f>IF(L$6=$C161,IF(INDEX('Surface DEET'!$Q$9:$W$38,COLUMN(L154)-COLUMN($E$5),1)&gt;0,INDEX('Surface DEET'!$Q$9:$W$38,COLUMN(L154)-COLUMN($E$5),1),$E161),0)</f>
        <v>0</v>
      </c>
      <c r="M161" s="281">
        <f>IF(M$6=$C161,IF(INDEX('Surface DEET'!$Q$9:$W$38,COLUMN(M154)-COLUMN($E$5),1)&gt;0,INDEX('Surface DEET'!$Q$9:$W$38,COLUMN(M154)-COLUMN($E$5),1),$E161),0)</f>
        <v>0</v>
      </c>
      <c r="N161" s="281">
        <f>IF(N$6=$C161,IF(INDEX('Surface DEET'!$Q$9:$W$38,COLUMN(N154)-COLUMN($E$5),1)&gt;0,INDEX('Surface DEET'!$Q$9:$W$38,COLUMN(N154)-COLUMN($E$5),1),$E161),0)</f>
        <v>0</v>
      </c>
      <c r="O161" s="281">
        <f>IF(O$6=$C161,IF(INDEX('Surface DEET'!$Q$9:$W$38,COLUMN(O154)-COLUMN($E$5),1)&gt;0,INDEX('Surface DEET'!$Q$9:$W$38,COLUMN(O154)-COLUMN($E$5),1),$E161),0)</f>
        <v>0</v>
      </c>
      <c r="P161" s="281">
        <f>IF(P$6=$C161,IF(INDEX('Surface DEET'!$Q$9:$W$38,COLUMN(P154)-COLUMN($E$5),1)&gt;0,INDEX('Surface DEET'!$Q$9:$W$38,COLUMN(P154)-COLUMN($E$5),1),$E161),0)</f>
        <v>0</v>
      </c>
      <c r="Q161" s="281">
        <f>IF(Q$6=$C161,IF(INDEX('Surface DEET'!$Q$9:$W$38,COLUMN(Q154)-COLUMN($E$5),1)&gt;0,INDEX('Surface DEET'!$Q$9:$W$38,COLUMN(Q154)-COLUMN($E$5),1),$E161),0)</f>
        <v>0</v>
      </c>
      <c r="R161" s="281">
        <f>IF(R$6=$C161,IF(INDEX('Surface DEET'!$Q$9:$W$38,COLUMN(R154)-COLUMN($E$5),1)&gt;0,INDEX('Surface DEET'!$Q$9:$W$38,COLUMN(R154)-COLUMN($E$5),1),$E161),0)</f>
        <v>0</v>
      </c>
      <c r="S161" s="281">
        <f>IF(S$6=$C161,IF(INDEX('Surface DEET'!$Q$9:$W$38,COLUMN(S154)-COLUMN($E$5),1)&gt;0,INDEX('Surface DEET'!$Q$9:$W$38,COLUMN(S154)-COLUMN($E$5),1),$E161),0)</f>
        <v>0</v>
      </c>
      <c r="T161" s="281">
        <f>IF(T$6=$C161,IF(INDEX('Surface DEET'!$Q$9:$W$38,COLUMN(T154)-COLUMN($E$5),1)&gt;0,INDEX('Surface DEET'!$Q$9:$W$38,COLUMN(T154)-COLUMN($E$5),1),$E161),0)</f>
        <v>0</v>
      </c>
      <c r="U161" s="281">
        <f>IF(U$6=$C161,IF(INDEX('Surface DEET'!$Q$9:$W$38,COLUMN(U154)-COLUMN($E$5),1)&gt;0,INDEX('Surface DEET'!$Q$9:$W$38,COLUMN(U154)-COLUMN($E$5),1),$E161),0)</f>
        <v>0</v>
      </c>
      <c r="V161" s="281">
        <f>IF(V$6=$C161,IF(INDEX('Surface DEET'!$Q$9:$W$38,COLUMN(V154)-COLUMN($E$5),1)&gt;0,INDEX('Surface DEET'!$Q$9:$W$38,COLUMN(V154)-COLUMN($E$5),1),$E161),0)</f>
        <v>0</v>
      </c>
      <c r="W161" s="281">
        <f>IF(W$6=$C161,IF(INDEX('Surface DEET'!$Q$9:$W$38,COLUMN(W154)-COLUMN($E$5),1)&gt;0,INDEX('Surface DEET'!$Q$9:$W$38,COLUMN(W154)-COLUMN($E$5),1),$E161),0)</f>
        <v>0</v>
      </c>
      <c r="X161" s="281">
        <f>IF(X$6=$C161,IF(INDEX('Surface DEET'!$Q$9:$W$38,COLUMN(X154)-COLUMN($E$5),1)&gt;0,INDEX('Surface DEET'!$Q$9:$W$38,COLUMN(X154)-COLUMN($E$5),1),$E161),0)</f>
        <v>0</v>
      </c>
      <c r="Y161" s="281">
        <f>IF(Y$6=$C161,IF(INDEX('Surface DEET'!$Q$9:$W$38,COLUMN(Y154)-COLUMN($E$5),1)&gt;0,INDEX('Surface DEET'!$Q$9:$W$38,COLUMN(Y154)-COLUMN($E$5),1),$E161),0)</f>
        <v>0</v>
      </c>
      <c r="Z161" s="281">
        <f>IF(Z$6=$C161,IF(INDEX('Surface DEET'!$Q$9:$W$38,COLUMN(Z154)-COLUMN($E$5),1)&gt;0,INDEX('Surface DEET'!$Q$9:$W$38,COLUMN(Z154)-COLUMN($E$5),1),$E161),0)</f>
        <v>0</v>
      </c>
      <c r="AA161" s="281">
        <f>IF(AA$6=$C161,IF(INDEX('Surface DEET'!$Q$9:$W$38,COLUMN(AA154)-COLUMN($E$5),1)&gt;0,INDEX('Surface DEET'!$Q$9:$W$38,COLUMN(AA154)-COLUMN($E$5),1),$E161),0)</f>
        <v>0</v>
      </c>
      <c r="AB161" s="281">
        <f>IF(AB$6=$C161,IF(INDEX('Surface DEET'!$Q$9:$W$38,COLUMN(AB154)-COLUMN($E$5),1)&gt;0,INDEX('Surface DEET'!$Q$9:$W$38,COLUMN(AB154)-COLUMN($E$5),1),$E161),0)</f>
        <v>0</v>
      </c>
      <c r="AC161" s="281">
        <f>IF(AC$6=$C161,IF(INDEX('Surface DEET'!$Q$9:$W$38,COLUMN(AC154)-COLUMN($E$5),1)&gt;0,INDEX('Surface DEET'!$Q$9:$W$38,COLUMN(AC154)-COLUMN($E$5),1),$E161),0)</f>
        <v>0</v>
      </c>
      <c r="AD161" s="281">
        <f>IF(AD$6=$C161,IF(INDEX('Surface DEET'!$Q$9:$W$38,COLUMN(AD154)-COLUMN($E$5),1)&gt;0,INDEX('Surface DEET'!$Q$9:$W$38,COLUMN(AD154)-COLUMN($E$5),1),$E161),0)</f>
        <v>0</v>
      </c>
      <c r="AE161" s="281">
        <f>IF(AE$6=$C161,IF(INDEX('Surface DEET'!$Q$9:$W$38,COLUMN(AE154)-COLUMN($E$5),1)&gt;0,INDEX('Surface DEET'!$Q$9:$W$38,COLUMN(AE154)-COLUMN($E$5),1),$E161),0)</f>
        <v>0</v>
      </c>
      <c r="AF161" s="281">
        <f>IF(AF$6=$C161,IF(INDEX('Surface DEET'!$Q$9:$W$38,COLUMN(AF154)-COLUMN($E$5),1)&gt;0,INDEX('Surface DEET'!$Q$9:$W$38,COLUMN(AF154)-COLUMN($E$5),1),$E161),0)</f>
        <v>0</v>
      </c>
      <c r="AG161" s="281">
        <f>IF(AG$6=$C161,IF(INDEX('Surface DEET'!$Q$9:$W$38,COLUMN(AG154)-COLUMN($E$5),1)&gt;0,INDEX('Surface DEET'!$Q$9:$W$38,COLUMN(AG154)-COLUMN($E$5),1),$E161),0)</f>
        <v>0</v>
      </c>
      <c r="AH161" s="281">
        <f>IF(AH$6=$C161,IF(INDEX('Surface DEET'!$Q$9:$W$38,COLUMN(AH154)-COLUMN($E$5),1)&gt;0,INDEX('Surface DEET'!$Q$9:$W$38,COLUMN(AH154)-COLUMN($E$5),1),$E161),0)</f>
        <v>0</v>
      </c>
      <c r="AI161" s="281">
        <f>IF(AI$6=$C161,IF(INDEX('Surface DEET'!$Q$9:$W$38,COLUMN(AI154)-COLUMN($E$5),1)&gt;0,INDEX('Surface DEET'!$Q$9:$W$38,COLUMN(AI154)-COLUMN($E$5),1),$E161),0)</f>
        <v>0</v>
      </c>
    </row>
    <row r="162" spans="1:35">
      <c r="A162" s="540"/>
      <c r="B162" s="281" t="s">
        <v>545</v>
      </c>
      <c r="C162" s="32" t="s">
        <v>633</v>
      </c>
      <c r="D162" s="281" t="s">
        <v>635</v>
      </c>
      <c r="E162" s="281">
        <v>30</v>
      </c>
      <c r="F162" s="281">
        <f>IF(F$6=$C162,IF(INDEX('Surface DEET'!$Q$9:$W$38,COLUMN(F155)-COLUMN($E$5),4)&gt;0,INDEX('Surface DEET'!$Q$9:$W$38,COLUMN(F155)-COLUMN($E$5),4),$E162),0)</f>
        <v>0</v>
      </c>
      <c r="G162" s="281">
        <f>IF(G$6=$C162,IF(INDEX('Surface DEET'!$Q$9:$W$38,COLUMN(G155)-COLUMN($E$5),4)&gt;0,INDEX('Surface DEET'!$Q$9:$W$38,COLUMN(G155)-COLUMN($E$5),4),$E162),0)</f>
        <v>0</v>
      </c>
      <c r="H162" s="281">
        <f>IF(H$6=$C162,IF(INDEX('Surface DEET'!$Q$9:$W$38,COLUMN(H155)-COLUMN($E$5),4)&gt;0,INDEX('Surface DEET'!$Q$9:$W$38,COLUMN(H155)-COLUMN($E$5),4),$E162),0)</f>
        <v>0</v>
      </c>
      <c r="I162" s="281">
        <f>IF(I$6=$C162,IF(INDEX('Surface DEET'!$Q$9:$W$38,COLUMN(I155)-COLUMN($E$5),4)&gt;0,INDEX('Surface DEET'!$Q$9:$W$38,COLUMN(I155)-COLUMN($E$5),4),$E162),0)</f>
        <v>0</v>
      </c>
      <c r="J162" s="281">
        <f>IF(J$6=$C162,IF(INDEX('Surface DEET'!$Q$9:$W$38,COLUMN(J155)-COLUMN($E$5),4)&gt;0,INDEX('Surface DEET'!$Q$9:$W$38,COLUMN(J155)-COLUMN($E$5),4),$E162),0)</f>
        <v>0</v>
      </c>
      <c r="K162" s="281">
        <f>IF(K$6=$C162,IF(INDEX('Surface DEET'!$Q$9:$W$38,COLUMN(K155)-COLUMN($E$5),4)&gt;0,INDEX('Surface DEET'!$Q$9:$W$38,COLUMN(K155)-COLUMN($E$5),4),$E162),0)</f>
        <v>0</v>
      </c>
      <c r="L162" s="281">
        <f>IF(L$6=$C162,IF(INDEX('Surface DEET'!$Q$9:$W$38,COLUMN(L155)-COLUMN($E$5),4)&gt;0,INDEX('Surface DEET'!$Q$9:$W$38,COLUMN(L155)-COLUMN($E$5),4),$E162),0)</f>
        <v>0</v>
      </c>
      <c r="M162" s="281">
        <f>IF(M$6=$C162,IF(INDEX('Surface DEET'!$Q$9:$W$38,COLUMN(M155)-COLUMN($E$5),4)&gt;0,INDEX('Surface DEET'!$Q$9:$W$38,COLUMN(M155)-COLUMN($E$5),4),$E162),0)</f>
        <v>0</v>
      </c>
      <c r="N162" s="281">
        <f>IF(N$6=$C162,IF(INDEX('Surface DEET'!$Q$9:$W$38,COLUMN(N155)-COLUMN($E$5),4)&gt;0,INDEX('Surface DEET'!$Q$9:$W$38,COLUMN(N155)-COLUMN($E$5),4),$E162),0)</f>
        <v>0</v>
      </c>
      <c r="O162" s="281">
        <f>IF(O$6=$C162,IF(INDEX('Surface DEET'!$Q$9:$W$38,COLUMN(O155)-COLUMN($E$5),4)&gt;0,INDEX('Surface DEET'!$Q$9:$W$38,COLUMN(O155)-COLUMN($E$5),4),$E162),0)</f>
        <v>0</v>
      </c>
      <c r="P162" s="281">
        <f>IF(P$6=$C162,IF(INDEX('Surface DEET'!$Q$9:$W$38,COLUMN(P155)-COLUMN($E$5),4)&gt;0,INDEX('Surface DEET'!$Q$9:$W$38,COLUMN(P155)-COLUMN($E$5),4),$E162),0)</f>
        <v>0</v>
      </c>
      <c r="Q162" s="281">
        <f>IF(Q$6=$C162,IF(INDEX('Surface DEET'!$Q$9:$W$38,COLUMN(Q155)-COLUMN($E$5),4)&gt;0,INDEX('Surface DEET'!$Q$9:$W$38,COLUMN(Q155)-COLUMN($E$5),4),$E162),0)</f>
        <v>0</v>
      </c>
      <c r="R162" s="281">
        <f>IF(R$6=$C162,IF(INDEX('Surface DEET'!$Q$9:$W$38,COLUMN(R155)-COLUMN($E$5),4)&gt;0,INDEX('Surface DEET'!$Q$9:$W$38,COLUMN(R155)-COLUMN($E$5),4),$E162),0)</f>
        <v>0</v>
      </c>
      <c r="S162" s="281">
        <f>IF(S$6=$C162,IF(INDEX('Surface DEET'!$Q$9:$W$38,COLUMN(S155)-COLUMN($E$5),4)&gt;0,INDEX('Surface DEET'!$Q$9:$W$38,COLUMN(S155)-COLUMN($E$5),4),$E162),0)</f>
        <v>0</v>
      </c>
      <c r="T162" s="281">
        <f>IF(T$6=$C162,IF(INDEX('Surface DEET'!$Q$9:$W$38,COLUMN(T155)-COLUMN($E$5),4)&gt;0,INDEX('Surface DEET'!$Q$9:$W$38,COLUMN(T155)-COLUMN($E$5),4),$E162),0)</f>
        <v>0</v>
      </c>
      <c r="U162" s="281">
        <f>IF(U$6=$C162,IF(INDEX('Surface DEET'!$Q$9:$W$38,COLUMN(U155)-COLUMN($E$5),4)&gt;0,INDEX('Surface DEET'!$Q$9:$W$38,COLUMN(U155)-COLUMN($E$5),4),$E162),0)</f>
        <v>0</v>
      </c>
      <c r="V162" s="281">
        <f>IF(V$6=$C162,IF(INDEX('Surface DEET'!$Q$9:$W$38,COLUMN(V155)-COLUMN($E$5),4)&gt;0,INDEX('Surface DEET'!$Q$9:$W$38,COLUMN(V155)-COLUMN($E$5),4),$E162),0)</f>
        <v>0</v>
      </c>
      <c r="W162" s="281">
        <f>IF(W$6=$C162,IF(INDEX('Surface DEET'!$Q$9:$W$38,COLUMN(W155)-COLUMN($E$5),4)&gt;0,INDEX('Surface DEET'!$Q$9:$W$38,COLUMN(W155)-COLUMN($E$5),4),$E162),0)</f>
        <v>0</v>
      </c>
      <c r="X162" s="281">
        <f>IF(X$6=$C162,IF(INDEX('Surface DEET'!$Q$9:$W$38,COLUMN(X155)-COLUMN($E$5),4)&gt;0,INDEX('Surface DEET'!$Q$9:$W$38,COLUMN(X155)-COLUMN($E$5),4),$E162),0)</f>
        <v>0</v>
      </c>
      <c r="Y162" s="281">
        <f>IF(Y$6=$C162,IF(INDEX('Surface DEET'!$Q$9:$W$38,COLUMN(Y155)-COLUMN($E$5),4)&gt;0,INDEX('Surface DEET'!$Q$9:$W$38,COLUMN(Y155)-COLUMN($E$5),4),$E162),0)</f>
        <v>0</v>
      </c>
      <c r="Z162" s="281">
        <f>IF(Z$6=$C162,IF(INDEX('Surface DEET'!$Q$9:$W$38,COLUMN(Z155)-COLUMN($E$5),4)&gt;0,INDEX('Surface DEET'!$Q$9:$W$38,COLUMN(Z155)-COLUMN($E$5),4),$E162),0)</f>
        <v>0</v>
      </c>
      <c r="AA162" s="281">
        <f>IF(AA$6=$C162,IF(INDEX('Surface DEET'!$Q$9:$W$38,COLUMN(AA155)-COLUMN($E$5),4)&gt;0,INDEX('Surface DEET'!$Q$9:$W$38,COLUMN(AA155)-COLUMN($E$5),4),$E162),0)</f>
        <v>0</v>
      </c>
      <c r="AB162" s="281">
        <f>IF(AB$6=$C162,IF(INDEX('Surface DEET'!$Q$9:$W$38,COLUMN(AB155)-COLUMN($E$5),4)&gt;0,INDEX('Surface DEET'!$Q$9:$W$38,COLUMN(AB155)-COLUMN($E$5),4),$E162),0)</f>
        <v>0</v>
      </c>
      <c r="AC162" s="281">
        <f>IF(AC$6=$C162,IF(INDEX('Surface DEET'!$Q$9:$W$38,COLUMN(AC155)-COLUMN($E$5),4)&gt;0,INDEX('Surface DEET'!$Q$9:$W$38,COLUMN(AC155)-COLUMN($E$5),4),$E162),0)</f>
        <v>0</v>
      </c>
      <c r="AD162" s="281">
        <f>IF(AD$6=$C162,IF(INDEX('Surface DEET'!$Q$9:$W$38,COLUMN(AD155)-COLUMN($E$5),4)&gt;0,INDEX('Surface DEET'!$Q$9:$W$38,COLUMN(AD155)-COLUMN($E$5),4),$E162),0)</f>
        <v>0</v>
      </c>
      <c r="AE162" s="281">
        <f>IF(AE$6=$C162,IF(INDEX('Surface DEET'!$Q$9:$W$38,COLUMN(AE155)-COLUMN($E$5),4)&gt;0,INDEX('Surface DEET'!$Q$9:$W$38,COLUMN(AE155)-COLUMN($E$5),4),$E162),0)</f>
        <v>0</v>
      </c>
      <c r="AF162" s="281">
        <f>IF(AF$6=$C162,IF(INDEX('Surface DEET'!$Q$9:$W$38,COLUMN(AF155)-COLUMN($E$5),4)&gt;0,INDEX('Surface DEET'!$Q$9:$W$38,COLUMN(AF155)-COLUMN($E$5),4),$E162),0)</f>
        <v>0</v>
      </c>
      <c r="AG162" s="281">
        <f>IF(AG$6=$C162,IF(INDEX('Surface DEET'!$Q$9:$W$38,COLUMN(AG155)-COLUMN($E$5),4)&gt;0,INDEX('Surface DEET'!$Q$9:$W$38,COLUMN(AG155)-COLUMN($E$5),4),$E162),0)</f>
        <v>0</v>
      </c>
      <c r="AH162" s="281">
        <f>IF(AH$6=$C162,IF(INDEX('Surface DEET'!$Q$9:$W$38,COLUMN(AH155)-COLUMN($E$5),4)&gt;0,INDEX('Surface DEET'!$Q$9:$W$38,COLUMN(AH155)-COLUMN($E$5),4),$E162),0)</f>
        <v>0</v>
      </c>
      <c r="AI162" s="281">
        <f>IF(AI$6=$C162,IF(INDEX('Surface DEET'!$Q$9:$W$38,COLUMN(AI155)-COLUMN($E$5),4)&gt;0,INDEX('Surface DEET'!$Q$9:$W$38,COLUMN(AI155)-COLUMN($E$5),4),$E162),0)</f>
        <v>0</v>
      </c>
    </row>
    <row r="163" spans="1:35">
      <c r="A163" s="540"/>
      <c r="B163" s="281" t="s">
        <v>548</v>
      </c>
      <c r="C163" s="32" t="s">
        <v>633</v>
      </c>
      <c r="D163" s="281" t="s">
        <v>636</v>
      </c>
      <c r="E163" s="281">
        <v>40</v>
      </c>
      <c r="F163" s="281">
        <f>IF(F$6=$C163,IF(INDEX('Surface DEET'!$Q$9:$W$38,COLUMN(F156)-COLUMN($E$5),7)&gt;0,INDEX('Surface DEET'!$Q$9:$W$38,COLUMN(F156)-COLUMN($E$5),7),$E163),0)</f>
        <v>0</v>
      </c>
      <c r="G163" s="281">
        <f>IF(G$6=$C163,IF(INDEX('Surface DEET'!$Q$9:$W$38,COLUMN(G156)-COLUMN($E$5),7)&gt;0,INDEX('Surface DEET'!$Q$9:$W$38,COLUMN(G156)-COLUMN($E$5),7),$E163),0)</f>
        <v>0</v>
      </c>
      <c r="H163" s="281">
        <f>IF(H$6=$C163,IF(INDEX('Surface DEET'!$Q$9:$W$38,COLUMN(H156)-COLUMN($E$5),7)&gt;0,INDEX('Surface DEET'!$Q$9:$W$38,COLUMN(H156)-COLUMN($E$5),7),$E163),0)</f>
        <v>0</v>
      </c>
      <c r="I163" s="281">
        <f>IF(I$6=$C163,IF(INDEX('Surface DEET'!$Q$9:$W$38,COLUMN(I156)-COLUMN($E$5),7)&gt;0,INDEX('Surface DEET'!$Q$9:$W$38,COLUMN(I156)-COLUMN($E$5),7),$E163),0)</f>
        <v>0</v>
      </c>
      <c r="J163" s="281">
        <f>IF(J$6=$C163,IF(INDEX('Surface DEET'!$Q$9:$W$38,COLUMN(J156)-COLUMN($E$5),7)&gt;0,INDEX('Surface DEET'!$Q$9:$W$38,COLUMN(J156)-COLUMN($E$5),7),$E163),0)</f>
        <v>0</v>
      </c>
      <c r="K163" s="281">
        <f>IF(K$6=$C163,IF(INDEX('Surface DEET'!$Q$9:$W$38,COLUMN(K156)-COLUMN($E$5),7)&gt;0,INDEX('Surface DEET'!$Q$9:$W$38,COLUMN(K156)-COLUMN($E$5),7),$E163),0)</f>
        <v>0</v>
      </c>
      <c r="L163" s="281">
        <f>IF(L$6=$C163,IF(INDEX('Surface DEET'!$Q$9:$W$38,COLUMN(L156)-COLUMN($E$5),7)&gt;0,INDEX('Surface DEET'!$Q$9:$W$38,COLUMN(L156)-COLUMN($E$5),7),$E163),0)</f>
        <v>0</v>
      </c>
      <c r="M163" s="281">
        <f>IF(M$6=$C163,IF(INDEX('Surface DEET'!$Q$9:$W$38,COLUMN(M156)-COLUMN($E$5),7)&gt;0,INDEX('Surface DEET'!$Q$9:$W$38,COLUMN(M156)-COLUMN($E$5),7),$E163),0)</f>
        <v>0</v>
      </c>
      <c r="N163" s="281">
        <f>IF(N$6=$C163,IF(INDEX('Surface DEET'!$Q$9:$W$38,COLUMN(N156)-COLUMN($E$5),7)&gt;0,INDEX('Surface DEET'!$Q$9:$W$38,COLUMN(N156)-COLUMN($E$5),7),$E163),0)</f>
        <v>0</v>
      </c>
      <c r="O163" s="281">
        <f>IF(O$6=$C163,IF(INDEX('Surface DEET'!$Q$9:$W$38,COLUMN(O156)-COLUMN($E$5),7)&gt;0,INDEX('Surface DEET'!$Q$9:$W$38,COLUMN(O156)-COLUMN($E$5),7),$E163),0)</f>
        <v>0</v>
      </c>
      <c r="P163" s="281">
        <f>IF(P$6=$C163,IF(INDEX('Surface DEET'!$Q$9:$W$38,COLUMN(P156)-COLUMN($E$5),7)&gt;0,INDEX('Surface DEET'!$Q$9:$W$38,COLUMN(P156)-COLUMN($E$5),7),$E163),0)</f>
        <v>0</v>
      </c>
      <c r="Q163" s="281">
        <f>IF(Q$6=$C163,IF(INDEX('Surface DEET'!$Q$9:$W$38,COLUMN(Q156)-COLUMN($E$5),7)&gt;0,INDEX('Surface DEET'!$Q$9:$W$38,COLUMN(Q156)-COLUMN($E$5),7),$E163),0)</f>
        <v>0</v>
      </c>
      <c r="R163" s="281">
        <f>IF(R$6=$C163,IF(INDEX('Surface DEET'!$Q$9:$W$38,COLUMN(R156)-COLUMN($E$5),7)&gt;0,INDEX('Surface DEET'!$Q$9:$W$38,COLUMN(R156)-COLUMN($E$5),7),$E163),0)</f>
        <v>0</v>
      </c>
      <c r="S163" s="281">
        <f>IF(S$6=$C163,IF(INDEX('Surface DEET'!$Q$9:$W$38,COLUMN(S156)-COLUMN($E$5),7)&gt;0,INDEX('Surface DEET'!$Q$9:$W$38,COLUMN(S156)-COLUMN($E$5),7),$E163),0)</f>
        <v>0</v>
      </c>
      <c r="T163" s="281">
        <f>IF(T$6=$C163,IF(INDEX('Surface DEET'!$Q$9:$W$38,COLUMN(T156)-COLUMN($E$5),7)&gt;0,INDEX('Surface DEET'!$Q$9:$W$38,COLUMN(T156)-COLUMN($E$5),7),$E163),0)</f>
        <v>0</v>
      </c>
      <c r="U163" s="281">
        <f>IF(U$6=$C163,IF(INDEX('Surface DEET'!$Q$9:$W$38,COLUMN(U156)-COLUMN($E$5),7)&gt;0,INDEX('Surface DEET'!$Q$9:$W$38,COLUMN(U156)-COLUMN($E$5),7),$E163),0)</f>
        <v>0</v>
      </c>
      <c r="V163" s="281">
        <f>IF(V$6=$C163,IF(INDEX('Surface DEET'!$Q$9:$W$38,COLUMN(V156)-COLUMN($E$5),7)&gt;0,INDEX('Surface DEET'!$Q$9:$W$38,COLUMN(V156)-COLUMN($E$5),7),$E163),0)</f>
        <v>0</v>
      </c>
      <c r="W163" s="281">
        <f>IF(W$6=$C163,IF(INDEX('Surface DEET'!$Q$9:$W$38,COLUMN(W156)-COLUMN($E$5),7)&gt;0,INDEX('Surface DEET'!$Q$9:$W$38,COLUMN(W156)-COLUMN($E$5),7),$E163),0)</f>
        <v>0</v>
      </c>
      <c r="X163" s="281">
        <f>IF(X$6=$C163,IF(INDEX('Surface DEET'!$Q$9:$W$38,COLUMN(X156)-COLUMN($E$5),7)&gt;0,INDEX('Surface DEET'!$Q$9:$W$38,COLUMN(X156)-COLUMN($E$5),7),$E163),0)</f>
        <v>0</v>
      </c>
      <c r="Y163" s="281">
        <f>IF(Y$6=$C163,IF(INDEX('Surface DEET'!$Q$9:$W$38,COLUMN(Y156)-COLUMN($E$5),7)&gt;0,INDEX('Surface DEET'!$Q$9:$W$38,COLUMN(Y156)-COLUMN($E$5),7),$E163),0)</f>
        <v>0</v>
      </c>
      <c r="Z163" s="281">
        <f>IF(Z$6=$C163,IF(INDEX('Surface DEET'!$Q$9:$W$38,COLUMN(Z156)-COLUMN($E$5),7)&gt;0,INDEX('Surface DEET'!$Q$9:$W$38,COLUMN(Z156)-COLUMN($E$5),7),$E163),0)</f>
        <v>0</v>
      </c>
      <c r="AA163" s="281">
        <f>IF(AA$6=$C163,IF(INDEX('Surface DEET'!$Q$9:$W$38,COLUMN(AA156)-COLUMN($E$5),7)&gt;0,INDEX('Surface DEET'!$Q$9:$W$38,COLUMN(AA156)-COLUMN($E$5),7),$E163),0)</f>
        <v>0</v>
      </c>
      <c r="AB163" s="281">
        <f>IF(AB$6=$C163,IF(INDEX('Surface DEET'!$Q$9:$W$38,COLUMN(AB156)-COLUMN($E$5),7)&gt;0,INDEX('Surface DEET'!$Q$9:$W$38,COLUMN(AB156)-COLUMN($E$5),7),$E163),0)</f>
        <v>0</v>
      </c>
      <c r="AC163" s="281">
        <f>IF(AC$6=$C163,IF(INDEX('Surface DEET'!$Q$9:$W$38,COLUMN(AC156)-COLUMN($E$5),7)&gt;0,INDEX('Surface DEET'!$Q$9:$W$38,COLUMN(AC156)-COLUMN($E$5),7),$E163),0)</f>
        <v>0</v>
      </c>
      <c r="AD163" s="281">
        <f>IF(AD$6=$C163,IF(INDEX('Surface DEET'!$Q$9:$W$38,COLUMN(AD156)-COLUMN($E$5),7)&gt;0,INDEX('Surface DEET'!$Q$9:$W$38,COLUMN(AD156)-COLUMN($E$5),7),$E163),0)</f>
        <v>0</v>
      </c>
      <c r="AE163" s="281">
        <f>IF(AE$6=$C163,IF(INDEX('Surface DEET'!$Q$9:$W$38,COLUMN(AE156)-COLUMN($E$5),7)&gt;0,INDEX('Surface DEET'!$Q$9:$W$38,COLUMN(AE156)-COLUMN($E$5),7),$E163),0)</f>
        <v>0</v>
      </c>
      <c r="AF163" s="281">
        <f>IF(AF$6=$C163,IF(INDEX('Surface DEET'!$Q$9:$W$38,COLUMN(AF156)-COLUMN($E$5),7)&gt;0,INDEX('Surface DEET'!$Q$9:$W$38,COLUMN(AF156)-COLUMN($E$5),7),$E163),0)</f>
        <v>0</v>
      </c>
      <c r="AG163" s="281">
        <f>IF(AG$6=$C163,IF(INDEX('Surface DEET'!$Q$9:$W$38,COLUMN(AG156)-COLUMN($E$5),7)&gt;0,INDEX('Surface DEET'!$Q$9:$W$38,COLUMN(AG156)-COLUMN($E$5),7),$E163),0)</f>
        <v>0</v>
      </c>
      <c r="AH163" s="281">
        <f>IF(AH$6=$C163,IF(INDEX('Surface DEET'!$Q$9:$W$38,COLUMN(AH156)-COLUMN($E$5),7)&gt;0,INDEX('Surface DEET'!$Q$9:$W$38,COLUMN(AH156)-COLUMN($E$5),7),$E163),0)</f>
        <v>0</v>
      </c>
      <c r="AI163" s="281">
        <f>IF(AI$6=$C163,IF(INDEX('Surface DEET'!$Q$9:$W$38,COLUMN(AI156)-COLUMN($E$5),7)&gt;0,INDEX('Surface DEET'!$Q$9:$W$38,COLUMN(AI156)-COLUMN($E$5),7),$E163),0)</f>
        <v>0</v>
      </c>
    </row>
    <row r="164" spans="1:35">
      <c r="A164" s="540"/>
      <c r="B164" s="281" t="s">
        <v>538</v>
      </c>
      <c r="C164" s="32" t="s">
        <v>633</v>
      </c>
      <c r="D164" s="281" t="s">
        <v>538</v>
      </c>
      <c r="F164" s="281">
        <f>IFERROR($E$158*(F161/$E$161+$E$160*(F163/$E$163)*($E$162/F162)+(1-$E$160))+0.28*$E$157*(F161-$E$161)/$E$161,0)</f>
        <v>0</v>
      </c>
      <c r="G164" s="281">
        <f t="shared" ref="G164:AI164" si="19">IFERROR($E$158*(G161/$E$161+$E$160*(G163/$E$163)*($E$162/G162)+1-$E$160)+0.28*$E$157*(G161-$E$161)/$E$161,0)</f>
        <v>0</v>
      </c>
      <c r="H164" s="281">
        <f t="shared" si="19"/>
        <v>0</v>
      </c>
      <c r="I164" s="281">
        <f t="shared" si="19"/>
        <v>0</v>
      </c>
      <c r="J164" s="281">
        <f t="shared" si="19"/>
        <v>0</v>
      </c>
      <c r="K164" s="281">
        <f t="shared" si="19"/>
        <v>0</v>
      </c>
      <c r="L164" s="281">
        <f t="shared" si="19"/>
        <v>0</v>
      </c>
      <c r="M164" s="281">
        <f t="shared" si="19"/>
        <v>0</v>
      </c>
      <c r="N164" s="281">
        <f t="shared" si="19"/>
        <v>0</v>
      </c>
      <c r="O164" s="281">
        <f t="shared" si="19"/>
        <v>0</v>
      </c>
      <c r="P164" s="281">
        <f t="shared" si="19"/>
        <v>0</v>
      </c>
      <c r="Q164" s="281">
        <f t="shared" si="19"/>
        <v>0</v>
      </c>
      <c r="R164" s="281">
        <f t="shared" si="19"/>
        <v>0</v>
      </c>
      <c r="S164" s="281">
        <f t="shared" si="19"/>
        <v>0</v>
      </c>
      <c r="T164" s="281">
        <f t="shared" si="19"/>
        <v>0</v>
      </c>
      <c r="U164" s="281">
        <f t="shared" si="19"/>
        <v>0</v>
      </c>
      <c r="V164" s="281">
        <f t="shared" si="19"/>
        <v>0</v>
      </c>
      <c r="W164" s="281">
        <f t="shared" si="19"/>
        <v>0</v>
      </c>
      <c r="X164" s="281">
        <f t="shared" si="19"/>
        <v>0</v>
      </c>
      <c r="Y164" s="281">
        <f t="shared" si="19"/>
        <v>0</v>
      </c>
      <c r="Z164" s="281">
        <f t="shared" si="19"/>
        <v>0</v>
      </c>
      <c r="AA164" s="281">
        <f t="shared" si="19"/>
        <v>0</v>
      </c>
      <c r="AB164" s="281">
        <f t="shared" si="19"/>
        <v>0</v>
      </c>
      <c r="AC164" s="281">
        <f t="shared" si="19"/>
        <v>0</v>
      </c>
      <c r="AD164" s="281">
        <f t="shared" si="19"/>
        <v>0</v>
      </c>
      <c r="AE164" s="281">
        <f t="shared" si="19"/>
        <v>0</v>
      </c>
      <c r="AF164" s="281">
        <f t="shared" si="19"/>
        <v>0</v>
      </c>
      <c r="AG164" s="281">
        <f t="shared" si="19"/>
        <v>0</v>
      </c>
      <c r="AH164" s="281">
        <f t="shared" si="19"/>
        <v>0</v>
      </c>
      <c r="AI164" s="281">
        <f t="shared" si="19"/>
        <v>0</v>
      </c>
    </row>
    <row r="165" spans="1:35">
      <c r="B165" s="92" t="s">
        <v>298</v>
      </c>
      <c r="C165" s="281" t="s">
        <v>637</v>
      </c>
      <c r="D165" s="92" t="s">
        <v>298</v>
      </c>
      <c r="E165" s="281">
        <f t="array" ref="E165">INDEX(CABS_CVC!$C$3:$O$894,MATCH(1, (CABS_CVC!$A$3:$A$894=Calculs_CABS!C165)*(CABS_CVC!$B$3:$B$894=Calculs_CABS!$D$2),0),MATCH(Calculs_CABS!$D$1,Liste_CABS!$B$3:$B$15,0))</f>
        <v>95</v>
      </c>
    </row>
    <row r="166" spans="1:35">
      <c r="B166" s="281" t="s">
        <v>539</v>
      </c>
      <c r="C166" s="281" t="s">
        <v>637</v>
      </c>
      <c r="D166" s="281" t="s">
        <v>539</v>
      </c>
      <c r="E166" s="281">
        <v>289</v>
      </c>
    </row>
    <row r="167" spans="1:35">
      <c r="B167" s="281" t="s">
        <v>540</v>
      </c>
      <c r="C167" s="281" t="s">
        <v>637</v>
      </c>
      <c r="D167" s="281" t="s">
        <v>540</v>
      </c>
      <c r="E167" s="281">
        <f>E165+E166</f>
        <v>384</v>
      </c>
    </row>
    <row r="168" spans="1:35">
      <c r="B168" s="281" t="s">
        <v>541</v>
      </c>
      <c r="C168" s="281" t="s">
        <v>637</v>
      </c>
      <c r="D168" s="281" t="s">
        <v>541</v>
      </c>
      <c r="E168" s="281">
        <v>0.87</v>
      </c>
    </row>
    <row r="169" spans="1:35">
      <c r="B169" s="281" t="s">
        <v>542</v>
      </c>
      <c r="C169" s="281" t="s">
        <v>637</v>
      </c>
      <c r="D169" s="281" t="s">
        <v>638</v>
      </c>
      <c r="E169" s="281">
        <v>8760</v>
      </c>
      <c r="F169" s="281">
        <f>IF(F$6=$C169,IF(INDEX('Surface DEET'!$Q$9:$W$38,COLUMN(F162)-COLUMN($E$5),1)&gt;0,INDEX('Surface DEET'!$Q$9:$W$38,COLUMN(F162)-COLUMN($E$5),1),$E169),0)</f>
        <v>0</v>
      </c>
      <c r="G169" s="281">
        <f>IF(G$6=$C169,IF(INDEX('Surface DEET'!$Q$9:$W$38,COLUMN(G162)-COLUMN($E$5),1)&gt;0,INDEX('Surface DEET'!$Q$9:$W$38,COLUMN(G162)-COLUMN($E$5),1),$E169),0)</f>
        <v>0</v>
      </c>
      <c r="H169" s="281">
        <f>IF(H$6=$C169,IF(INDEX('Surface DEET'!$Q$9:$W$38,COLUMN(H162)-COLUMN($E$5),1)&gt;0,INDEX('Surface DEET'!$Q$9:$W$38,COLUMN(H162)-COLUMN($E$5),1),$E169),0)</f>
        <v>0</v>
      </c>
      <c r="I169" s="281">
        <f>IF(I$6=$C169,IF(INDEX('Surface DEET'!$Q$9:$W$38,COLUMN(I162)-COLUMN($E$5),1)&gt;0,INDEX('Surface DEET'!$Q$9:$W$38,COLUMN(I162)-COLUMN($E$5),1),$E169),0)</f>
        <v>0</v>
      </c>
      <c r="J169" s="281">
        <f>IF(J$6=$C169,IF(INDEX('Surface DEET'!$Q$9:$W$38,COLUMN(J162)-COLUMN($E$5),1)&gt;0,INDEX('Surface DEET'!$Q$9:$W$38,COLUMN(J162)-COLUMN($E$5),1),$E169),0)</f>
        <v>0</v>
      </c>
      <c r="K169" s="281">
        <f>IF(K$6=$C169,IF(INDEX('Surface DEET'!$Q$9:$W$38,COLUMN(K162)-COLUMN($E$5),1)&gt;0,INDEX('Surface DEET'!$Q$9:$W$38,COLUMN(K162)-COLUMN($E$5),1),$E169),0)</f>
        <v>0</v>
      </c>
      <c r="L169" s="281">
        <f>IF(L$6=$C169,IF(INDEX('Surface DEET'!$Q$9:$W$38,COLUMN(L162)-COLUMN($E$5),1)&gt;0,INDEX('Surface DEET'!$Q$9:$W$38,COLUMN(L162)-COLUMN($E$5),1),$E169),0)</f>
        <v>0</v>
      </c>
      <c r="M169" s="281">
        <f>IF(M$6=$C169,IF(INDEX('Surface DEET'!$Q$9:$W$38,COLUMN(M162)-COLUMN($E$5),1)&gt;0,INDEX('Surface DEET'!$Q$9:$W$38,COLUMN(M162)-COLUMN($E$5),1),$E169),0)</f>
        <v>0</v>
      </c>
      <c r="N169" s="281">
        <f>IF(N$6=$C169,IF(INDEX('Surface DEET'!$Q$9:$W$38,COLUMN(N162)-COLUMN($E$5),1)&gt;0,INDEX('Surface DEET'!$Q$9:$W$38,COLUMN(N162)-COLUMN($E$5),1),$E169),0)</f>
        <v>0</v>
      </c>
      <c r="O169" s="281">
        <f>IF(O$6=$C169,IF(INDEX('Surface DEET'!$Q$9:$W$38,COLUMN(O162)-COLUMN($E$5),1)&gt;0,INDEX('Surface DEET'!$Q$9:$W$38,COLUMN(O162)-COLUMN($E$5),1),$E169),0)</f>
        <v>0</v>
      </c>
      <c r="P169" s="281">
        <f>IF(P$6=$C169,IF(INDEX('Surface DEET'!$Q$9:$W$38,COLUMN(P162)-COLUMN($E$5),1)&gt;0,INDEX('Surface DEET'!$Q$9:$W$38,COLUMN(P162)-COLUMN($E$5),1),$E169),0)</f>
        <v>0</v>
      </c>
      <c r="Q169" s="281">
        <f>IF(Q$6=$C169,IF(INDEX('Surface DEET'!$Q$9:$W$38,COLUMN(Q162)-COLUMN($E$5),1)&gt;0,INDEX('Surface DEET'!$Q$9:$W$38,COLUMN(Q162)-COLUMN($E$5),1),$E169),0)</f>
        <v>0</v>
      </c>
      <c r="R169" s="281">
        <f>IF(R$6=$C169,IF(INDEX('Surface DEET'!$Q$9:$W$38,COLUMN(R162)-COLUMN($E$5),1)&gt;0,INDEX('Surface DEET'!$Q$9:$W$38,COLUMN(R162)-COLUMN($E$5),1),$E169),0)</f>
        <v>0</v>
      </c>
      <c r="S169" s="281">
        <f>IF(S$6=$C169,IF(INDEX('Surface DEET'!$Q$9:$W$38,COLUMN(S162)-COLUMN($E$5),1)&gt;0,INDEX('Surface DEET'!$Q$9:$W$38,COLUMN(S162)-COLUMN($E$5),1),$E169),0)</f>
        <v>0</v>
      </c>
      <c r="T169" s="281">
        <f>IF(T$6=$C169,IF(INDEX('Surface DEET'!$Q$9:$W$38,COLUMN(T162)-COLUMN($E$5),1)&gt;0,INDEX('Surface DEET'!$Q$9:$W$38,COLUMN(T162)-COLUMN($E$5),1),$E169),0)</f>
        <v>0</v>
      </c>
      <c r="U169" s="281">
        <f>IF(U$6=$C169,IF(INDEX('Surface DEET'!$Q$9:$W$38,COLUMN(U162)-COLUMN($E$5),1)&gt;0,INDEX('Surface DEET'!$Q$9:$W$38,COLUMN(U162)-COLUMN($E$5),1),$E169),0)</f>
        <v>0</v>
      </c>
      <c r="V169" s="281">
        <f>IF(V$6=$C169,IF(INDEX('Surface DEET'!$Q$9:$W$38,COLUMN(V162)-COLUMN($E$5),1)&gt;0,INDEX('Surface DEET'!$Q$9:$W$38,COLUMN(V162)-COLUMN($E$5),1),$E169),0)</f>
        <v>0</v>
      </c>
      <c r="W169" s="281">
        <f>IF(W$6=$C169,IF(INDEX('Surface DEET'!$Q$9:$W$38,COLUMN(W162)-COLUMN($E$5),1)&gt;0,INDEX('Surface DEET'!$Q$9:$W$38,COLUMN(W162)-COLUMN($E$5),1),$E169),0)</f>
        <v>0</v>
      </c>
      <c r="X169" s="281">
        <f>IF(X$6=$C169,IF(INDEX('Surface DEET'!$Q$9:$W$38,COLUMN(X162)-COLUMN($E$5),1)&gt;0,INDEX('Surface DEET'!$Q$9:$W$38,COLUMN(X162)-COLUMN($E$5),1),$E169),0)</f>
        <v>0</v>
      </c>
      <c r="Y169" s="281">
        <f>IF(Y$6=$C169,IF(INDEX('Surface DEET'!$Q$9:$W$38,COLUMN(Y162)-COLUMN($E$5),1)&gt;0,INDEX('Surface DEET'!$Q$9:$W$38,COLUMN(Y162)-COLUMN($E$5),1),$E169),0)</f>
        <v>0</v>
      </c>
      <c r="Z169" s="281">
        <f>IF(Z$6=$C169,IF(INDEX('Surface DEET'!$Q$9:$W$38,COLUMN(Z162)-COLUMN($E$5),1)&gt;0,INDEX('Surface DEET'!$Q$9:$W$38,COLUMN(Z162)-COLUMN($E$5),1),$E169),0)</f>
        <v>0</v>
      </c>
      <c r="AA169" s="281">
        <f>IF(AA$6=$C169,IF(INDEX('Surface DEET'!$Q$9:$W$38,COLUMN(AA162)-COLUMN($E$5),1)&gt;0,INDEX('Surface DEET'!$Q$9:$W$38,COLUMN(AA162)-COLUMN($E$5),1),$E169),0)</f>
        <v>0</v>
      </c>
      <c r="AB169" s="281">
        <f>IF(AB$6=$C169,IF(INDEX('Surface DEET'!$Q$9:$W$38,COLUMN(AB162)-COLUMN($E$5),1)&gt;0,INDEX('Surface DEET'!$Q$9:$W$38,COLUMN(AB162)-COLUMN($E$5),1),$E169),0)</f>
        <v>0</v>
      </c>
      <c r="AC169" s="281">
        <f>IF(AC$6=$C169,IF(INDEX('Surface DEET'!$Q$9:$W$38,COLUMN(AC162)-COLUMN($E$5),1)&gt;0,INDEX('Surface DEET'!$Q$9:$W$38,COLUMN(AC162)-COLUMN($E$5),1),$E169),0)</f>
        <v>0</v>
      </c>
      <c r="AD169" s="281">
        <f>IF(AD$6=$C169,IF(INDEX('Surface DEET'!$Q$9:$W$38,COLUMN(AD162)-COLUMN($E$5),1)&gt;0,INDEX('Surface DEET'!$Q$9:$W$38,COLUMN(AD162)-COLUMN($E$5),1),$E169),0)</f>
        <v>0</v>
      </c>
      <c r="AE169" s="281">
        <f>IF(AE$6=$C169,IF(INDEX('Surface DEET'!$Q$9:$W$38,COLUMN(AE162)-COLUMN($E$5),1)&gt;0,INDEX('Surface DEET'!$Q$9:$W$38,COLUMN(AE162)-COLUMN($E$5),1),$E169),0)</f>
        <v>0</v>
      </c>
      <c r="AF169" s="281">
        <f>IF(AF$6=$C169,IF(INDEX('Surface DEET'!$Q$9:$W$38,COLUMN(AF162)-COLUMN($E$5),1)&gt;0,INDEX('Surface DEET'!$Q$9:$W$38,COLUMN(AF162)-COLUMN($E$5),1),$E169),0)</f>
        <v>0</v>
      </c>
      <c r="AG169" s="281">
        <f>IF(AG$6=$C169,IF(INDEX('Surface DEET'!$Q$9:$W$38,COLUMN(AG162)-COLUMN($E$5),1)&gt;0,INDEX('Surface DEET'!$Q$9:$W$38,COLUMN(AG162)-COLUMN($E$5),1),$E169),0)</f>
        <v>0</v>
      </c>
      <c r="AH169" s="281">
        <f>IF(AH$6=$C169,IF(INDEX('Surface DEET'!$Q$9:$W$38,COLUMN(AH162)-COLUMN($E$5),1)&gt;0,INDEX('Surface DEET'!$Q$9:$W$38,COLUMN(AH162)-COLUMN($E$5),1),$E169),0)</f>
        <v>0</v>
      </c>
      <c r="AI169" s="281">
        <f>IF(AI$6=$C169,IF(INDEX('Surface DEET'!$Q$9:$W$38,COLUMN(AI162)-COLUMN($E$5),1)&gt;0,INDEX('Surface DEET'!$Q$9:$W$38,COLUMN(AI162)-COLUMN($E$5),1),$E169),0)</f>
        <v>0</v>
      </c>
    </row>
    <row r="170" spans="1:35">
      <c r="B170" s="281" t="s">
        <v>545</v>
      </c>
      <c r="C170" s="281" t="s">
        <v>637</v>
      </c>
      <c r="D170" s="281" t="s">
        <v>639</v>
      </c>
      <c r="E170" s="281">
        <v>15</v>
      </c>
      <c r="F170" s="281">
        <f>IF(F$6=$C170,IF(INDEX('Surface DEET'!$Q$9:$W$38,COLUMN(F163)-COLUMN($E$5),4)&gt;0,INDEX('Surface DEET'!$Q$9:$W$38,COLUMN(F163)-COLUMN($E$5),4),$E170),0)</f>
        <v>0</v>
      </c>
      <c r="G170" s="281">
        <f>IF(G$6=$C170,IF(INDEX('Surface DEET'!$Q$9:$W$38,COLUMN(G163)-COLUMN($E$5),4)&gt;0,INDEX('Surface DEET'!$Q$9:$W$38,COLUMN(G163)-COLUMN($E$5),4),$E170),0)</f>
        <v>0</v>
      </c>
      <c r="H170" s="281">
        <f>IF(H$6=$C170,IF(INDEX('Surface DEET'!$Q$9:$W$38,COLUMN(H163)-COLUMN($E$5),4)&gt;0,INDEX('Surface DEET'!$Q$9:$W$38,COLUMN(H163)-COLUMN($E$5),4),$E170),0)</f>
        <v>0</v>
      </c>
      <c r="I170" s="281">
        <f>IF(I$6=$C170,IF(INDEX('Surface DEET'!$Q$9:$W$38,COLUMN(I163)-COLUMN($E$5),4)&gt;0,INDEX('Surface DEET'!$Q$9:$W$38,COLUMN(I163)-COLUMN($E$5),4),$E170),0)</f>
        <v>0</v>
      </c>
      <c r="J170" s="281">
        <f>IF(J$6=$C170,IF(INDEX('Surface DEET'!$Q$9:$W$38,COLUMN(J163)-COLUMN($E$5),4)&gt;0,INDEX('Surface DEET'!$Q$9:$W$38,COLUMN(J163)-COLUMN($E$5),4),$E170),0)</f>
        <v>0</v>
      </c>
      <c r="K170" s="281">
        <f>IF(K$6=$C170,IF(INDEX('Surface DEET'!$Q$9:$W$38,COLUMN(K163)-COLUMN($E$5),4)&gt;0,INDEX('Surface DEET'!$Q$9:$W$38,COLUMN(K163)-COLUMN($E$5),4),$E170),0)</f>
        <v>0</v>
      </c>
      <c r="L170" s="281">
        <f>IF(L$6=$C170,IF(INDEX('Surface DEET'!$Q$9:$W$38,COLUMN(L163)-COLUMN($E$5),4)&gt;0,INDEX('Surface DEET'!$Q$9:$W$38,COLUMN(L163)-COLUMN($E$5),4),$E170),0)</f>
        <v>0</v>
      </c>
      <c r="M170" s="281">
        <f>IF(M$6=$C170,IF(INDEX('Surface DEET'!$Q$9:$W$38,COLUMN(M163)-COLUMN($E$5),4)&gt;0,INDEX('Surface DEET'!$Q$9:$W$38,COLUMN(M163)-COLUMN($E$5),4),$E170),0)</f>
        <v>0</v>
      </c>
      <c r="N170" s="281">
        <f>IF(N$6=$C170,IF(INDEX('Surface DEET'!$Q$9:$W$38,COLUMN(N163)-COLUMN($E$5),4)&gt;0,INDEX('Surface DEET'!$Q$9:$W$38,COLUMN(N163)-COLUMN($E$5),4),$E170),0)</f>
        <v>0</v>
      </c>
      <c r="O170" s="281">
        <f>IF(O$6=$C170,IF(INDEX('Surface DEET'!$Q$9:$W$38,COLUMN(O163)-COLUMN($E$5),4)&gt;0,INDEX('Surface DEET'!$Q$9:$W$38,COLUMN(O163)-COLUMN($E$5),4),$E170),0)</f>
        <v>0</v>
      </c>
      <c r="P170" s="281">
        <f>IF(P$6=$C170,IF(INDEX('Surface DEET'!$Q$9:$W$38,COLUMN(P163)-COLUMN($E$5),4)&gt;0,INDEX('Surface DEET'!$Q$9:$W$38,COLUMN(P163)-COLUMN($E$5),4),$E170),0)</f>
        <v>0</v>
      </c>
      <c r="Q170" s="281">
        <f>IF(Q$6=$C170,IF(INDEX('Surface DEET'!$Q$9:$W$38,COLUMN(Q163)-COLUMN($E$5),4)&gt;0,INDEX('Surface DEET'!$Q$9:$W$38,COLUMN(Q163)-COLUMN($E$5),4),$E170),0)</f>
        <v>0</v>
      </c>
      <c r="R170" s="281">
        <f>IF(R$6=$C170,IF(INDEX('Surface DEET'!$Q$9:$W$38,COLUMN(R163)-COLUMN($E$5),4)&gt;0,INDEX('Surface DEET'!$Q$9:$W$38,COLUMN(R163)-COLUMN($E$5),4),$E170),0)</f>
        <v>0</v>
      </c>
      <c r="S170" s="281">
        <f>IF(S$6=$C170,IF(INDEX('Surface DEET'!$Q$9:$W$38,COLUMN(S163)-COLUMN($E$5),4)&gt;0,INDEX('Surface DEET'!$Q$9:$W$38,COLUMN(S163)-COLUMN($E$5),4),$E170),0)</f>
        <v>0</v>
      </c>
      <c r="T170" s="281">
        <f>IF(T$6=$C170,IF(INDEX('Surface DEET'!$Q$9:$W$38,COLUMN(T163)-COLUMN($E$5),4)&gt;0,INDEX('Surface DEET'!$Q$9:$W$38,COLUMN(T163)-COLUMN($E$5),4),$E170),0)</f>
        <v>0</v>
      </c>
      <c r="U170" s="281">
        <f>IF(U$6=$C170,IF(INDEX('Surface DEET'!$Q$9:$W$38,COLUMN(U163)-COLUMN($E$5),4)&gt;0,INDEX('Surface DEET'!$Q$9:$W$38,COLUMN(U163)-COLUMN($E$5),4),$E170),0)</f>
        <v>0</v>
      </c>
      <c r="V170" s="281">
        <f>IF(V$6=$C170,IF(INDEX('Surface DEET'!$Q$9:$W$38,COLUMN(V163)-COLUMN($E$5),4)&gt;0,INDEX('Surface DEET'!$Q$9:$W$38,COLUMN(V163)-COLUMN($E$5),4),$E170),0)</f>
        <v>0</v>
      </c>
      <c r="W170" s="281">
        <f>IF(W$6=$C170,IF(INDEX('Surface DEET'!$Q$9:$W$38,COLUMN(W163)-COLUMN($E$5),4)&gt;0,INDEX('Surface DEET'!$Q$9:$W$38,COLUMN(W163)-COLUMN($E$5),4),$E170),0)</f>
        <v>0</v>
      </c>
      <c r="X170" s="281">
        <f>IF(X$6=$C170,IF(INDEX('Surface DEET'!$Q$9:$W$38,COLUMN(X163)-COLUMN($E$5),4)&gt;0,INDEX('Surface DEET'!$Q$9:$W$38,COLUMN(X163)-COLUMN($E$5),4),$E170),0)</f>
        <v>0</v>
      </c>
      <c r="Y170" s="281">
        <f>IF(Y$6=$C170,IF(INDEX('Surface DEET'!$Q$9:$W$38,COLUMN(Y163)-COLUMN($E$5),4)&gt;0,INDEX('Surface DEET'!$Q$9:$W$38,COLUMN(Y163)-COLUMN($E$5),4),$E170),0)</f>
        <v>0</v>
      </c>
      <c r="Z170" s="281">
        <f>IF(Z$6=$C170,IF(INDEX('Surface DEET'!$Q$9:$W$38,COLUMN(Z163)-COLUMN($E$5),4)&gt;0,INDEX('Surface DEET'!$Q$9:$W$38,COLUMN(Z163)-COLUMN($E$5),4),$E170),0)</f>
        <v>0</v>
      </c>
      <c r="AA170" s="281">
        <f>IF(AA$6=$C170,IF(INDEX('Surface DEET'!$Q$9:$W$38,COLUMN(AA163)-COLUMN($E$5),4)&gt;0,INDEX('Surface DEET'!$Q$9:$W$38,COLUMN(AA163)-COLUMN($E$5),4),$E170),0)</f>
        <v>0</v>
      </c>
      <c r="AB170" s="281">
        <f>IF(AB$6=$C170,IF(INDEX('Surface DEET'!$Q$9:$W$38,COLUMN(AB163)-COLUMN($E$5),4)&gt;0,INDEX('Surface DEET'!$Q$9:$W$38,COLUMN(AB163)-COLUMN($E$5),4),$E170),0)</f>
        <v>0</v>
      </c>
      <c r="AC170" s="281">
        <f>IF(AC$6=$C170,IF(INDEX('Surface DEET'!$Q$9:$W$38,COLUMN(AC163)-COLUMN($E$5),4)&gt;0,INDEX('Surface DEET'!$Q$9:$W$38,COLUMN(AC163)-COLUMN($E$5),4),$E170),0)</f>
        <v>0</v>
      </c>
      <c r="AD170" s="281">
        <f>IF(AD$6=$C170,IF(INDEX('Surface DEET'!$Q$9:$W$38,COLUMN(AD163)-COLUMN($E$5),4)&gt;0,INDEX('Surface DEET'!$Q$9:$W$38,COLUMN(AD163)-COLUMN($E$5),4),$E170),0)</f>
        <v>0</v>
      </c>
      <c r="AE170" s="281">
        <f>IF(AE$6=$C170,IF(INDEX('Surface DEET'!$Q$9:$W$38,COLUMN(AE163)-COLUMN($E$5),4)&gt;0,INDEX('Surface DEET'!$Q$9:$W$38,COLUMN(AE163)-COLUMN($E$5),4),$E170),0)</f>
        <v>0</v>
      </c>
      <c r="AF170" s="281">
        <f>IF(AF$6=$C170,IF(INDEX('Surface DEET'!$Q$9:$W$38,COLUMN(AF163)-COLUMN($E$5),4)&gt;0,INDEX('Surface DEET'!$Q$9:$W$38,COLUMN(AF163)-COLUMN($E$5),4),$E170),0)</f>
        <v>0</v>
      </c>
      <c r="AG170" s="281">
        <f>IF(AG$6=$C170,IF(INDEX('Surface DEET'!$Q$9:$W$38,COLUMN(AG163)-COLUMN($E$5),4)&gt;0,INDEX('Surface DEET'!$Q$9:$W$38,COLUMN(AG163)-COLUMN($E$5),4),$E170),0)</f>
        <v>0</v>
      </c>
      <c r="AH170" s="281">
        <f>IF(AH$6=$C170,IF(INDEX('Surface DEET'!$Q$9:$W$38,COLUMN(AH163)-COLUMN($E$5),4)&gt;0,INDEX('Surface DEET'!$Q$9:$W$38,COLUMN(AH163)-COLUMN($E$5),4),$E170),0)</f>
        <v>0</v>
      </c>
      <c r="AI170" s="281">
        <f>IF(AI$6=$C170,IF(INDEX('Surface DEET'!$Q$9:$W$38,COLUMN(AI163)-COLUMN($E$5),4)&gt;0,INDEX('Surface DEET'!$Q$9:$W$38,COLUMN(AI163)-COLUMN($E$5),4),$E170),0)</f>
        <v>0</v>
      </c>
    </row>
    <row r="171" spans="1:35">
      <c r="B171" s="281" t="s">
        <v>548</v>
      </c>
      <c r="C171" s="281" t="s">
        <v>637</v>
      </c>
      <c r="D171" s="281" t="s">
        <v>636</v>
      </c>
      <c r="E171" s="281">
        <v>90</v>
      </c>
      <c r="F171" s="281">
        <f>IF(F$6=$C171,IF(INDEX('Surface DEET'!$Q$9:$W$38,COLUMN(F164)-COLUMN($E$5),7)&gt;0,INDEX('Surface DEET'!$Q$9:$W$38,COLUMN(F164)-COLUMN($E$5),7),$E171),0)</f>
        <v>0</v>
      </c>
      <c r="G171" s="281">
        <f>IF(G$6=$C171,IF(INDEX('Surface DEET'!$Q$9:$W$38,COLUMN(G164)-COLUMN($E$5),7)&gt;0,INDEX('Surface DEET'!$Q$9:$W$38,COLUMN(G164)-COLUMN($E$5),7),$E171),0)</f>
        <v>0</v>
      </c>
      <c r="H171" s="281">
        <f>IF(H$6=$C171,IF(INDEX('Surface DEET'!$Q$9:$W$38,COLUMN(H164)-COLUMN($E$5),7)&gt;0,INDEX('Surface DEET'!$Q$9:$W$38,COLUMN(H164)-COLUMN($E$5),7),$E171),0)</f>
        <v>0</v>
      </c>
      <c r="I171" s="281">
        <f>IF(I$6=$C171,IF(INDEX('Surface DEET'!$Q$9:$W$38,COLUMN(I164)-COLUMN($E$5),7)&gt;0,INDEX('Surface DEET'!$Q$9:$W$38,COLUMN(I164)-COLUMN($E$5),7),$E171),0)</f>
        <v>0</v>
      </c>
      <c r="J171" s="281">
        <f>IF(J$6=$C171,IF(INDEX('Surface DEET'!$Q$9:$W$38,COLUMN(J164)-COLUMN($E$5),7)&gt;0,INDEX('Surface DEET'!$Q$9:$W$38,COLUMN(J164)-COLUMN($E$5),7),$E171),0)</f>
        <v>0</v>
      </c>
      <c r="K171" s="281">
        <f>IF(K$6=$C171,IF(INDEX('Surface DEET'!$Q$9:$W$38,COLUMN(K164)-COLUMN($E$5),7)&gt;0,INDEX('Surface DEET'!$Q$9:$W$38,COLUMN(K164)-COLUMN($E$5),7),$E171),0)</f>
        <v>0</v>
      </c>
      <c r="L171" s="281">
        <f>IF(L$6=$C171,IF(INDEX('Surface DEET'!$Q$9:$W$38,COLUMN(L164)-COLUMN($E$5),7)&gt;0,INDEX('Surface DEET'!$Q$9:$W$38,COLUMN(L164)-COLUMN($E$5),7),$E171),0)</f>
        <v>0</v>
      </c>
      <c r="M171" s="281">
        <f>IF(M$6=$C171,IF(INDEX('Surface DEET'!$Q$9:$W$38,COLUMN(M164)-COLUMN($E$5),7)&gt;0,INDEX('Surface DEET'!$Q$9:$W$38,COLUMN(M164)-COLUMN($E$5),7),$E171),0)</f>
        <v>0</v>
      </c>
      <c r="N171" s="281">
        <f>IF(N$6=$C171,IF(INDEX('Surface DEET'!$Q$9:$W$38,COLUMN(N164)-COLUMN($E$5),7)&gt;0,INDEX('Surface DEET'!$Q$9:$W$38,COLUMN(N164)-COLUMN($E$5),7),$E171),0)</f>
        <v>0</v>
      </c>
      <c r="O171" s="281">
        <f>IF(O$6=$C171,IF(INDEX('Surface DEET'!$Q$9:$W$38,COLUMN(O164)-COLUMN($E$5),7)&gt;0,INDEX('Surface DEET'!$Q$9:$W$38,COLUMN(O164)-COLUMN($E$5),7),$E171),0)</f>
        <v>0</v>
      </c>
      <c r="P171" s="281">
        <f>IF(P$6=$C171,IF(INDEX('Surface DEET'!$Q$9:$W$38,COLUMN(P164)-COLUMN($E$5),7)&gt;0,INDEX('Surface DEET'!$Q$9:$W$38,COLUMN(P164)-COLUMN($E$5),7),$E171),0)</f>
        <v>0</v>
      </c>
      <c r="Q171" s="281">
        <f>IF(Q$6=$C171,IF(INDEX('Surface DEET'!$Q$9:$W$38,COLUMN(Q164)-COLUMN($E$5),7)&gt;0,INDEX('Surface DEET'!$Q$9:$W$38,COLUMN(Q164)-COLUMN($E$5),7),$E171),0)</f>
        <v>0</v>
      </c>
      <c r="R171" s="281">
        <f>IF(R$6=$C171,IF(INDEX('Surface DEET'!$Q$9:$W$38,COLUMN(R164)-COLUMN($E$5),7)&gt;0,INDEX('Surface DEET'!$Q$9:$W$38,COLUMN(R164)-COLUMN($E$5),7),$E171),0)</f>
        <v>0</v>
      </c>
      <c r="S171" s="281">
        <f>IF(S$6=$C171,IF(INDEX('Surface DEET'!$Q$9:$W$38,COLUMN(S164)-COLUMN($E$5),7)&gt;0,INDEX('Surface DEET'!$Q$9:$W$38,COLUMN(S164)-COLUMN($E$5),7),$E171),0)</f>
        <v>0</v>
      </c>
      <c r="T171" s="281">
        <f>IF(T$6=$C171,IF(INDEX('Surface DEET'!$Q$9:$W$38,COLUMN(T164)-COLUMN($E$5),7)&gt;0,INDEX('Surface DEET'!$Q$9:$W$38,COLUMN(T164)-COLUMN($E$5),7),$E171),0)</f>
        <v>0</v>
      </c>
      <c r="U171" s="281">
        <f>IF(U$6=$C171,IF(INDEX('Surface DEET'!$Q$9:$W$38,COLUMN(U164)-COLUMN($E$5),7)&gt;0,INDEX('Surface DEET'!$Q$9:$W$38,COLUMN(U164)-COLUMN($E$5),7),$E171),0)</f>
        <v>0</v>
      </c>
      <c r="V171" s="281">
        <f>IF(V$6=$C171,IF(INDEX('Surface DEET'!$Q$9:$W$38,COLUMN(V164)-COLUMN($E$5),7)&gt;0,INDEX('Surface DEET'!$Q$9:$W$38,COLUMN(V164)-COLUMN($E$5),7),$E171),0)</f>
        <v>0</v>
      </c>
      <c r="W171" s="281">
        <f>IF(W$6=$C171,IF(INDEX('Surface DEET'!$Q$9:$W$38,COLUMN(W164)-COLUMN($E$5),7)&gt;0,INDEX('Surface DEET'!$Q$9:$W$38,COLUMN(W164)-COLUMN($E$5),7),$E171),0)</f>
        <v>0</v>
      </c>
      <c r="X171" s="281">
        <f>IF(X$6=$C171,IF(INDEX('Surface DEET'!$Q$9:$W$38,COLUMN(X164)-COLUMN($E$5),7)&gt;0,INDEX('Surface DEET'!$Q$9:$W$38,COLUMN(X164)-COLUMN($E$5),7),$E171),0)</f>
        <v>0</v>
      </c>
      <c r="Y171" s="281">
        <f>IF(Y$6=$C171,IF(INDEX('Surface DEET'!$Q$9:$W$38,COLUMN(Y164)-COLUMN($E$5),7)&gt;0,INDEX('Surface DEET'!$Q$9:$W$38,COLUMN(Y164)-COLUMN($E$5),7),$E171),0)</f>
        <v>0</v>
      </c>
      <c r="Z171" s="281">
        <f>IF(Z$6=$C171,IF(INDEX('Surface DEET'!$Q$9:$W$38,COLUMN(Z164)-COLUMN($E$5),7)&gt;0,INDEX('Surface DEET'!$Q$9:$W$38,COLUMN(Z164)-COLUMN($E$5),7),$E171),0)</f>
        <v>0</v>
      </c>
      <c r="AA171" s="281">
        <f>IF(AA$6=$C171,IF(INDEX('Surface DEET'!$Q$9:$W$38,COLUMN(AA164)-COLUMN($E$5),7)&gt;0,INDEX('Surface DEET'!$Q$9:$W$38,COLUMN(AA164)-COLUMN($E$5),7),$E171),0)</f>
        <v>0</v>
      </c>
      <c r="AB171" s="281">
        <f>IF(AB$6=$C171,IF(INDEX('Surface DEET'!$Q$9:$W$38,COLUMN(AB164)-COLUMN($E$5),7)&gt;0,INDEX('Surface DEET'!$Q$9:$W$38,COLUMN(AB164)-COLUMN($E$5),7),$E171),0)</f>
        <v>0</v>
      </c>
      <c r="AC171" s="281">
        <f>IF(AC$6=$C171,IF(INDEX('Surface DEET'!$Q$9:$W$38,COLUMN(AC164)-COLUMN($E$5),7)&gt;0,INDEX('Surface DEET'!$Q$9:$W$38,COLUMN(AC164)-COLUMN($E$5),7),$E171),0)</f>
        <v>0</v>
      </c>
      <c r="AD171" s="281">
        <f>IF(AD$6=$C171,IF(INDEX('Surface DEET'!$Q$9:$W$38,COLUMN(AD164)-COLUMN($E$5),7)&gt;0,INDEX('Surface DEET'!$Q$9:$W$38,COLUMN(AD164)-COLUMN($E$5),7),$E171),0)</f>
        <v>0</v>
      </c>
      <c r="AE171" s="281">
        <f>IF(AE$6=$C171,IF(INDEX('Surface DEET'!$Q$9:$W$38,COLUMN(AE164)-COLUMN($E$5),7)&gt;0,INDEX('Surface DEET'!$Q$9:$W$38,COLUMN(AE164)-COLUMN($E$5),7),$E171),0)</f>
        <v>0</v>
      </c>
      <c r="AF171" s="281">
        <f>IF(AF$6=$C171,IF(INDEX('Surface DEET'!$Q$9:$W$38,COLUMN(AF164)-COLUMN($E$5),7)&gt;0,INDEX('Surface DEET'!$Q$9:$W$38,COLUMN(AF164)-COLUMN($E$5),7),$E171),0)</f>
        <v>0</v>
      </c>
      <c r="AG171" s="281">
        <f>IF(AG$6=$C171,IF(INDEX('Surface DEET'!$Q$9:$W$38,COLUMN(AG164)-COLUMN($E$5),7)&gt;0,INDEX('Surface DEET'!$Q$9:$W$38,COLUMN(AG164)-COLUMN($E$5),7),$E171),0)</f>
        <v>0</v>
      </c>
      <c r="AH171" s="281">
        <f>IF(AH$6=$C171,IF(INDEX('Surface DEET'!$Q$9:$W$38,COLUMN(AH164)-COLUMN($E$5),7)&gt;0,INDEX('Surface DEET'!$Q$9:$W$38,COLUMN(AH164)-COLUMN($E$5),7),$E171),0)</f>
        <v>0</v>
      </c>
      <c r="AI171" s="281">
        <f>IF(AI$6=$C171,IF(INDEX('Surface DEET'!$Q$9:$W$38,COLUMN(AI164)-COLUMN($E$5),7)&gt;0,INDEX('Surface DEET'!$Q$9:$W$38,COLUMN(AI164)-COLUMN($E$5),7),$E171),0)</f>
        <v>0</v>
      </c>
    </row>
    <row r="172" spans="1:35">
      <c r="B172" s="281" t="s">
        <v>538</v>
      </c>
      <c r="C172" s="281" t="s">
        <v>637</v>
      </c>
      <c r="D172" s="281" t="s">
        <v>538</v>
      </c>
      <c r="F172" s="281">
        <f>IFERROR($E$166*(F169/$E$169+$E$168*(F171/$E$171)*($E$170/F170)+(1-$E$168))+0.28*$E$165*(F169-$E$169)/$E$169,0)</f>
        <v>0</v>
      </c>
      <c r="G172" s="281">
        <f t="shared" ref="G172:AI172" si="20">IFERROR($E$166*(G169/$E$169+$E$168*(G171/$E$171)*($E$170/G170)+(1-$E$168))+0.28*$E$165*(G169-$E$169)/$E$169,0)</f>
        <v>0</v>
      </c>
      <c r="H172" s="281">
        <f t="shared" si="20"/>
        <v>0</v>
      </c>
      <c r="I172" s="281">
        <f t="shared" si="20"/>
        <v>0</v>
      </c>
      <c r="J172" s="281">
        <f t="shared" si="20"/>
        <v>0</v>
      </c>
      <c r="K172" s="281">
        <f t="shared" si="20"/>
        <v>0</v>
      </c>
      <c r="L172" s="281">
        <f t="shared" si="20"/>
        <v>0</v>
      </c>
      <c r="M172" s="281">
        <f t="shared" si="20"/>
        <v>0</v>
      </c>
      <c r="N172" s="281">
        <f t="shared" si="20"/>
        <v>0</v>
      </c>
      <c r="O172" s="281">
        <f t="shared" si="20"/>
        <v>0</v>
      </c>
      <c r="P172" s="281">
        <f t="shared" si="20"/>
        <v>0</v>
      </c>
      <c r="Q172" s="281">
        <f t="shared" si="20"/>
        <v>0</v>
      </c>
      <c r="R172" s="281">
        <f t="shared" si="20"/>
        <v>0</v>
      </c>
      <c r="S172" s="281">
        <f t="shared" si="20"/>
        <v>0</v>
      </c>
      <c r="T172" s="281">
        <f t="shared" si="20"/>
        <v>0</v>
      </c>
      <c r="U172" s="281">
        <f t="shared" si="20"/>
        <v>0</v>
      </c>
      <c r="V172" s="281">
        <f t="shared" si="20"/>
        <v>0</v>
      </c>
      <c r="W172" s="281">
        <f t="shared" si="20"/>
        <v>0</v>
      </c>
      <c r="X172" s="281">
        <f t="shared" si="20"/>
        <v>0</v>
      </c>
      <c r="Y172" s="281">
        <f t="shared" si="20"/>
        <v>0</v>
      </c>
      <c r="Z172" s="281">
        <f t="shared" si="20"/>
        <v>0</v>
      </c>
      <c r="AA172" s="281">
        <f t="shared" si="20"/>
        <v>0</v>
      </c>
      <c r="AB172" s="281">
        <f t="shared" si="20"/>
        <v>0</v>
      </c>
      <c r="AC172" s="281">
        <f t="shared" si="20"/>
        <v>0</v>
      </c>
      <c r="AD172" s="281">
        <f t="shared" si="20"/>
        <v>0</v>
      </c>
      <c r="AE172" s="281">
        <f t="shared" si="20"/>
        <v>0</v>
      </c>
      <c r="AF172" s="281">
        <f t="shared" si="20"/>
        <v>0</v>
      </c>
      <c r="AG172" s="281">
        <f t="shared" si="20"/>
        <v>0</v>
      </c>
      <c r="AH172" s="281">
        <f t="shared" si="20"/>
        <v>0</v>
      </c>
      <c r="AI172" s="281">
        <f t="shared" si="20"/>
        <v>0</v>
      </c>
    </row>
    <row r="173" spans="1:35">
      <c r="B173" s="92" t="s">
        <v>298</v>
      </c>
      <c r="C173" s="281" t="s">
        <v>640</v>
      </c>
      <c r="D173" s="92" t="s">
        <v>298</v>
      </c>
      <c r="E173" s="281">
        <f t="array" ref="E173">INDEX(CABS_CVC!$C$3:$O$894,MATCH(1, (CABS_CVC!$A$3:$A$894=Calculs_CABS!C173)*(CABS_CVC!$B$3:$B$894=Calculs_CABS!$D$2),0),MATCH(Calculs_CABS!$D$1,Liste_CABS!$B$3:$B$15,0))</f>
        <v>99</v>
      </c>
    </row>
    <row r="174" spans="1:35">
      <c r="B174" s="281" t="s">
        <v>539</v>
      </c>
      <c r="C174" s="281" t="s">
        <v>640</v>
      </c>
      <c r="D174" s="281" t="s">
        <v>539</v>
      </c>
      <c r="E174" s="281">
        <v>501</v>
      </c>
    </row>
    <row r="175" spans="1:35">
      <c r="B175" s="281" t="s">
        <v>540</v>
      </c>
      <c r="C175" s="281" t="s">
        <v>640</v>
      </c>
      <c r="D175" s="281" t="s">
        <v>540</v>
      </c>
      <c r="E175" s="281">
        <f>E173+E174</f>
        <v>600</v>
      </c>
    </row>
    <row r="176" spans="1:35">
      <c r="B176" s="281" t="s">
        <v>541</v>
      </c>
      <c r="C176" s="281" t="s">
        <v>640</v>
      </c>
      <c r="D176" s="281" t="s">
        <v>541</v>
      </c>
      <c r="E176" s="281">
        <v>0.94</v>
      </c>
    </row>
    <row r="177" spans="2:35">
      <c r="B177" s="281" t="s">
        <v>542</v>
      </c>
      <c r="C177" s="281" t="s">
        <v>640</v>
      </c>
      <c r="D177" s="281" t="s">
        <v>641</v>
      </c>
      <c r="E177" s="281">
        <v>3510</v>
      </c>
      <c r="F177" s="281">
        <f>IF(F$6=$C177,IF(INDEX('Surface DEET'!$Q$9:$W$38,COLUMN(F170)-COLUMN($E$5),1)&gt;0,INDEX('Surface DEET'!$Q$9:$W$38,COLUMN(F170)-COLUMN($E$5),1),$E177),0)</f>
        <v>0</v>
      </c>
      <c r="G177" s="281">
        <f>IF(G$6=$C177,IF(INDEX('Surface DEET'!$Q$9:$W$38,COLUMN(G170)-COLUMN($E$5),1)&gt;0,INDEX('Surface DEET'!$Q$9:$W$38,COLUMN(G170)-COLUMN($E$5),1),$E177),0)</f>
        <v>0</v>
      </c>
      <c r="H177" s="281">
        <f>IF(H$6=$C177,IF(INDEX('Surface DEET'!$Q$9:$W$38,COLUMN(H170)-COLUMN($E$5),1)&gt;0,INDEX('Surface DEET'!$Q$9:$W$38,COLUMN(H170)-COLUMN($E$5),1),$E177),0)</f>
        <v>0</v>
      </c>
      <c r="I177" s="281">
        <f>IF(I$6=$C177,IF(INDEX('Surface DEET'!$Q$9:$W$38,COLUMN(I170)-COLUMN($E$5),1)&gt;0,INDEX('Surface DEET'!$Q$9:$W$38,COLUMN(I170)-COLUMN($E$5),1),$E177),0)</f>
        <v>0</v>
      </c>
      <c r="J177" s="281">
        <f>IF(J$6=$C177,IF(INDEX('Surface DEET'!$Q$9:$W$38,COLUMN(J170)-COLUMN($E$5),1)&gt;0,INDEX('Surface DEET'!$Q$9:$W$38,COLUMN(J170)-COLUMN($E$5),1),$E177),0)</f>
        <v>0</v>
      </c>
      <c r="K177" s="281">
        <f>IF(K$6=$C177,IF(INDEX('Surface DEET'!$Q$9:$W$38,COLUMN(K170)-COLUMN($E$5),1)&gt;0,INDEX('Surface DEET'!$Q$9:$W$38,COLUMN(K170)-COLUMN($E$5),1),$E177),0)</f>
        <v>0</v>
      </c>
      <c r="L177" s="281">
        <f>IF(L$6=$C177,IF(INDEX('Surface DEET'!$Q$9:$W$38,COLUMN(L170)-COLUMN($E$5),1)&gt;0,INDEX('Surface DEET'!$Q$9:$W$38,COLUMN(L170)-COLUMN($E$5),1),$E177),0)</f>
        <v>0</v>
      </c>
      <c r="M177" s="281">
        <f>IF(M$6=$C177,IF(INDEX('Surface DEET'!$Q$9:$W$38,COLUMN(M170)-COLUMN($E$5),1)&gt;0,INDEX('Surface DEET'!$Q$9:$W$38,COLUMN(M170)-COLUMN($E$5),1),$E177),0)</f>
        <v>0</v>
      </c>
      <c r="N177" s="281">
        <f>IF(N$6=$C177,IF(INDEX('Surface DEET'!$Q$9:$W$38,COLUMN(N170)-COLUMN($E$5),1)&gt;0,INDEX('Surface DEET'!$Q$9:$W$38,COLUMN(N170)-COLUMN($E$5),1),$E177),0)</f>
        <v>0</v>
      </c>
      <c r="O177" s="281">
        <f>IF(O$6=$C177,IF(INDEX('Surface DEET'!$Q$9:$W$38,COLUMN(O170)-COLUMN($E$5),1)&gt;0,INDEX('Surface DEET'!$Q$9:$W$38,COLUMN(O170)-COLUMN($E$5),1),$E177),0)</f>
        <v>0</v>
      </c>
      <c r="P177" s="281">
        <f>IF(P$6=$C177,IF(INDEX('Surface DEET'!$Q$9:$W$38,COLUMN(P170)-COLUMN($E$5),1)&gt;0,INDEX('Surface DEET'!$Q$9:$W$38,COLUMN(P170)-COLUMN($E$5),1),$E177),0)</f>
        <v>0</v>
      </c>
      <c r="Q177" s="281">
        <f>IF(Q$6=$C177,IF(INDEX('Surface DEET'!$Q$9:$W$38,COLUMN(Q170)-COLUMN($E$5),1)&gt;0,INDEX('Surface DEET'!$Q$9:$W$38,COLUMN(Q170)-COLUMN($E$5),1),$E177),0)</f>
        <v>0</v>
      </c>
      <c r="R177" s="281">
        <f>IF(R$6=$C177,IF(INDEX('Surface DEET'!$Q$9:$W$38,COLUMN(R170)-COLUMN($E$5),1)&gt;0,INDEX('Surface DEET'!$Q$9:$W$38,COLUMN(R170)-COLUMN($E$5),1),$E177),0)</f>
        <v>0</v>
      </c>
      <c r="S177" s="281">
        <f>IF(S$6=$C177,IF(INDEX('Surface DEET'!$Q$9:$W$38,COLUMN(S170)-COLUMN($E$5),1)&gt;0,INDEX('Surface DEET'!$Q$9:$W$38,COLUMN(S170)-COLUMN($E$5),1),$E177),0)</f>
        <v>0</v>
      </c>
      <c r="T177" s="281">
        <f>IF(T$6=$C177,IF(INDEX('Surface DEET'!$Q$9:$W$38,COLUMN(T170)-COLUMN($E$5),1)&gt;0,INDEX('Surface DEET'!$Q$9:$W$38,COLUMN(T170)-COLUMN($E$5),1),$E177),0)</f>
        <v>0</v>
      </c>
      <c r="U177" s="281">
        <f>IF(U$6=$C177,IF(INDEX('Surface DEET'!$Q$9:$W$38,COLUMN(U170)-COLUMN($E$5),1)&gt;0,INDEX('Surface DEET'!$Q$9:$W$38,COLUMN(U170)-COLUMN($E$5),1),$E177),0)</f>
        <v>0</v>
      </c>
      <c r="V177" s="281">
        <f>IF(V$6=$C177,IF(INDEX('Surface DEET'!$Q$9:$W$38,COLUMN(V170)-COLUMN($E$5),1)&gt;0,INDEX('Surface DEET'!$Q$9:$W$38,COLUMN(V170)-COLUMN($E$5),1),$E177),0)</f>
        <v>0</v>
      </c>
      <c r="W177" s="281">
        <f>IF(W$6=$C177,IF(INDEX('Surface DEET'!$Q$9:$W$38,COLUMN(W170)-COLUMN($E$5),1)&gt;0,INDEX('Surface DEET'!$Q$9:$W$38,COLUMN(W170)-COLUMN($E$5),1),$E177),0)</f>
        <v>0</v>
      </c>
      <c r="X177" s="281">
        <f>IF(X$6=$C177,IF(INDEX('Surface DEET'!$Q$9:$W$38,COLUMN(X170)-COLUMN($E$5),1)&gt;0,INDEX('Surface DEET'!$Q$9:$W$38,COLUMN(X170)-COLUMN($E$5),1),$E177),0)</f>
        <v>0</v>
      </c>
      <c r="Y177" s="281">
        <f>IF(Y$6=$C177,IF(INDEX('Surface DEET'!$Q$9:$W$38,COLUMN(Y170)-COLUMN($E$5),1)&gt;0,INDEX('Surface DEET'!$Q$9:$W$38,COLUMN(Y170)-COLUMN($E$5),1),$E177),0)</f>
        <v>0</v>
      </c>
      <c r="Z177" s="281">
        <f>IF(Z$6=$C177,IF(INDEX('Surface DEET'!$Q$9:$W$38,COLUMN(Z170)-COLUMN($E$5),1)&gt;0,INDEX('Surface DEET'!$Q$9:$W$38,COLUMN(Z170)-COLUMN($E$5),1),$E177),0)</f>
        <v>0</v>
      </c>
      <c r="AA177" s="281">
        <f>IF(AA$6=$C177,IF(INDEX('Surface DEET'!$Q$9:$W$38,COLUMN(AA170)-COLUMN($E$5),1)&gt;0,INDEX('Surface DEET'!$Q$9:$W$38,COLUMN(AA170)-COLUMN($E$5),1),$E177),0)</f>
        <v>0</v>
      </c>
      <c r="AB177" s="281">
        <f>IF(AB$6=$C177,IF(INDEX('Surface DEET'!$Q$9:$W$38,COLUMN(AB170)-COLUMN($E$5),1)&gt;0,INDEX('Surface DEET'!$Q$9:$W$38,COLUMN(AB170)-COLUMN($E$5),1),$E177),0)</f>
        <v>0</v>
      </c>
      <c r="AC177" s="281">
        <f>IF(AC$6=$C177,IF(INDEX('Surface DEET'!$Q$9:$W$38,COLUMN(AC170)-COLUMN($E$5),1)&gt;0,INDEX('Surface DEET'!$Q$9:$W$38,COLUMN(AC170)-COLUMN($E$5),1),$E177),0)</f>
        <v>0</v>
      </c>
      <c r="AD177" s="281">
        <f>IF(AD$6=$C177,IF(INDEX('Surface DEET'!$Q$9:$W$38,COLUMN(AD170)-COLUMN($E$5),1)&gt;0,INDEX('Surface DEET'!$Q$9:$W$38,COLUMN(AD170)-COLUMN($E$5),1),$E177),0)</f>
        <v>0</v>
      </c>
      <c r="AE177" s="281">
        <f>IF(AE$6=$C177,IF(INDEX('Surface DEET'!$Q$9:$W$38,COLUMN(AE170)-COLUMN($E$5),1)&gt;0,INDEX('Surface DEET'!$Q$9:$W$38,COLUMN(AE170)-COLUMN($E$5),1),$E177),0)</f>
        <v>0</v>
      </c>
      <c r="AF177" s="281">
        <f>IF(AF$6=$C177,IF(INDEX('Surface DEET'!$Q$9:$W$38,COLUMN(AF170)-COLUMN($E$5),1)&gt;0,INDEX('Surface DEET'!$Q$9:$W$38,COLUMN(AF170)-COLUMN($E$5),1),$E177),0)</f>
        <v>0</v>
      </c>
      <c r="AG177" s="281">
        <f>IF(AG$6=$C177,IF(INDEX('Surface DEET'!$Q$9:$W$38,COLUMN(AG170)-COLUMN($E$5),1)&gt;0,INDEX('Surface DEET'!$Q$9:$W$38,COLUMN(AG170)-COLUMN($E$5),1),$E177),0)</f>
        <v>0</v>
      </c>
      <c r="AH177" s="281">
        <f>IF(AH$6=$C177,IF(INDEX('Surface DEET'!$Q$9:$W$38,COLUMN(AH170)-COLUMN($E$5),1)&gt;0,INDEX('Surface DEET'!$Q$9:$W$38,COLUMN(AH170)-COLUMN($E$5),1),$E177),0)</f>
        <v>0</v>
      </c>
      <c r="AI177" s="281">
        <f>IF(AI$6=$C177,IF(INDEX('Surface DEET'!$Q$9:$W$38,COLUMN(AI170)-COLUMN($E$5),1)&gt;0,INDEX('Surface DEET'!$Q$9:$W$38,COLUMN(AI170)-COLUMN($E$5),1),$E177),0)</f>
        <v>0</v>
      </c>
    </row>
    <row r="178" spans="2:35">
      <c r="B178" s="281" t="s">
        <v>545</v>
      </c>
      <c r="C178" s="281" t="s">
        <v>640</v>
      </c>
      <c r="D178" s="281" t="s">
        <v>642</v>
      </c>
      <c r="E178" s="281">
        <v>409</v>
      </c>
      <c r="F178" s="281">
        <f>IF(F$6=$C178,IF(INDEX('Surface DEET'!$Q$9:$W$38,COLUMN(F171)-COLUMN($E$5),4)&gt;0,INDEX('Surface DEET'!$Q$9:$W$38,COLUMN(F171)-COLUMN($E$5),4),$E178),0)</f>
        <v>0</v>
      </c>
      <c r="G178" s="281">
        <f>IF(G$6=$C178,IF(INDEX('Surface DEET'!$Q$9:$W$38,COLUMN(G171)-COLUMN($E$5),4)&gt;0,INDEX('Surface DEET'!$Q$9:$W$38,COLUMN(G171)-COLUMN($E$5),4),$E178),0)</f>
        <v>0</v>
      </c>
      <c r="H178" s="281">
        <f>IF(H$6=$C178,IF(INDEX('Surface DEET'!$Q$9:$W$38,COLUMN(H171)-COLUMN($E$5),4)&gt;0,INDEX('Surface DEET'!$Q$9:$W$38,COLUMN(H171)-COLUMN($E$5),4),$E178),0)</f>
        <v>0</v>
      </c>
      <c r="I178" s="281">
        <f>IF(I$6=$C178,IF(INDEX('Surface DEET'!$Q$9:$W$38,COLUMN(I171)-COLUMN($E$5),4)&gt;0,INDEX('Surface DEET'!$Q$9:$W$38,COLUMN(I171)-COLUMN($E$5),4),$E178),0)</f>
        <v>0</v>
      </c>
      <c r="J178" s="281">
        <f>IF(J$6=$C178,IF(INDEX('Surface DEET'!$Q$9:$W$38,COLUMN(J171)-COLUMN($E$5),4)&gt;0,INDEX('Surface DEET'!$Q$9:$W$38,COLUMN(J171)-COLUMN($E$5),4),$E178),0)</f>
        <v>0</v>
      </c>
      <c r="K178" s="281">
        <f>IF(K$6=$C178,IF(INDEX('Surface DEET'!$Q$9:$W$38,COLUMN(K171)-COLUMN($E$5),4)&gt;0,INDEX('Surface DEET'!$Q$9:$W$38,COLUMN(K171)-COLUMN($E$5),4),$E178),0)</f>
        <v>0</v>
      </c>
      <c r="L178" s="281">
        <f>IF(L$6=$C178,IF(INDEX('Surface DEET'!$Q$9:$W$38,COLUMN(L171)-COLUMN($E$5),4)&gt;0,INDEX('Surface DEET'!$Q$9:$W$38,COLUMN(L171)-COLUMN($E$5),4),$E178),0)</f>
        <v>0</v>
      </c>
      <c r="M178" s="281">
        <f>IF(M$6=$C178,IF(INDEX('Surface DEET'!$Q$9:$W$38,COLUMN(M171)-COLUMN($E$5),4)&gt;0,INDEX('Surface DEET'!$Q$9:$W$38,COLUMN(M171)-COLUMN($E$5),4),$E178),0)</f>
        <v>0</v>
      </c>
      <c r="N178" s="281">
        <f>IF(N$6=$C178,IF(INDEX('Surface DEET'!$Q$9:$W$38,COLUMN(N171)-COLUMN($E$5),4)&gt;0,INDEX('Surface DEET'!$Q$9:$W$38,COLUMN(N171)-COLUMN($E$5),4),$E178),0)</f>
        <v>0</v>
      </c>
      <c r="O178" s="281">
        <f>IF(O$6=$C178,IF(INDEX('Surface DEET'!$Q$9:$W$38,COLUMN(O171)-COLUMN($E$5),4)&gt;0,INDEX('Surface DEET'!$Q$9:$W$38,COLUMN(O171)-COLUMN($E$5),4),$E178),0)</f>
        <v>0</v>
      </c>
      <c r="P178" s="281">
        <f>IF(P$6=$C178,IF(INDEX('Surface DEET'!$Q$9:$W$38,COLUMN(P171)-COLUMN($E$5),4)&gt;0,INDEX('Surface DEET'!$Q$9:$W$38,COLUMN(P171)-COLUMN($E$5),4),$E178),0)</f>
        <v>0</v>
      </c>
      <c r="Q178" s="281">
        <f>IF(Q$6=$C178,IF(INDEX('Surface DEET'!$Q$9:$W$38,COLUMN(Q171)-COLUMN($E$5),4)&gt;0,INDEX('Surface DEET'!$Q$9:$W$38,COLUMN(Q171)-COLUMN($E$5),4),$E178),0)</f>
        <v>0</v>
      </c>
      <c r="R178" s="281">
        <f>IF(R$6=$C178,IF(INDEX('Surface DEET'!$Q$9:$W$38,COLUMN(R171)-COLUMN($E$5),4)&gt;0,INDEX('Surface DEET'!$Q$9:$W$38,COLUMN(R171)-COLUMN($E$5),4),$E178),0)</f>
        <v>0</v>
      </c>
      <c r="S178" s="281">
        <f>IF(S$6=$C178,IF(INDEX('Surface DEET'!$Q$9:$W$38,COLUMN(S171)-COLUMN($E$5),4)&gt;0,INDEX('Surface DEET'!$Q$9:$W$38,COLUMN(S171)-COLUMN($E$5),4),$E178),0)</f>
        <v>0</v>
      </c>
      <c r="T178" s="281">
        <f>IF(T$6=$C178,IF(INDEX('Surface DEET'!$Q$9:$W$38,COLUMN(T171)-COLUMN($E$5),4)&gt;0,INDEX('Surface DEET'!$Q$9:$W$38,COLUMN(T171)-COLUMN($E$5),4),$E178),0)</f>
        <v>0</v>
      </c>
      <c r="U178" s="281">
        <f>IF(U$6=$C178,IF(INDEX('Surface DEET'!$Q$9:$W$38,COLUMN(U171)-COLUMN($E$5),4)&gt;0,INDEX('Surface DEET'!$Q$9:$W$38,COLUMN(U171)-COLUMN($E$5),4),$E178),0)</f>
        <v>0</v>
      </c>
      <c r="V178" s="281">
        <f>IF(V$6=$C178,IF(INDEX('Surface DEET'!$Q$9:$W$38,COLUMN(V171)-COLUMN($E$5),4)&gt;0,INDEX('Surface DEET'!$Q$9:$W$38,COLUMN(V171)-COLUMN($E$5),4),$E178),0)</f>
        <v>0</v>
      </c>
      <c r="W178" s="281">
        <f>IF(W$6=$C178,IF(INDEX('Surface DEET'!$Q$9:$W$38,COLUMN(W171)-COLUMN($E$5),4)&gt;0,INDEX('Surface DEET'!$Q$9:$W$38,COLUMN(W171)-COLUMN($E$5),4),$E178),0)</f>
        <v>0</v>
      </c>
      <c r="X178" s="281">
        <f>IF(X$6=$C178,IF(INDEX('Surface DEET'!$Q$9:$W$38,COLUMN(X171)-COLUMN($E$5),4)&gt;0,INDEX('Surface DEET'!$Q$9:$W$38,COLUMN(X171)-COLUMN($E$5),4),$E178),0)</f>
        <v>0</v>
      </c>
      <c r="Y178" s="281">
        <f>IF(Y$6=$C178,IF(INDEX('Surface DEET'!$Q$9:$W$38,COLUMN(Y171)-COLUMN($E$5),4)&gt;0,INDEX('Surface DEET'!$Q$9:$W$38,COLUMN(Y171)-COLUMN($E$5),4),$E178),0)</f>
        <v>0</v>
      </c>
      <c r="Z178" s="281">
        <f>IF(Z$6=$C178,IF(INDEX('Surface DEET'!$Q$9:$W$38,COLUMN(Z171)-COLUMN($E$5),4)&gt;0,INDEX('Surface DEET'!$Q$9:$W$38,COLUMN(Z171)-COLUMN($E$5),4),$E178),0)</f>
        <v>0</v>
      </c>
      <c r="AA178" s="281">
        <f>IF(AA$6=$C178,IF(INDEX('Surface DEET'!$Q$9:$W$38,COLUMN(AA171)-COLUMN($E$5),4)&gt;0,INDEX('Surface DEET'!$Q$9:$W$38,COLUMN(AA171)-COLUMN($E$5),4),$E178),0)</f>
        <v>0</v>
      </c>
      <c r="AB178" s="281">
        <f>IF(AB$6=$C178,IF(INDEX('Surface DEET'!$Q$9:$W$38,COLUMN(AB171)-COLUMN($E$5),4)&gt;0,INDEX('Surface DEET'!$Q$9:$W$38,COLUMN(AB171)-COLUMN($E$5),4),$E178),0)</f>
        <v>0</v>
      </c>
      <c r="AC178" s="281">
        <f>IF(AC$6=$C178,IF(INDEX('Surface DEET'!$Q$9:$W$38,COLUMN(AC171)-COLUMN($E$5),4)&gt;0,INDEX('Surface DEET'!$Q$9:$W$38,COLUMN(AC171)-COLUMN($E$5),4),$E178),0)</f>
        <v>0</v>
      </c>
      <c r="AD178" s="281">
        <f>IF(AD$6=$C178,IF(INDEX('Surface DEET'!$Q$9:$W$38,COLUMN(AD171)-COLUMN($E$5),4)&gt;0,INDEX('Surface DEET'!$Q$9:$W$38,COLUMN(AD171)-COLUMN($E$5),4),$E178),0)</f>
        <v>0</v>
      </c>
      <c r="AE178" s="281">
        <f>IF(AE$6=$C178,IF(INDEX('Surface DEET'!$Q$9:$W$38,COLUMN(AE171)-COLUMN($E$5),4)&gt;0,INDEX('Surface DEET'!$Q$9:$W$38,COLUMN(AE171)-COLUMN($E$5),4),$E178),0)</f>
        <v>0</v>
      </c>
      <c r="AF178" s="281">
        <f>IF(AF$6=$C178,IF(INDEX('Surface DEET'!$Q$9:$W$38,COLUMN(AF171)-COLUMN($E$5),4)&gt;0,INDEX('Surface DEET'!$Q$9:$W$38,COLUMN(AF171)-COLUMN($E$5),4),$E178),0)</f>
        <v>0</v>
      </c>
      <c r="AG178" s="281">
        <f>IF(AG$6=$C178,IF(INDEX('Surface DEET'!$Q$9:$W$38,COLUMN(AG171)-COLUMN($E$5),4)&gt;0,INDEX('Surface DEET'!$Q$9:$W$38,COLUMN(AG171)-COLUMN($E$5),4),$E178),0)</f>
        <v>0</v>
      </c>
      <c r="AH178" s="281">
        <f>IF(AH$6=$C178,IF(INDEX('Surface DEET'!$Q$9:$W$38,COLUMN(AH171)-COLUMN($E$5),4)&gt;0,INDEX('Surface DEET'!$Q$9:$W$38,COLUMN(AH171)-COLUMN($E$5),4),$E178),0)</f>
        <v>0</v>
      </c>
      <c r="AI178" s="281">
        <f>IF(AI$6=$C178,IF(INDEX('Surface DEET'!$Q$9:$W$38,COLUMN(AI171)-COLUMN($E$5),4)&gt;0,INDEX('Surface DEET'!$Q$9:$W$38,COLUMN(AI171)-COLUMN($E$5),4),$E178),0)</f>
        <v>0</v>
      </c>
    </row>
    <row r="179" spans="2:35">
      <c r="B179" s="281" t="s">
        <v>548</v>
      </c>
      <c r="C179" s="281" t="s">
        <v>640</v>
      </c>
    </row>
    <row r="180" spans="2:35">
      <c r="B180" s="281" t="s">
        <v>538</v>
      </c>
      <c r="C180" s="281" t="s">
        <v>640</v>
      </c>
      <c r="D180" s="281" t="s">
        <v>538</v>
      </c>
      <c r="F180" s="281">
        <f>IFERROR($E$174*($E$176*(F178/$E$178)+(1-$E$176)*(F177/$E$177))+0.28*$E$173*((F177-$E$177)/$E$177),0)</f>
        <v>-27.720000000000002</v>
      </c>
      <c r="G180" s="281">
        <f t="shared" ref="G180:AI180" si="21">IFERROR($E$174*($E$176*(G178/$E$178)+(1-$E$176)*(G177/$E$177))+0.28*$E$173*((G177-$E$177)/$E$177),0)</f>
        <v>-27.720000000000002</v>
      </c>
      <c r="H180" s="281">
        <f t="shared" si="21"/>
        <v>-27.720000000000002</v>
      </c>
      <c r="I180" s="281">
        <f t="shared" si="21"/>
        <v>-27.720000000000002</v>
      </c>
      <c r="J180" s="281">
        <f t="shared" si="21"/>
        <v>-27.720000000000002</v>
      </c>
      <c r="K180" s="281">
        <f t="shared" si="21"/>
        <v>-27.720000000000002</v>
      </c>
      <c r="L180" s="281">
        <f t="shared" si="21"/>
        <v>-27.720000000000002</v>
      </c>
      <c r="M180" s="281">
        <f t="shared" si="21"/>
        <v>-27.720000000000002</v>
      </c>
      <c r="N180" s="281">
        <f t="shared" si="21"/>
        <v>-27.720000000000002</v>
      </c>
      <c r="O180" s="281">
        <f t="shared" si="21"/>
        <v>-27.720000000000002</v>
      </c>
      <c r="P180" s="281">
        <f t="shared" si="21"/>
        <v>-27.720000000000002</v>
      </c>
      <c r="Q180" s="281">
        <f t="shared" si="21"/>
        <v>-27.720000000000002</v>
      </c>
      <c r="R180" s="281">
        <f t="shared" si="21"/>
        <v>-27.720000000000002</v>
      </c>
      <c r="S180" s="281">
        <f t="shared" si="21"/>
        <v>-27.720000000000002</v>
      </c>
      <c r="T180" s="281">
        <f t="shared" si="21"/>
        <v>-27.720000000000002</v>
      </c>
      <c r="U180" s="281">
        <f t="shared" si="21"/>
        <v>-27.720000000000002</v>
      </c>
      <c r="V180" s="281">
        <f t="shared" si="21"/>
        <v>-27.720000000000002</v>
      </c>
      <c r="W180" s="281">
        <f t="shared" si="21"/>
        <v>-27.720000000000002</v>
      </c>
      <c r="X180" s="281">
        <f t="shared" si="21"/>
        <v>-27.720000000000002</v>
      </c>
      <c r="Y180" s="281">
        <f t="shared" si="21"/>
        <v>-27.720000000000002</v>
      </c>
      <c r="Z180" s="281">
        <f t="shared" si="21"/>
        <v>-27.720000000000002</v>
      </c>
      <c r="AA180" s="281">
        <f t="shared" si="21"/>
        <v>-27.720000000000002</v>
      </c>
      <c r="AB180" s="281">
        <f t="shared" si="21"/>
        <v>-27.720000000000002</v>
      </c>
      <c r="AC180" s="281">
        <f t="shared" si="21"/>
        <v>-27.720000000000002</v>
      </c>
      <c r="AD180" s="281">
        <f t="shared" si="21"/>
        <v>-27.720000000000002</v>
      </c>
      <c r="AE180" s="281">
        <f t="shared" si="21"/>
        <v>-27.720000000000002</v>
      </c>
      <c r="AF180" s="281">
        <f t="shared" si="21"/>
        <v>-27.720000000000002</v>
      </c>
      <c r="AG180" s="281">
        <f t="shared" si="21"/>
        <v>-27.720000000000002</v>
      </c>
      <c r="AH180" s="281">
        <f t="shared" si="21"/>
        <v>-27.720000000000002</v>
      </c>
      <c r="AI180" s="281">
        <f t="shared" si="21"/>
        <v>-27.720000000000002</v>
      </c>
    </row>
    <row r="181" spans="2:35">
      <c r="B181" s="92" t="s">
        <v>298</v>
      </c>
      <c r="C181" s="281" t="s">
        <v>643</v>
      </c>
      <c r="D181" s="92" t="s">
        <v>298</v>
      </c>
      <c r="E181" s="281">
        <v>0</v>
      </c>
    </row>
    <row r="182" spans="2:35">
      <c r="B182" s="281" t="s">
        <v>539</v>
      </c>
      <c r="C182" s="281" t="s">
        <v>643</v>
      </c>
      <c r="D182" s="281" t="s">
        <v>539</v>
      </c>
      <c r="E182" s="281">
        <v>380</v>
      </c>
    </row>
    <row r="183" spans="2:35">
      <c r="B183" s="281" t="s">
        <v>540</v>
      </c>
      <c r="C183" s="281" t="s">
        <v>643</v>
      </c>
      <c r="D183" s="281" t="s">
        <v>540</v>
      </c>
      <c r="E183" s="281">
        <f>E181+E182</f>
        <v>380</v>
      </c>
    </row>
    <row r="184" spans="2:35">
      <c r="B184" s="281" t="s">
        <v>541</v>
      </c>
      <c r="C184" s="281" t="s">
        <v>643</v>
      </c>
      <c r="D184" s="281" t="s">
        <v>541</v>
      </c>
      <c r="E184" s="281">
        <v>0</v>
      </c>
    </row>
    <row r="185" spans="2:35">
      <c r="B185" s="281" t="s">
        <v>542</v>
      </c>
      <c r="C185" s="281" t="s">
        <v>643</v>
      </c>
      <c r="D185" s="281" t="s">
        <v>602</v>
      </c>
      <c r="E185" s="281">
        <v>8760</v>
      </c>
      <c r="F185" s="281">
        <f>IF(F$6=$C185,IF(INDEX('Surface DEET'!$Q$9:$W$38,COLUMN(F178)-COLUMN($E$5),1)&gt;0,INDEX('Surface DEET'!$Q$9:$W$38,COLUMN(F178)-COLUMN($E$5),1),$E185),0)</f>
        <v>0</v>
      </c>
      <c r="G185" s="281">
        <f>IF(G$6=$C185,IF(INDEX('Surface DEET'!$Q$9:$W$38,COLUMN(G178)-COLUMN($E$5),1)&gt;0,INDEX('Surface DEET'!$Q$9:$W$38,COLUMN(G178)-COLUMN($E$5),1),$E185),0)</f>
        <v>0</v>
      </c>
      <c r="H185" s="281">
        <f>IF(H$6=$C185,IF(INDEX('Surface DEET'!$Q$9:$W$38,COLUMN(H178)-COLUMN($E$5),1)&gt;0,INDEX('Surface DEET'!$Q$9:$W$38,COLUMN(H178)-COLUMN($E$5),1),$E185),0)</f>
        <v>0</v>
      </c>
      <c r="I185" s="281">
        <f>IF(I$6=$C185,IF(INDEX('Surface DEET'!$Q$9:$W$38,COLUMN(I178)-COLUMN($E$5),1)&gt;0,INDEX('Surface DEET'!$Q$9:$W$38,COLUMN(I178)-COLUMN($E$5),1),$E185),0)</f>
        <v>0</v>
      </c>
      <c r="J185" s="281">
        <f>IF(J$6=$C185,IF(INDEX('Surface DEET'!$Q$9:$W$38,COLUMN(J178)-COLUMN($E$5),1)&gt;0,INDEX('Surface DEET'!$Q$9:$W$38,COLUMN(J178)-COLUMN($E$5),1),$E185),0)</f>
        <v>0</v>
      </c>
      <c r="K185" s="281">
        <f>IF(K$6=$C185,IF(INDEX('Surface DEET'!$Q$9:$W$38,COLUMN(K178)-COLUMN($E$5),1)&gt;0,INDEX('Surface DEET'!$Q$9:$W$38,COLUMN(K178)-COLUMN($E$5),1),$E185),0)</f>
        <v>0</v>
      </c>
      <c r="L185" s="281">
        <f>IF(L$6=$C185,IF(INDEX('Surface DEET'!$Q$9:$W$38,COLUMN(L178)-COLUMN($E$5),1)&gt;0,INDEX('Surface DEET'!$Q$9:$W$38,COLUMN(L178)-COLUMN($E$5),1),$E185),0)</f>
        <v>0</v>
      </c>
      <c r="M185" s="281">
        <f>IF(M$6=$C185,IF(INDEX('Surface DEET'!$Q$9:$W$38,COLUMN(M178)-COLUMN($E$5),1)&gt;0,INDEX('Surface DEET'!$Q$9:$W$38,COLUMN(M178)-COLUMN($E$5),1),$E185),0)</f>
        <v>0</v>
      </c>
      <c r="N185" s="281">
        <f>IF(N$6=$C185,IF(INDEX('Surface DEET'!$Q$9:$W$38,COLUMN(N178)-COLUMN($E$5),1)&gt;0,INDEX('Surface DEET'!$Q$9:$W$38,COLUMN(N178)-COLUMN($E$5),1),$E185),0)</f>
        <v>0</v>
      </c>
      <c r="O185" s="281">
        <f>IF(O$6=$C185,IF(INDEX('Surface DEET'!$Q$9:$W$38,COLUMN(O178)-COLUMN($E$5),1)&gt;0,INDEX('Surface DEET'!$Q$9:$W$38,COLUMN(O178)-COLUMN($E$5),1),$E185),0)</f>
        <v>0</v>
      </c>
      <c r="P185" s="281">
        <f>IF(P$6=$C185,IF(INDEX('Surface DEET'!$Q$9:$W$38,COLUMN(P178)-COLUMN($E$5),1)&gt;0,INDEX('Surface DEET'!$Q$9:$W$38,COLUMN(P178)-COLUMN($E$5),1),$E185),0)</f>
        <v>0</v>
      </c>
      <c r="Q185" s="281">
        <f>IF(Q$6=$C185,IF(INDEX('Surface DEET'!$Q$9:$W$38,COLUMN(Q178)-COLUMN($E$5),1)&gt;0,INDEX('Surface DEET'!$Q$9:$W$38,COLUMN(Q178)-COLUMN($E$5),1),$E185),0)</f>
        <v>0</v>
      </c>
      <c r="R185" s="281">
        <f>IF(R$6=$C185,IF(INDEX('Surface DEET'!$Q$9:$W$38,COLUMN(R178)-COLUMN($E$5),1)&gt;0,INDEX('Surface DEET'!$Q$9:$W$38,COLUMN(R178)-COLUMN($E$5),1),$E185),0)</f>
        <v>0</v>
      </c>
      <c r="S185" s="281">
        <f>IF(S$6=$C185,IF(INDEX('Surface DEET'!$Q$9:$W$38,COLUMN(S178)-COLUMN($E$5),1)&gt;0,INDEX('Surface DEET'!$Q$9:$W$38,COLUMN(S178)-COLUMN($E$5),1),$E185),0)</f>
        <v>0</v>
      </c>
      <c r="T185" s="281">
        <f>IF(T$6=$C185,IF(INDEX('Surface DEET'!$Q$9:$W$38,COLUMN(T178)-COLUMN($E$5),1)&gt;0,INDEX('Surface DEET'!$Q$9:$W$38,COLUMN(T178)-COLUMN($E$5),1),$E185),0)</f>
        <v>0</v>
      </c>
      <c r="U185" s="281">
        <f>IF(U$6=$C185,IF(INDEX('Surface DEET'!$Q$9:$W$38,COLUMN(U178)-COLUMN($E$5),1)&gt;0,INDEX('Surface DEET'!$Q$9:$W$38,COLUMN(U178)-COLUMN($E$5),1),$E185),0)</f>
        <v>0</v>
      </c>
      <c r="V185" s="281">
        <f>IF(V$6=$C185,IF(INDEX('Surface DEET'!$Q$9:$W$38,COLUMN(V178)-COLUMN($E$5),1)&gt;0,INDEX('Surface DEET'!$Q$9:$W$38,COLUMN(V178)-COLUMN($E$5),1),$E185),0)</f>
        <v>0</v>
      </c>
      <c r="W185" s="281">
        <f>IF(W$6=$C185,IF(INDEX('Surface DEET'!$Q$9:$W$38,COLUMN(W178)-COLUMN($E$5),1)&gt;0,INDEX('Surface DEET'!$Q$9:$W$38,COLUMN(W178)-COLUMN($E$5),1),$E185),0)</f>
        <v>0</v>
      </c>
      <c r="X185" s="281">
        <f>IF(X$6=$C185,IF(INDEX('Surface DEET'!$Q$9:$W$38,COLUMN(X178)-COLUMN($E$5),1)&gt;0,INDEX('Surface DEET'!$Q$9:$W$38,COLUMN(X178)-COLUMN($E$5),1),$E185),0)</f>
        <v>0</v>
      </c>
      <c r="Y185" s="281">
        <f>IF(Y$6=$C185,IF(INDEX('Surface DEET'!$Q$9:$W$38,COLUMN(Y178)-COLUMN($E$5),1)&gt;0,INDEX('Surface DEET'!$Q$9:$W$38,COLUMN(Y178)-COLUMN($E$5),1),$E185),0)</f>
        <v>0</v>
      </c>
      <c r="Z185" s="281">
        <f>IF(Z$6=$C185,IF(INDEX('Surface DEET'!$Q$9:$W$38,COLUMN(Z178)-COLUMN($E$5),1)&gt;0,INDEX('Surface DEET'!$Q$9:$W$38,COLUMN(Z178)-COLUMN($E$5),1),$E185),0)</f>
        <v>0</v>
      </c>
      <c r="AA185" s="281">
        <f>IF(AA$6=$C185,IF(INDEX('Surface DEET'!$Q$9:$W$38,COLUMN(AA178)-COLUMN($E$5),1)&gt;0,INDEX('Surface DEET'!$Q$9:$W$38,COLUMN(AA178)-COLUMN($E$5),1),$E185),0)</f>
        <v>0</v>
      </c>
      <c r="AB185" s="281">
        <f>IF(AB$6=$C185,IF(INDEX('Surface DEET'!$Q$9:$W$38,COLUMN(AB178)-COLUMN($E$5),1)&gt;0,INDEX('Surface DEET'!$Q$9:$W$38,COLUMN(AB178)-COLUMN($E$5),1),$E185),0)</f>
        <v>0</v>
      </c>
      <c r="AC185" s="281">
        <f>IF(AC$6=$C185,IF(INDEX('Surface DEET'!$Q$9:$W$38,COLUMN(AC178)-COLUMN($E$5),1)&gt;0,INDEX('Surface DEET'!$Q$9:$W$38,COLUMN(AC178)-COLUMN($E$5),1),$E185),0)</f>
        <v>0</v>
      </c>
      <c r="AD185" s="281">
        <f>IF(AD$6=$C185,IF(INDEX('Surface DEET'!$Q$9:$W$38,COLUMN(AD178)-COLUMN($E$5),1)&gt;0,INDEX('Surface DEET'!$Q$9:$W$38,COLUMN(AD178)-COLUMN($E$5),1),$E185),0)</f>
        <v>0</v>
      </c>
      <c r="AE185" s="281">
        <f>IF(AE$6=$C185,IF(INDEX('Surface DEET'!$Q$9:$W$38,COLUMN(AE178)-COLUMN($E$5),1)&gt;0,INDEX('Surface DEET'!$Q$9:$W$38,COLUMN(AE178)-COLUMN($E$5),1),$E185),0)</f>
        <v>0</v>
      </c>
      <c r="AF185" s="281">
        <f>IF(AF$6=$C185,IF(INDEX('Surface DEET'!$Q$9:$W$38,COLUMN(AF178)-COLUMN($E$5),1)&gt;0,INDEX('Surface DEET'!$Q$9:$W$38,COLUMN(AF178)-COLUMN($E$5),1),$E185),0)</f>
        <v>0</v>
      </c>
      <c r="AG185" s="281">
        <f>IF(AG$6=$C185,IF(INDEX('Surface DEET'!$Q$9:$W$38,COLUMN(AG178)-COLUMN($E$5),1)&gt;0,INDEX('Surface DEET'!$Q$9:$W$38,COLUMN(AG178)-COLUMN($E$5),1),$E185),0)</f>
        <v>0</v>
      </c>
      <c r="AH185" s="281">
        <f>IF(AH$6=$C185,IF(INDEX('Surface DEET'!$Q$9:$W$38,COLUMN(AH178)-COLUMN($E$5),1)&gt;0,INDEX('Surface DEET'!$Q$9:$W$38,COLUMN(AH178)-COLUMN($E$5),1),$E185),0)</f>
        <v>0</v>
      </c>
      <c r="AI185" s="281">
        <f>IF(AI$6=$C185,IF(INDEX('Surface DEET'!$Q$9:$W$38,COLUMN(AI178)-COLUMN($E$5),1)&gt;0,INDEX('Surface DEET'!$Q$9:$W$38,COLUMN(AI178)-COLUMN($E$5),1),$E185),0)</f>
        <v>0</v>
      </c>
    </row>
    <row r="186" spans="2:35">
      <c r="B186" s="281" t="s">
        <v>545</v>
      </c>
      <c r="C186" s="281" t="s">
        <v>643</v>
      </c>
    </row>
    <row r="187" spans="2:35">
      <c r="B187" s="281" t="s">
        <v>548</v>
      </c>
      <c r="C187" s="281" t="s">
        <v>643</v>
      </c>
    </row>
    <row r="188" spans="2:35">
      <c r="B188" s="281" t="s">
        <v>538</v>
      </c>
      <c r="C188" s="281" t="s">
        <v>643</v>
      </c>
      <c r="D188" s="281" t="s">
        <v>538</v>
      </c>
      <c r="F188" s="281">
        <f>$E$182*F185/$E$185</f>
        <v>0</v>
      </c>
      <c r="G188" s="281">
        <f t="shared" ref="G188:AI188" si="22">$E$182*G185/$E$185</f>
        <v>0</v>
      </c>
      <c r="H188" s="281">
        <f t="shared" si="22"/>
        <v>0</v>
      </c>
      <c r="I188" s="281">
        <f t="shared" si="22"/>
        <v>0</v>
      </c>
      <c r="J188" s="281">
        <f t="shared" si="22"/>
        <v>0</v>
      </c>
      <c r="K188" s="281">
        <f t="shared" si="22"/>
        <v>0</v>
      </c>
      <c r="L188" s="281">
        <f t="shared" si="22"/>
        <v>0</v>
      </c>
      <c r="M188" s="281">
        <f t="shared" si="22"/>
        <v>0</v>
      </c>
      <c r="N188" s="281">
        <f t="shared" si="22"/>
        <v>0</v>
      </c>
      <c r="O188" s="281">
        <f t="shared" si="22"/>
        <v>0</v>
      </c>
      <c r="P188" s="281">
        <f t="shared" si="22"/>
        <v>0</v>
      </c>
      <c r="Q188" s="281">
        <f t="shared" si="22"/>
        <v>0</v>
      </c>
      <c r="R188" s="281">
        <f t="shared" si="22"/>
        <v>0</v>
      </c>
      <c r="S188" s="281">
        <f t="shared" si="22"/>
        <v>0</v>
      </c>
      <c r="T188" s="281">
        <f t="shared" si="22"/>
        <v>0</v>
      </c>
      <c r="U188" s="281">
        <f t="shared" si="22"/>
        <v>0</v>
      </c>
      <c r="V188" s="281">
        <f t="shared" si="22"/>
        <v>0</v>
      </c>
      <c r="W188" s="281">
        <f t="shared" si="22"/>
        <v>0</v>
      </c>
      <c r="X188" s="281">
        <f t="shared" si="22"/>
        <v>0</v>
      </c>
      <c r="Y188" s="281">
        <f t="shared" si="22"/>
        <v>0</v>
      </c>
      <c r="Z188" s="281">
        <f t="shared" si="22"/>
        <v>0</v>
      </c>
      <c r="AA188" s="281">
        <f t="shared" si="22"/>
        <v>0</v>
      </c>
      <c r="AB188" s="281">
        <f t="shared" si="22"/>
        <v>0</v>
      </c>
      <c r="AC188" s="281">
        <f t="shared" si="22"/>
        <v>0</v>
      </c>
      <c r="AD188" s="281">
        <f t="shared" si="22"/>
        <v>0</v>
      </c>
      <c r="AE188" s="281">
        <f t="shared" si="22"/>
        <v>0</v>
      </c>
      <c r="AF188" s="281">
        <f t="shared" si="22"/>
        <v>0</v>
      </c>
      <c r="AG188" s="281">
        <f t="shared" si="22"/>
        <v>0</v>
      </c>
      <c r="AH188" s="281">
        <f t="shared" si="22"/>
        <v>0</v>
      </c>
      <c r="AI188" s="281">
        <f t="shared" si="22"/>
        <v>0</v>
      </c>
    </row>
    <row r="189" spans="2:35">
      <c r="B189" s="92" t="s">
        <v>298</v>
      </c>
      <c r="C189" s="281" t="s">
        <v>644</v>
      </c>
      <c r="D189" s="92" t="s">
        <v>298</v>
      </c>
      <c r="E189" s="281">
        <f t="array" ref="E189">INDEX(CABS_CVC!$C$3:$O$894,MATCH(1, (CABS_CVC!$A$3:$A$894=Calculs_CABS!C189)*(CABS_CVC!$B$3:$B$894=Calculs_CABS!$D$2),0),MATCH(Calculs_CABS!$D$1,Liste_CABS!$B$3:$B$15,0))</f>
        <v>308</v>
      </c>
    </row>
    <row r="190" spans="2:35">
      <c r="B190" s="281" t="s">
        <v>539</v>
      </c>
      <c r="C190" s="281" t="s">
        <v>644</v>
      </c>
      <c r="D190" s="281" t="s">
        <v>539</v>
      </c>
      <c r="E190" s="281">
        <v>258</v>
      </c>
    </row>
    <row r="191" spans="2:35">
      <c r="B191" s="281" t="s">
        <v>540</v>
      </c>
      <c r="C191" s="281" t="s">
        <v>644</v>
      </c>
      <c r="D191" s="281" t="s">
        <v>540</v>
      </c>
      <c r="E191" s="281">
        <f>E189+E190</f>
        <v>566</v>
      </c>
    </row>
    <row r="192" spans="2:35">
      <c r="B192" s="281" t="s">
        <v>541</v>
      </c>
      <c r="C192" s="281" t="s">
        <v>644</v>
      </c>
      <c r="D192" s="281" t="s">
        <v>541</v>
      </c>
      <c r="E192" s="281">
        <v>0.97</v>
      </c>
    </row>
    <row r="193" spans="2:35">
      <c r="B193" s="281" t="s">
        <v>542</v>
      </c>
      <c r="C193" s="281" t="s">
        <v>644</v>
      </c>
      <c r="D193" s="281" t="s">
        <v>641</v>
      </c>
      <c r="E193" s="281">
        <v>2900</v>
      </c>
      <c r="F193" s="281">
        <f>IF(F$6=$C193,IF(INDEX('Surface DEET'!$Q$9:$W$38,COLUMN(F186)-COLUMN($E$5),1)&gt;0,INDEX('Surface DEET'!$Q$9:$W$38,COLUMN(F186)-COLUMN($E$5),1),$E193),0)</f>
        <v>0</v>
      </c>
      <c r="G193" s="281">
        <f>IF(G$6=$C193,IF(INDEX('Surface DEET'!$Q$9:$W$38,COLUMN(G186)-COLUMN($E$5),1)&gt;0,INDEX('Surface DEET'!$Q$9:$W$38,COLUMN(G186)-COLUMN($E$5),1),$E193),0)</f>
        <v>0</v>
      </c>
      <c r="H193" s="281">
        <f>IF(H$6=$C193,IF(INDEX('Surface DEET'!$Q$9:$W$38,COLUMN(H186)-COLUMN($E$5),1)&gt;0,INDEX('Surface DEET'!$Q$9:$W$38,COLUMN(H186)-COLUMN($E$5),1),$E193),0)</f>
        <v>0</v>
      </c>
      <c r="I193" s="281">
        <f>IF(I$6=$C193,IF(INDEX('Surface DEET'!$Q$9:$W$38,COLUMN(I186)-COLUMN($E$5),1)&gt;0,INDEX('Surface DEET'!$Q$9:$W$38,COLUMN(I186)-COLUMN($E$5),1),$E193),0)</f>
        <v>0</v>
      </c>
      <c r="J193" s="281">
        <f>IF(J$6=$C193,IF(INDEX('Surface DEET'!$Q$9:$W$38,COLUMN(J186)-COLUMN($E$5),1)&gt;0,INDEX('Surface DEET'!$Q$9:$W$38,COLUMN(J186)-COLUMN($E$5),1),$E193),0)</f>
        <v>0</v>
      </c>
      <c r="K193" s="281">
        <f>IF(K$6=$C193,IF(INDEX('Surface DEET'!$Q$9:$W$38,COLUMN(K186)-COLUMN($E$5),1)&gt;0,INDEX('Surface DEET'!$Q$9:$W$38,COLUMN(K186)-COLUMN($E$5),1),$E193),0)</f>
        <v>0</v>
      </c>
      <c r="L193" s="281">
        <f>IF(L$6=$C193,IF(INDEX('Surface DEET'!$Q$9:$W$38,COLUMN(L186)-COLUMN($E$5),1)&gt;0,INDEX('Surface DEET'!$Q$9:$W$38,COLUMN(L186)-COLUMN($E$5),1),$E193),0)</f>
        <v>0</v>
      </c>
      <c r="M193" s="281">
        <f>IF(M$6=$C193,IF(INDEX('Surface DEET'!$Q$9:$W$38,COLUMN(M186)-COLUMN($E$5),1)&gt;0,INDEX('Surface DEET'!$Q$9:$W$38,COLUMN(M186)-COLUMN($E$5),1),$E193),0)</f>
        <v>0</v>
      </c>
      <c r="N193" s="281">
        <f>IF(N$6=$C193,IF(INDEX('Surface DEET'!$Q$9:$W$38,COLUMN(N186)-COLUMN($E$5),1)&gt;0,INDEX('Surface DEET'!$Q$9:$W$38,COLUMN(N186)-COLUMN($E$5),1),$E193),0)</f>
        <v>0</v>
      </c>
      <c r="O193" s="281">
        <f>IF(O$6=$C193,IF(INDEX('Surface DEET'!$Q$9:$W$38,COLUMN(O186)-COLUMN($E$5),1)&gt;0,INDEX('Surface DEET'!$Q$9:$W$38,COLUMN(O186)-COLUMN($E$5),1),$E193),0)</f>
        <v>0</v>
      </c>
      <c r="P193" s="281">
        <f>IF(P$6=$C193,IF(INDEX('Surface DEET'!$Q$9:$W$38,COLUMN(P186)-COLUMN($E$5),1)&gt;0,INDEX('Surface DEET'!$Q$9:$W$38,COLUMN(P186)-COLUMN($E$5),1),$E193),0)</f>
        <v>0</v>
      </c>
      <c r="Q193" s="281">
        <f>IF(Q$6=$C193,IF(INDEX('Surface DEET'!$Q$9:$W$38,COLUMN(Q186)-COLUMN($E$5),1)&gt;0,INDEX('Surface DEET'!$Q$9:$W$38,COLUMN(Q186)-COLUMN($E$5),1),$E193),0)</f>
        <v>0</v>
      </c>
      <c r="R193" s="281">
        <f>IF(R$6=$C193,IF(INDEX('Surface DEET'!$Q$9:$W$38,COLUMN(R186)-COLUMN($E$5),1)&gt;0,INDEX('Surface DEET'!$Q$9:$W$38,COLUMN(R186)-COLUMN($E$5),1),$E193),0)</f>
        <v>0</v>
      </c>
      <c r="S193" s="281">
        <f>IF(S$6=$C193,IF(INDEX('Surface DEET'!$Q$9:$W$38,COLUMN(S186)-COLUMN($E$5),1)&gt;0,INDEX('Surface DEET'!$Q$9:$W$38,COLUMN(S186)-COLUMN($E$5),1),$E193),0)</f>
        <v>0</v>
      </c>
      <c r="T193" s="281">
        <f>IF(T$6=$C193,IF(INDEX('Surface DEET'!$Q$9:$W$38,COLUMN(T186)-COLUMN($E$5),1)&gt;0,INDEX('Surface DEET'!$Q$9:$W$38,COLUMN(T186)-COLUMN($E$5),1),$E193),0)</f>
        <v>0</v>
      </c>
      <c r="U193" s="281">
        <f>IF(U$6=$C193,IF(INDEX('Surface DEET'!$Q$9:$W$38,COLUMN(U186)-COLUMN($E$5),1)&gt;0,INDEX('Surface DEET'!$Q$9:$W$38,COLUMN(U186)-COLUMN($E$5),1),$E193),0)</f>
        <v>0</v>
      </c>
      <c r="V193" s="281">
        <f>IF(V$6=$C193,IF(INDEX('Surface DEET'!$Q$9:$W$38,COLUMN(V186)-COLUMN($E$5),1)&gt;0,INDEX('Surface DEET'!$Q$9:$W$38,COLUMN(V186)-COLUMN($E$5),1),$E193),0)</f>
        <v>0</v>
      </c>
      <c r="W193" s="281">
        <f>IF(W$6=$C193,IF(INDEX('Surface DEET'!$Q$9:$W$38,COLUMN(W186)-COLUMN($E$5),1)&gt;0,INDEX('Surface DEET'!$Q$9:$W$38,COLUMN(W186)-COLUMN($E$5),1),$E193),0)</f>
        <v>0</v>
      </c>
      <c r="X193" s="281">
        <f>IF(X$6=$C193,IF(INDEX('Surface DEET'!$Q$9:$W$38,COLUMN(X186)-COLUMN($E$5),1)&gt;0,INDEX('Surface DEET'!$Q$9:$W$38,COLUMN(X186)-COLUMN($E$5),1),$E193),0)</f>
        <v>0</v>
      </c>
      <c r="Y193" s="281">
        <f>IF(Y$6=$C193,IF(INDEX('Surface DEET'!$Q$9:$W$38,COLUMN(Y186)-COLUMN($E$5),1)&gt;0,INDEX('Surface DEET'!$Q$9:$W$38,COLUMN(Y186)-COLUMN($E$5),1),$E193),0)</f>
        <v>0</v>
      </c>
      <c r="Z193" s="281">
        <f>IF(Z$6=$C193,IF(INDEX('Surface DEET'!$Q$9:$W$38,COLUMN(Z186)-COLUMN($E$5),1)&gt;0,INDEX('Surface DEET'!$Q$9:$W$38,COLUMN(Z186)-COLUMN($E$5),1),$E193),0)</f>
        <v>0</v>
      </c>
      <c r="AA193" s="281">
        <f>IF(AA$6=$C193,IF(INDEX('Surface DEET'!$Q$9:$W$38,COLUMN(AA186)-COLUMN($E$5),1)&gt;0,INDEX('Surface DEET'!$Q$9:$W$38,COLUMN(AA186)-COLUMN($E$5),1),$E193),0)</f>
        <v>0</v>
      </c>
      <c r="AB193" s="281">
        <f>IF(AB$6=$C193,IF(INDEX('Surface DEET'!$Q$9:$W$38,COLUMN(AB186)-COLUMN($E$5),1)&gt;0,INDEX('Surface DEET'!$Q$9:$W$38,COLUMN(AB186)-COLUMN($E$5),1),$E193),0)</f>
        <v>0</v>
      </c>
      <c r="AC193" s="281">
        <f>IF(AC$6=$C193,IF(INDEX('Surface DEET'!$Q$9:$W$38,COLUMN(AC186)-COLUMN($E$5),1)&gt;0,INDEX('Surface DEET'!$Q$9:$W$38,COLUMN(AC186)-COLUMN($E$5),1),$E193),0)</f>
        <v>0</v>
      </c>
      <c r="AD193" s="281">
        <f>IF(AD$6=$C193,IF(INDEX('Surface DEET'!$Q$9:$W$38,COLUMN(AD186)-COLUMN($E$5),1)&gt;0,INDEX('Surface DEET'!$Q$9:$W$38,COLUMN(AD186)-COLUMN($E$5),1),$E193),0)</f>
        <v>0</v>
      </c>
      <c r="AE193" s="281">
        <f>IF(AE$6=$C193,IF(INDEX('Surface DEET'!$Q$9:$W$38,COLUMN(AE186)-COLUMN($E$5),1)&gt;0,INDEX('Surface DEET'!$Q$9:$W$38,COLUMN(AE186)-COLUMN($E$5),1),$E193),0)</f>
        <v>0</v>
      </c>
      <c r="AF193" s="281">
        <f>IF(AF$6=$C193,IF(INDEX('Surface DEET'!$Q$9:$W$38,COLUMN(AF186)-COLUMN($E$5),1)&gt;0,INDEX('Surface DEET'!$Q$9:$W$38,COLUMN(AF186)-COLUMN($E$5),1),$E193),0)</f>
        <v>0</v>
      </c>
      <c r="AG193" s="281">
        <f>IF(AG$6=$C193,IF(INDEX('Surface DEET'!$Q$9:$W$38,COLUMN(AG186)-COLUMN($E$5),1)&gt;0,INDEX('Surface DEET'!$Q$9:$W$38,COLUMN(AG186)-COLUMN($E$5),1),$E193),0)</f>
        <v>0</v>
      </c>
      <c r="AH193" s="281">
        <f>IF(AH$6=$C193,IF(INDEX('Surface DEET'!$Q$9:$W$38,COLUMN(AH186)-COLUMN($E$5),1)&gt;0,INDEX('Surface DEET'!$Q$9:$W$38,COLUMN(AH186)-COLUMN($E$5),1),$E193),0)</f>
        <v>0</v>
      </c>
      <c r="AI193" s="281">
        <f>IF(AI$6=$C193,IF(INDEX('Surface DEET'!$Q$9:$W$38,COLUMN(AI186)-COLUMN($E$5),1)&gt;0,INDEX('Surface DEET'!$Q$9:$W$38,COLUMN(AI186)-COLUMN($E$5),1),$E193),0)</f>
        <v>0</v>
      </c>
    </row>
    <row r="194" spans="2:35">
      <c r="B194" s="281" t="s">
        <v>545</v>
      </c>
      <c r="C194" s="281" t="s">
        <v>644</v>
      </c>
      <c r="D194" s="281" t="s">
        <v>645</v>
      </c>
      <c r="E194" s="281">
        <v>48</v>
      </c>
      <c r="F194" s="281">
        <f>IF(F$6=$C194,IF(INDEX('Surface DEET'!$Q$9:$W$38,COLUMN(F187)-COLUMN($E$5),4)&gt;0,INDEX('Surface DEET'!$Q$9:$W$38,COLUMN(F187)-COLUMN($E$5),4),$E194),0)</f>
        <v>0</v>
      </c>
      <c r="G194" s="281">
        <f>IF(G$6=$C194,IF(INDEX('Surface DEET'!$Q$9:$W$38,COLUMN(G187)-COLUMN($E$5),4)&gt;0,INDEX('Surface DEET'!$Q$9:$W$38,COLUMN(G187)-COLUMN($E$5),4),$E194),0)</f>
        <v>0</v>
      </c>
      <c r="H194" s="281">
        <f>IF(H$6=$C194,IF(INDEX('Surface DEET'!$Q$9:$W$38,COLUMN(H187)-COLUMN($E$5),4)&gt;0,INDEX('Surface DEET'!$Q$9:$W$38,COLUMN(H187)-COLUMN($E$5),4),$E194),0)</f>
        <v>0</v>
      </c>
      <c r="I194" s="281">
        <f>IF(I$6=$C194,IF(INDEX('Surface DEET'!$Q$9:$W$38,COLUMN(I187)-COLUMN($E$5),4)&gt;0,INDEX('Surface DEET'!$Q$9:$W$38,COLUMN(I187)-COLUMN($E$5),4),$E194),0)</f>
        <v>0</v>
      </c>
      <c r="J194" s="281">
        <f>IF(J$6=$C194,IF(INDEX('Surface DEET'!$Q$9:$W$38,COLUMN(J187)-COLUMN($E$5),4)&gt;0,INDEX('Surface DEET'!$Q$9:$W$38,COLUMN(J187)-COLUMN($E$5),4),$E194),0)</f>
        <v>0</v>
      </c>
      <c r="K194" s="281">
        <f>IF(K$6=$C194,IF(INDEX('Surface DEET'!$Q$9:$W$38,COLUMN(K187)-COLUMN($E$5),4)&gt;0,INDEX('Surface DEET'!$Q$9:$W$38,COLUMN(K187)-COLUMN($E$5),4),$E194),0)</f>
        <v>0</v>
      </c>
      <c r="L194" s="281">
        <f>IF(L$6=$C194,IF(INDEX('Surface DEET'!$Q$9:$W$38,COLUMN(L187)-COLUMN($E$5),4)&gt;0,INDEX('Surface DEET'!$Q$9:$W$38,COLUMN(L187)-COLUMN($E$5),4),$E194),0)</f>
        <v>0</v>
      </c>
      <c r="M194" s="281">
        <f>IF(M$6=$C194,IF(INDEX('Surface DEET'!$Q$9:$W$38,COLUMN(M187)-COLUMN($E$5),4)&gt;0,INDEX('Surface DEET'!$Q$9:$W$38,COLUMN(M187)-COLUMN($E$5),4),$E194),0)</f>
        <v>0</v>
      </c>
      <c r="N194" s="281">
        <f>IF(N$6=$C194,IF(INDEX('Surface DEET'!$Q$9:$W$38,COLUMN(N187)-COLUMN($E$5),4)&gt;0,INDEX('Surface DEET'!$Q$9:$W$38,COLUMN(N187)-COLUMN($E$5),4),$E194),0)</f>
        <v>0</v>
      </c>
      <c r="O194" s="281">
        <f>IF(O$6=$C194,IF(INDEX('Surface DEET'!$Q$9:$W$38,COLUMN(O187)-COLUMN($E$5),4)&gt;0,INDEX('Surface DEET'!$Q$9:$W$38,COLUMN(O187)-COLUMN($E$5),4),$E194),0)</f>
        <v>0</v>
      </c>
      <c r="P194" s="281">
        <f>IF(P$6=$C194,IF(INDEX('Surface DEET'!$Q$9:$W$38,COLUMN(P187)-COLUMN($E$5),4)&gt;0,INDEX('Surface DEET'!$Q$9:$W$38,COLUMN(P187)-COLUMN($E$5),4),$E194),0)</f>
        <v>0</v>
      </c>
      <c r="Q194" s="281">
        <f>IF(Q$6=$C194,IF(INDEX('Surface DEET'!$Q$9:$W$38,COLUMN(Q187)-COLUMN($E$5),4)&gt;0,INDEX('Surface DEET'!$Q$9:$W$38,COLUMN(Q187)-COLUMN($E$5),4),$E194),0)</f>
        <v>0</v>
      </c>
      <c r="R194" s="281">
        <f>IF(R$6=$C194,IF(INDEX('Surface DEET'!$Q$9:$W$38,COLUMN(R187)-COLUMN($E$5),4)&gt;0,INDEX('Surface DEET'!$Q$9:$W$38,COLUMN(R187)-COLUMN($E$5),4),$E194),0)</f>
        <v>0</v>
      </c>
      <c r="S194" s="281">
        <f>IF(S$6=$C194,IF(INDEX('Surface DEET'!$Q$9:$W$38,COLUMN(S187)-COLUMN($E$5),4)&gt;0,INDEX('Surface DEET'!$Q$9:$W$38,COLUMN(S187)-COLUMN($E$5),4),$E194),0)</f>
        <v>0</v>
      </c>
      <c r="T194" s="281">
        <f>IF(T$6=$C194,IF(INDEX('Surface DEET'!$Q$9:$W$38,COLUMN(T187)-COLUMN($E$5),4)&gt;0,INDEX('Surface DEET'!$Q$9:$W$38,COLUMN(T187)-COLUMN($E$5),4),$E194),0)</f>
        <v>0</v>
      </c>
      <c r="U194" s="281">
        <f>IF(U$6=$C194,IF(INDEX('Surface DEET'!$Q$9:$W$38,COLUMN(U187)-COLUMN($E$5),4)&gt;0,INDEX('Surface DEET'!$Q$9:$W$38,COLUMN(U187)-COLUMN($E$5),4),$E194),0)</f>
        <v>0</v>
      </c>
      <c r="V194" s="281">
        <f>IF(V$6=$C194,IF(INDEX('Surface DEET'!$Q$9:$W$38,COLUMN(V187)-COLUMN($E$5),4)&gt;0,INDEX('Surface DEET'!$Q$9:$W$38,COLUMN(V187)-COLUMN($E$5),4),$E194),0)</f>
        <v>0</v>
      </c>
      <c r="W194" s="281">
        <f>IF(W$6=$C194,IF(INDEX('Surface DEET'!$Q$9:$W$38,COLUMN(W187)-COLUMN($E$5),4)&gt;0,INDEX('Surface DEET'!$Q$9:$W$38,COLUMN(W187)-COLUMN($E$5),4),$E194),0)</f>
        <v>0</v>
      </c>
      <c r="X194" s="281">
        <f>IF(X$6=$C194,IF(INDEX('Surface DEET'!$Q$9:$W$38,COLUMN(X187)-COLUMN($E$5),4)&gt;0,INDEX('Surface DEET'!$Q$9:$W$38,COLUMN(X187)-COLUMN($E$5),4),$E194),0)</f>
        <v>0</v>
      </c>
      <c r="Y194" s="281">
        <f>IF(Y$6=$C194,IF(INDEX('Surface DEET'!$Q$9:$W$38,COLUMN(Y187)-COLUMN($E$5),4)&gt;0,INDEX('Surface DEET'!$Q$9:$W$38,COLUMN(Y187)-COLUMN($E$5),4),$E194),0)</f>
        <v>0</v>
      </c>
      <c r="Z194" s="281">
        <f>IF(Z$6=$C194,IF(INDEX('Surface DEET'!$Q$9:$W$38,COLUMN(Z187)-COLUMN($E$5),4)&gt;0,INDEX('Surface DEET'!$Q$9:$W$38,COLUMN(Z187)-COLUMN($E$5),4),$E194),0)</f>
        <v>0</v>
      </c>
      <c r="AA194" s="281">
        <f>IF(AA$6=$C194,IF(INDEX('Surface DEET'!$Q$9:$W$38,COLUMN(AA187)-COLUMN($E$5),4)&gt;0,INDEX('Surface DEET'!$Q$9:$W$38,COLUMN(AA187)-COLUMN($E$5),4),$E194),0)</f>
        <v>0</v>
      </c>
      <c r="AB194" s="281">
        <f>IF(AB$6=$C194,IF(INDEX('Surface DEET'!$Q$9:$W$38,COLUMN(AB187)-COLUMN($E$5),4)&gt;0,INDEX('Surface DEET'!$Q$9:$W$38,COLUMN(AB187)-COLUMN($E$5),4),$E194),0)</f>
        <v>0</v>
      </c>
      <c r="AC194" s="281">
        <f>IF(AC$6=$C194,IF(INDEX('Surface DEET'!$Q$9:$W$38,COLUMN(AC187)-COLUMN($E$5),4)&gt;0,INDEX('Surface DEET'!$Q$9:$W$38,COLUMN(AC187)-COLUMN($E$5),4),$E194),0)</f>
        <v>0</v>
      </c>
      <c r="AD194" s="281">
        <f>IF(AD$6=$C194,IF(INDEX('Surface DEET'!$Q$9:$W$38,COLUMN(AD187)-COLUMN($E$5),4)&gt;0,INDEX('Surface DEET'!$Q$9:$W$38,COLUMN(AD187)-COLUMN($E$5),4),$E194),0)</f>
        <v>0</v>
      </c>
      <c r="AE194" s="281">
        <f>IF(AE$6=$C194,IF(INDEX('Surface DEET'!$Q$9:$W$38,COLUMN(AE187)-COLUMN($E$5),4)&gt;0,INDEX('Surface DEET'!$Q$9:$W$38,COLUMN(AE187)-COLUMN($E$5),4),$E194),0)</f>
        <v>0</v>
      </c>
      <c r="AF194" s="281">
        <f>IF(AF$6=$C194,IF(INDEX('Surface DEET'!$Q$9:$W$38,COLUMN(AF187)-COLUMN($E$5),4)&gt;0,INDEX('Surface DEET'!$Q$9:$W$38,COLUMN(AF187)-COLUMN($E$5),4),$E194),0)</f>
        <v>0</v>
      </c>
      <c r="AG194" s="281">
        <f>IF(AG$6=$C194,IF(INDEX('Surface DEET'!$Q$9:$W$38,COLUMN(AG187)-COLUMN($E$5),4)&gt;0,INDEX('Surface DEET'!$Q$9:$W$38,COLUMN(AG187)-COLUMN($E$5),4),$E194),0)</f>
        <v>0</v>
      </c>
      <c r="AH194" s="281">
        <f>IF(AH$6=$C194,IF(INDEX('Surface DEET'!$Q$9:$W$38,COLUMN(AH187)-COLUMN($E$5),4)&gt;0,INDEX('Surface DEET'!$Q$9:$W$38,COLUMN(AH187)-COLUMN($E$5),4),$E194),0)</f>
        <v>0</v>
      </c>
      <c r="AI194" s="281">
        <f>IF(AI$6=$C194,IF(INDEX('Surface DEET'!$Q$9:$W$38,COLUMN(AI187)-COLUMN($E$5),4)&gt;0,INDEX('Surface DEET'!$Q$9:$W$38,COLUMN(AI187)-COLUMN($E$5),4),$E194),0)</f>
        <v>0</v>
      </c>
    </row>
    <row r="195" spans="2:35">
      <c r="B195" s="281" t="s">
        <v>548</v>
      </c>
      <c r="C195" s="281" t="s">
        <v>644</v>
      </c>
    </row>
    <row r="196" spans="2:35">
      <c r="B196" s="281" t="s">
        <v>607</v>
      </c>
      <c r="C196" s="281" t="s">
        <v>644</v>
      </c>
      <c r="D196" s="281" t="s">
        <v>646</v>
      </c>
      <c r="E196" s="281">
        <v>1.9E-2</v>
      </c>
    </row>
    <row r="197" spans="2:35">
      <c r="B197" s="281" t="s">
        <v>609</v>
      </c>
      <c r="C197" s="281" t="s">
        <v>644</v>
      </c>
      <c r="D197" s="281" t="s">
        <v>647</v>
      </c>
      <c r="E197" s="281">
        <v>3.8</v>
      </c>
    </row>
    <row r="198" spans="2:35">
      <c r="B198" s="281" t="s">
        <v>538</v>
      </c>
      <c r="C198" s="281" t="s">
        <v>644</v>
      </c>
      <c r="D198" s="281" t="s">
        <v>538</v>
      </c>
      <c r="F198" s="281">
        <f>IFERROR($E$190*(F193/$E$193)*((1-$E$192)+$E$192*F194/$E$194)+(F193-$E$193)*$E$196+(F194-$E$194)*$E$197,0)</f>
        <v>-237.49999999999997</v>
      </c>
      <c r="G198" s="281">
        <f t="shared" ref="G198:AI198" si="23">IFERROR($E$190*(G193/$E$193)*((1-$E$192)+$E$192*G194/$E$194)+(G193-$E$193)*$E$196+(G194-$E$194)*$E$197,0)</f>
        <v>-237.49999999999997</v>
      </c>
      <c r="H198" s="281">
        <f t="shared" si="23"/>
        <v>-237.49999999999997</v>
      </c>
      <c r="I198" s="281">
        <f t="shared" si="23"/>
        <v>-237.49999999999997</v>
      </c>
      <c r="J198" s="281">
        <f t="shared" si="23"/>
        <v>-237.49999999999997</v>
      </c>
      <c r="K198" s="281">
        <f t="shared" si="23"/>
        <v>-237.49999999999997</v>
      </c>
      <c r="L198" s="281">
        <f t="shared" si="23"/>
        <v>-237.49999999999997</v>
      </c>
      <c r="M198" s="281">
        <f t="shared" si="23"/>
        <v>-237.49999999999997</v>
      </c>
      <c r="N198" s="281">
        <f t="shared" si="23"/>
        <v>-237.49999999999997</v>
      </c>
      <c r="O198" s="281">
        <f t="shared" si="23"/>
        <v>-237.49999999999997</v>
      </c>
      <c r="P198" s="281">
        <f t="shared" si="23"/>
        <v>-237.49999999999997</v>
      </c>
      <c r="Q198" s="281">
        <f t="shared" si="23"/>
        <v>-237.49999999999997</v>
      </c>
      <c r="R198" s="281">
        <f t="shared" si="23"/>
        <v>-237.49999999999997</v>
      </c>
      <c r="S198" s="281">
        <f t="shared" si="23"/>
        <v>-237.49999999999997</v>
      </c>
      <c r="T198" s="281">
        <f t="shared" si="23"/>
        <v>-237.49999999999997</v>
      </c>
      <c r="U198" s="281">
        <f t="shared" si="23"/>
        <v>-237.49999999999997</v>
      </c>
      <c r="V198" s="281">
        <f t="shared" si="23"/>
        <v>-237.49999999999997</v>
      </c>
      <c r="W198" s="281">
        <f t="shared" si="23"/>
        <v>-237.49999999999997</v>
      </c>
      <c r="X198" s="281">
        <f t="shared" si="23"/>
        <v>-237.49999999999997</v>
      </c>
      <c r="Y198" s="281">
        <f t="shared" si="23"/>
        <v>-237.49999999999997</v>
      </c>
      <c r="Z198" s="281">
        <f t="shared" si="23"/>
        <v>-237.49999999999997</v>
      </c>
      <c r="AA198" s="281">
        <f t="shared" si="23"/>
        <v>-237.49999999999997</v>
      </c>
      <c r="AB198" s="281">
        <f t="shared" si="23"/>
        <v>-237.49999999999997</v>
      </c>
      <c r="AC198" s="281">
        <f t="shared" si="23"/>
        <v>-237.49999999999997</v>
      </c>
      <c r="AD198" s="281">
        <f t="shared" si="23"/>
        <v>-237.49999999999997</v>
      </c>
      <c r="AE198" s="281">
        <f t="shared" si="23"/>
        <v>-237.49999999999997</v>
      </c>
      <c r="AF198" s="281">
        <f t="shared" si="23"/>
        <v>-237.49999999999997</v>
      </c>
      <c r="AG198" s="281">
        <f t="shared" si="23"/>
        <v>-237.49999999999997</v>
      </c>
      <c r="AH198" s="281">
        <f t="shared" si="23"/>
        <v>-237.49999999999997</v>
      </c>
      <c r="AI198" s="281">
        <f t="shared" si="23"/>
        <v>-237.49999999999997</v>
      </c>
    </row>
    <row r="199" spans="2:35">
      <c r="B199" s="92" t="s">
        <v>298</v>
      </c>
      <c r="C199" s="281" t="s">
        <v>648</v>
      </c>
      <c r="D199" s="92" t="s">
        <v>298</v>
      </c>
      <c r="E199" s="281">
        <f t="array" ref="E199">INDEX(CABS_CVC!$C$3:$O$894,MATCH(1, (CABS_CVC!$A$3:$A$894=Calculs_CABS!C199)*(CABS_CVC!$B$3:$B$894=Calculs_CABS!$D$2),0),MATCH(Calculs_CABS!$D$1,Liste_CABS!$B$3:$B$15,0))</f>
        <v>44</v>
      </c>
    </row>
    <row r="200" spans="2:35">
      <c r="B200" s="281" t="s">
        <v>539</v>
      </c>
      <c r="C200" s="281" t="s">
        <v>648</v>
      </c>
      <c r="D200" s="281" t="s">
        <v>539</v>
      </c>
      <c r="E200" s="281">
        <v>243</v>
      </c>
    </row>
    <row r="201" spans="2:35">
      <c r="B201" s="281" t="s">
        <v>540</v>
      </c>
      <c r="C201" s="281" t="s">
        <v>648</v>
      </c>
      <c r="D201" s="281" t="s">
        <v>540</v>
      </c>
      <c r="E201" s="281">
        <f>E199+E200</f>
        <v>287</v>
      </c>
    </row>
    <row r="202" spans="2:35">
      <c r="B202" s="281" t="s">
        <v>541</v>
      </c>
      <c r="C202" s="281" t="s">
        <v>648</v>
      </c>
      <c r="D202" s="281" t="s">
        <v>541</v>
      </c>
      <c r="E202" s="281">
        <v>0.96</v>
      </c>
    </row>
    <row r="203" spans="2:35">
      <c r="B203" s="281" t="s">
        <v>542</v>
      </c>
      <c r="C203" s="281" t="s">
        <v>648</v>
      </c>
      <c r="D203" s="281" t="s">
        <v>641</v>
      </c>
      <c r="E203" s="281">
        <v>2600</v>
      </c>
      <c r="F203" s="281">
        <f>IF(F$6=$C203,IF(INDEX('Surface DEET'!$Q$9:$W$38,COLUMN(F196)-COLUMN($E$5),1)&gt;0,INDEX('Surface DEET'!$Q$9:$W$38,COLUMN(F196)-COLUMN($E$5),1),$E203),0)</f>
        <v>0</v>
      </c>
      <c r="G203" s="281">
        <f>IF(G$6=$C203,IF(INDEX('Surface DEET'!$Q$9:$W$38,COLUMN(G196)-COLUMN($E$5),1)&gt;0,INDEX('Surface DEET'!$Q$9:$W$38,COLUMN(G196)-COLUMN($E$5),1),$E203),0)</f>
        <v>0</v>
      </c>
      <c r="H203" s="281">
        <f>IF(H$6=$C203,IF(INDEX('Surface DEET'!$Q$9:$W$38,COLUMN(H196)-COLUMN($E$5),1)&gt;0,INDEX('Surface DEET'!$Q$9:$W$38,COLUMN(H196)-COLUMN($E$5),1),$E203),0)</f>
        <v>0</v>
      </c>
      <c r="I203" s="281">
        <f>IF(I$6=$C203,IF(INDEX('Surface DEET'!$Q$9:$W$38,COLUMN(I196)-COLUMN($E$5),1)&gt;0,INDEX('Surface DEET'!$Q$9:$W$38,COLUMN(I196)-COLUMN($E$5),1),$E203),0)</f>
        <v>0</v>
      </c>
      <c r="J203" s="281">
        <f>IF(J$6=$C203,IF(INDEX('Surface DEET'!$Q$9:$W$38,COLUMN(J196)-COLUMN($E$5),1)&gt;0,INDEX('Surface DEET'!$Q$9:$W$38,COLUMN(J196)-COLUMN($E$5),1),$E203),0)</f>
        <v>0</v>
      </c>
      <c r="K203" s="281">
        <f>IF(K$6=$C203,IF(INDEX('Surface DEET'!$Q$9:$W$38,COLUMN(K196)-COLUMN($E$5),1)&gt;0,INDEX('Surface DEET'!$Q$9:$W$38,COLUMN(K196)-COLUMN($E$5),1),$E203),0)</f>
        <v>0</v>
      </c>
      <c r="L203" s="281">
        <f>IF(L$6=$C203,IF(INDEX('Surface DEET'!$Q$9:$W$38,COLUMN(L196)-COLUMN($E$5),1)&gt;0,INDEX('Surface DEET'!$Q$9:$W$38,COLUMN(L196)-COLUMN($E$5),1),$E203),0)</f>
        <v>0</v>
      </c>
      <c r="M203" s="281">
        <f>IF(M$6=$C203,IF(INDEX('Surface DEET'!$Q$9:$W$38,COLUMN(M196)-COLUMN($E$5),1)&gt;0,INDEX('Surface DEET'!$Q$9:$W$38,COLUMN(M196)-COLUMN($E$5),1),$E203),0)</f>
        <v>0</v>
      </c>
      <c r="N203" s="281">
        <f>IF(N$6=$C203,IF(INDEX('Surface DEET'!$Q$9:$W$38,COLUMN(N196)-COLUMN($E$5),1)&gt;0,INDEX('Surface DEET'!$Q$9:$W$38,COLUMN(N196)-COLUMN($E$5),1),$E203),0)</f>
        <v>0</v>
      </c>
      <c r="O203" s="281">
        <f>IF(O$6=$C203,IF(INDEX('Surface DEET'!$Q$9:$W$38,COLUMN(O196)-COLUMN($E$5),1)&gt;0,INDEX('Surface DEET'!$Q$9:$W$38,COLUMN(O196)-COLUMN($E$5),1),$E203),0)</f>
        <v>0</v>
      </c>
      <c r="P203" s="281">
        <f>IF(P$6=$C203,IF(INDEX('Surface DEET'!$Q$9:$W$38,COLUMN(P196)-COLUMN($E$5),1)&gt;0,INDEX('Surface DEET'!$Q$9:$W$38,COLUMN(P196)-COLUMN($E$5),1),$E203),0)</f>
        <v>0</v>
      </c>
      <c r="Q203" s="281">
        <f>IF(Q$6=$C203,IF(INDEX('Surface DEET'!$Q$9:$W$38,COLUMN(Q196)-COLUMN($E$5),1)&gt;0,INDEX('Surface DEET'!$Q$9:$W$38,COLUMN(Q196)-COLUMN($E$5),1),$E203),0)</f>
        <v>0</v>
      </c>
      <c r="R203" s="281">
        <f>IF(R$6=$C203,IF(INDEX('Surface DEET'!$Q$9:$W$38,COLUMN(R196)-COLUMN($E$5),1)&gt;0,INDEX('Surface DEET'!$Q$9:$W$38,COLUMN(R196)-COLUMN($E$5),1),$E203),0)</f>
        <v>0</v>
      </c>
      <c r="S203" s="281">
        <f>IF(S$6=$C203,IF(INDEX('Surface DEET'!$Q$9:$W$38,COLUMN(S196)-COLUMN($E$5),1)&gt;0,INDEX('Surface DEET'!$Q$9:$W$38,COLUMN(S196)-COLUMN($E$5),1),$E203),0)</f>
        <v>0</v>
      </c>
      <c r="T203" s="281">
        <f>IF(T$6=$C203,IF(INDEX('Surface DEET'!$Q$9:$W$38,COLUMN(T196)-COLUMN($E$5),1)&gt;0,INDEX('Surface DEET'!$Q$9:$W$38,COLUMN(T196)-COLUMN($E$5),1),$E203),0)</f>
        <v>0</v>
      </c>
      <c r="U203" s="281">
        <f>IF(U$6=$C203,IF(INDEX('Surface DEET'!$Q$9:$W$38,COLUMN(U196)-COLUMN($E$5),1)&gt;0,INDEX('Surface DEET'!$Q$9:$W$38,COLUMN(U196)-COLUMN($E$5),1),$E203),0)</f>
        <v>0</v>
      </c>
      <c r="V203" s="281">
        <f>IF(V$6=$C203,IF(INDEX('Surface DEET'!$Q$9:$W$38,COLUMN(V196)-COLUMN($E$5),1)&gt;0,INDEX('Surface DEET'!$Q$9:$W$38,COLUMN(V196)-COLUMN($E$5),1),$E203),0)</f>
        <v>0</v>
      </c>
      <c r="W203" s="281">
        <f>IF(W$6=$C203,IF(INDEX('Surface DEET'!$Q$9:$W$38,COLUMN(W196)-COLUMN($E$5),1)&gt;0,INDEX('Surface DEET'!$Q$9:$W$38,COLUMN(W196)-COLUMN($E$5),1),$E203),0)</f>
        <v>0</v>
      </c>
      <c r="X203" s="281">
        <f>IF(X$6=$C203,IF(INDEX('Surface DEET'!$Q$9:$W$38,COLUMN(X196)-COLUMN($E$5),1)&gt;0,INDEX('Surface DEET'!$Q$9:$W$38,COLUMN(X196)-COLUMN($E$5),1),$E203),0)</f>
        <v>0</v>
      </c>
      <c r="Y203" s="281">
        <f>IF(Y$6=$C203,IF(INDEX('Surface DEET'!$Q$9:$W$38,COLUMN(Y196)-COLUMN($E$5),1)&gt;0,INDEX('Surface DEET'!$Q$9:$W$38,COLUMN(Y196)-COLUMN($E$5),1),$E203),0)</f>
        <v>0</v>
      </c>
      <c r="Z203" s="281">
        <f>IF(Z$6=$C203,IF(INDEX('Surface DEET'!$Q$9:$W$38,COLUMN(Z196)-COLUMN($E$5),1)&gt;0,INDEX('Surface DEET'!$Q$9:$W$38,COLUMN(Z196)-COLUMN($E$5),1),$E203),0)</f>
        <v>0</v>
      </c>
      <c r="AA203" s="281">
        <f>IF(AA$6=$C203,IF(INDEX('Surface DEET'!$Q$9:$W$38,COLUMN(AA196)-COLUMN($E$5),1)&gt;0,INDEX('Surface DEET'!$Q$9:$W$38,COLUMN(AA196)-COLUMN($E$5),1),$E203),0)</f>
        <v>0</v>
      </c>
      <c r="AB203" s="281">
        <f>IF(AB$6=$C203,IF(INDEX('Surface DEET'!$Q$9:$W$38,COLUMN(AB196)-COLUMN($E$5),1)&gt;0,INDEX('Surface DEET'!$Q$9:$W$38,COLUMN(AB196)-COLUMN($E$5),1),$E203),0)</f>
        <v>0</v>
      </c>
      <c r="AC203" s="281">
        <f>IF(AC$6=$C203,IF(INDEX('Surface DEET'!$Q$9:$W$38,COLUMN(AC196)-COLUMN($E$5),1)&gt;0,INDEX('Surface DEET'!$Q$9:$W$38,COLUMN(AC196)-COLUMN($E$5),1),$E203),0)</f>
        <v>0</v>
      </c>
      <c r="AD203" s="281">
        <f>IF(AD$6=$C203,IF(INDEX('Surface DEET'!$Q$9:$W$38,COLUMN(AD196)-COLUMN($E$5),1)&gt;0,INDEX('Surface DEET'!$Q$9:$W$38,COLUMN(AD196)-COLUMN($E$5),1),$E203),0)</f>
        <v>0</v>
      </c>
      <c r="AE203" s="281">
        <f>IF(AE$6=$C203,IF(INDEX('Surface DEET'!$Q$9:$W$38,COLUMN(AE196)-COLUMN($E$5),1)&gt;0,INDEX('Surface DEET'!$Q$9:$W$38,COLUMN(AE196)-COLUMN($E$5),1),$E203),0)</f>
        <v>0</v>
      </c>
      <c r="AF203" s="281">
        <f>IF(AF$6=$C203,IF(INDEX('Surface DEET'!$Q$9:$W$38,COLUMN(AF196)-COLUMN($E$5),1)&gt;0,INDEX('Surface DEET'!$Q$9:$W$38,COLUMN(AF196)-COLUMN($E$5),1),$E203),0)</f>
        <v>0</v>
      </c>
      <c r="AG203" s="281">
        <f>IF(AG$6=$C203,IF(INDEX('Surface DEET'!$Q$9:$W$38,COLUMN(AG196)-COLUMN($E$5),1)&gt;0,INDEX('Surface DEET'!$Q$9:$W$38,COLUMN(AG196)-COLUMN($E$5),1),$E203),0)</f>
        <v>0</v>
      </c>
      <c r="AH203" s="281">
        <f>IF(AH$6=$C203,IF(INDEX('Surface DEET'!$Q$9:$W$38,COLUMN(AH196)-COLUMN($E$5),1)&gt;0,INDEX('Surface DEET'!$Q$9:$W$38,COLUMN(AH196)-COLUMN($E$5),1),$E203),0)</f>
        <v>0</v>
      </c>
      <c r="AI203" s="281">
        <f>IF(AI$6=$C203,IF(INDEX('Surface DEET'!$Q$9:$W$38,COLUMN(AI196)-COLUMN($E$5),1)&gt;0,INDEX('Surface DEET'!$Q$9:$W$38,COLUMN(AI196)-COLUMN($E$5),1),$E203),0)</f>
        <v>0</v>
      </c>
    </row>
    <row r="204" spans="2:35">
      <c r="B204" s="281" t="s">
        <v>545</v>
      </c>
      <c r="C204" s="281" t="s">
        <v>648</v>
      </c>
    </row>
    <row r="205" spans="2:35">
      <c r="B205" s="281" t="s">
        <v>548</v>
      </c>
      <c r="C205" s="281" t="s">
        <v>648</v>
      </c>
    </row>
    <row r="206" spans="2:35">
      <c r="B206" s="281" t="s">
        <v>538</v>
      </c>
      <c r="C206" s="281" t="s">
        <v>648</v>
      </c>
      <c r="D206" s="281" t="s">
        <v>538</v>
      </c>
      <c r="F206" s="281">
        <f>$E$200*(F203/$E$203)+0.28*$E$199*(F203-$E$203)/$E$203</f>
        <v>-12.32</v>
      </c>
      <c r="G206" s="281">
        <f t="shared" ref="G206:AI206" si="24">$E$200*(G203/$E$203)+0.28*$E$199*(G203-$E$203)/$E$203</f>
        <v>-12.32</v>
      </c>
      <c r="H206" s="281">
        <f t="shared" si="24"/>
        <v>-12.32</v>
      </c>
      <c r="I206" s="281">
        <f t="shared" si="24"/>
        <v>-12.32</v>
      </c>
      <c r="J206" s="281">
        <f t="shared" si="24"/>
        <v>-12.32</v>
      </c>
      <c r="K206" s="281">
        <f t="shared" si="24"/>
        <v>-12.32</v>
      </c>
      <c r="L206" s="281">
        <f t="shared" si="24"/>
        <v>-12.32</v>
      </c>
      <c r="M206" s="281">
        <f t="shared" si="24"/>
        <v>-12.32</v>
      </c>
      <c r="N206" s="281">
        <f t="shared" si="24"/>
        <v>-12.32</v>
      </c>
      <c r="O206" s="281">
        <f t="shared" si="24"/>
        <v>-12.32</v>
      </c>
      <c r="P206" s="281">
        <f t="shared" si="24"/>
        <v>-12.32</v>
      </c>
      <c r="Q206" s="281">
        <f t="shared" si="24"/>
        <v>-12.32</v>
      </c>
      <c r="R206" s="281">
        <f t="shared" si="24"/>
        <v>-12.32</v>
      </c>
      <c r="S206" s="281">
        <f t="shared" si="24"/>
        <v>-12.32</v>
      </c>
      <c r="T206" s="281">
        <f t="shared" si="24"/>
        <v>-12.32</v>
      </c>
      <c r="U206" s="281">
        <f t="shared" si="24"/>
        <v>-12.32</v>
      </c>
      <c r="V206" s="281">
        <f t="shared" si="24"/>
        <v>-12.32</v>
      </c>
      <c r="W206" s="281">
        <f t="shared" si="24"/>
        <v>-12.32</v>
      </c>
      <c r="X206" s="281">
        <f t="shared" si="24"/>
        <v>-12.32</v>
      </c>
      <c r="Y206" s="281">
        <f t="shared" si="24"/>
        <v>-12.32</v>
      </c>
      <c r="Z206" s="281">
        <f t="shared" si="24"/>
        <v>-12.32</v>
      </c>
      <c r="AA206" s="281">
        <f t="shared" si="24"/>
        <v>-12.32</v>
      </c>
      <c r="AB206" s="281">
        <f t="shared" si="24"/>
        <v>-12.32</v>
      </c>
      <c r="AC206" s="281">
        <f t="shared" si="24"/>
        <v>-12.32</v>
      </c>
      <c r="AD206" s="281">
        <f t="shared" si="24"/>
        <v>-12.32</v>
      </c>
      <c r="AE206" s="281">
        <f t="shared" si="24"/>
        <v>-12.32</v>
      </c>
      <c r="AF206" s="281">
        <f t="shared" si="24"/>
        <v>-12.32</v>
      </c>
      <c r="AG206" s="281">
        <f t="shared" si="24"/>
        <v>-12.32</v>
      </c>
      <c r="AH206" s="281">
        <f t="shared" si="24"/>
        <v>-12.32</v>
      </c>
      <c r="AI206" s="281">
        <f t="shared" si="24"/>
        <v>-12.32</v>
      </c>
    </row>
    <row r="207" spans="2:35">
      <c r="B207" s="92" t="s">
        <v>298</v>
      </c>
      <c r="C207" s="281" t="s">
        <v>614</v>
      </c>
      <c r="D207" s="92" t="s">
        <v>298</v>
      </c>
      <c r="E207" s="281">
        <f t="array" ref="E207">INDEX(CABS_CVC!$C$3:$O$894,MATCH(1, (CABS_CVC!$A$3:$A$894=Calculs_CABS!C207)*(CABS_CVC!$B$3:$B$894=Calculs_CABS!$D$2),0),MATCH(Calculs_CABS!$D$1,Liste_CABS!$B$3:$B$15,0))</f>
        <v>68</v>
      </c>
    </row>
    <row r="208" spans="2:35">
      <c r="B208" s="281" t="s">
        <v>539</v>
      </c>
      <c r="C208" s="281" t="s">
        <v>614</v>
      </c>
      <c r="D208" s="281" t="s">
        <v>539</v>
      </c>
      <c r="E208" s="281">
        <v>73</v>
      </c>
    </row>
    <row r="209" spans="2:35">
      <c r="B209" s="281" t="s">
        <v>540</v>
      </c>
      <c r="C209" s="281" t="s">
        <v>614</v>
      </c>
      <c r="D209" s="281" t="s">
        <v>540</v>
      </c>
      <c r="E209" s="281">
        <f>E207+E208</f>
        <v>141</v>
      </c>
    </row>
    <row r="210" spans="2:35">
      <c r="B210" s="281" t="s">
        <v>541</v>
      </c>
      <c r="C210" s="281" t="s">
        <v>614</v>
      </c>
      <c r="D210" s="281" t="s">
        <v>541</v>
      </c>
      <c r="E210" s="281">
        <v>0.74</v>
      </c>
    </row>
    <row r="211" spans="2:35">
      <c r="B211" s="281" t="s">
        <v>542</v>
      </c>
      <c r="C211" s="281" t="s">
        <v>614</v>
      </c>
      <c r="D211" s="281" t="s">
        <v>641</v>
      </c>
      <c r="E211" s="281">
        <v>8760</v>
      </c>
      <c r="F211" s="281">
        <f>IF(F$6=$C211,IF(INDEX('Surface DEET'!$Q$9:$W$38,COLUMN(F204)-COLUMN($E$5),1)&gt;0,INDEX('Surface DEET'!$Q$9:$W$38,COLUMN(F204)-COLUMN($E$5),1),$E211),0)</f>
        <v>0</v>
      </c>
      <c r="G211" s="281">
        <f>IF(G$6=$C211,IF(INDEX('Surface DEET'!$Q$9:$W$38,COLUMN(G204)-COLUMN($E$5),1)&gt;0,INDEX('Surface DEET'!$Q$9:$W$38,COLUMN(G204)-COLUMN($E$5),1),$E211),0)</f>
        <v>0</v>
      </c>
      <c r="H211" s="281">
        <f>IF(H$6=$C211,IF(INDEX('Surface DEET'!$Q$9:$W$38,COLUMN(H204)-COLUMN($E$5),1)&gt;0,INDEX('Surface DEET'!$Q$9:$W$38,COLUMN(H204)-COLUMN($E$5),1),$E211),0)</f>
        <v>0</v>
      </c>
      <c r="I211" s="281">
        <f>IF(I$6=$C211,IF(INDEX('Surface DEET'!$Q$9:$W$38,COLUMN(I204)-COLUMN($E$5),1)&gt;0,INDEX('Surface DEET'!$Q$9:$W$38,COLUMN(I204)-COLUMN($E$5),1),$E211),0)</f>
        <v>0</v>
      </c>
      <c r="J211" s="281">
        <f>IF(J$6=$C211,IF(INDEX('Surface DEET'!$Q$9:$W$38,COLUMN(J204)-COLUMN($E$5),1)&gt;0,INDEX('Surface DEET'!$Q$9:$W$38,COLUMN(J204)-COLUMN($E$5),1),$E211),0)</f>
        <v>0</v>
      </c>
      <c r="K211" s="281">
        <f>IF(K$6=$C211,IF(INDEX('Surface DEET'!$Q$9:$W$38,COLUMN(K204)-COLUMN($E$5),1)&gt;0,INDEX('Surface DEET'!$Q$9:$W$38,COLUMN(K204)-COLUMN($E$5),1),$E211),0)</f>
        <v>0</v>
      </c>
      <c r="L211" s="281">
        <f>IF(L$6=$C211,IF(INDEX('Surface DEET'!$Q$9:$W$38,COLUMN(L204)-COLUMN($E$5),1)&gt;0,INDEX('Surface DEET'!$Q$9:$W$38,COLUMN(L204)-COLUMN($E$5),1),$E211),0)</f>
        <v>0</v>
      </c>
      <c r="M211" s="281">
        <f>IF(M$6=$C211,IF(INDEX('Surface DEET'!$Q$9:$W$38,COLUMN(M204)-COLUMN($E$5),1)&gt;0,INDEX('Surface DEET'!$Q$9:$W$38,COLUMN(M204)-COLUMN($E$5),1),$E211),0)</f>
        <v>0</v>
      </c>
      <c r="N211" s="281">
        <f>IF(N$6=$C211,IF(INDEX('Surface DEET'!$Q$9:$W$38,COLUMN(N204)-COLUMN($E$5),1)&gt;0,INDEX('Surface DEET'!$Q$9:$W$38,COLUMN(N204)-COLUMN($E$5),1),$E211),0)</f>
        <v>0</v>
      </c>
      <c r="O211" s="281">
        <f>IF(O$6=$C211,IF(INDEX('Surface DEET'!$Q$9:$W$38,COLUMN(O204)-COLUMN($E$5),1)&gt;0,INDEX('Surface DEET'!$Q$9:$W$38,COLUMN(O204)-COLUMN($E$5),1),$E211),0)</f>
        <v>0</v>
      </c>
      <c r="P211" s="281">
        <f>IF(P$6=$C211,IF(INDEX('Surface DEET'!$Q$9:$W$38,COLUMN(P204)-COLUMN($E$5),1)&gt;0,INDEX('Surface DEET'!$Q$9:$W$38,COLUMN(P204)-COLUMN($E$5),1),$E211),0)</f>
        <v>0</v>
      </c>
      <c r="Q211" s="281">
        <f>IF(Q$6=$C211,IF(INDEX('Surface DEET'!$Q$9:$W$38,COLUMN(Q204)-COLUMN($E$5),1)&gt;0,INDEX('Surface DEET'!$Q$9:$W$38,COLUMN(Q204)-COLUMN($E$5),1),$E211),0)</f>
        <v>0</v>
      </c>
      <c r="R211" s="281">
        <f>IF(R$6=$C211,IF(INDEX('Surface DEET'!$Q$9:$W$38,COLUMN(R204)-COLUMN($E$5),1)&gt;0,INDEX('Surface DEET'!$Q$9:$W$38,COLUMN(R204)-COLUMN($E$5),1),$E211),0)</f>
        <v>0</v>
      </c>
      <c r="S211" s="281">
        <f>IF(S$6=$C211,IF(INDEX('Surface DEET'!$Q$9:$W$38,COLUMN(S204)-COLUMN($E$5),1)&gt;0,INDEX('Surface DEET'!$Q$9:$W$38,COLUMN(S204)-COLUMN($E$5),1),$E211),0)</f>
        <v>0</v>
      </c>
      <c r="T211" s="281">
        <f>IF(T$6=$C211,IF(INDEX('Surface DEET'!$Q$9:$W$38,COLUMN(T204)-COLUMN($E$5),1)&gt;0,INDEX('Surface DEET'!$Q$9:$W$38,COLUMN(T204)-COLUMN($E$5),1),$E211),0)</f>
        <v>0</v>
      </c>
      <c r="U211" s="281">
        <f>IF(U$6=$C211,IF(INDEX('Surface DEET'!$Q$9:$W$38,COLUMN(U204)-COLUMN($E$5),1)&gt;0,INDEX('Surface DEET'!$Q$9:$W$38,COLUMN(U204)-COLUMN($E$5),1),$E211),0)</f>
        <v>0</v>
      </c>
      <c r="V211" s="281">
        <f>IF(V$6=$C211,IF(INDEX('Surface DEET'!$Q$9:$W$38,COLUMN(V204)-COLUMN($E$5),1)&gt;0,INDEX('Surface DEET'!$Q$9:$W$38,COLUMN(V204)-COLUMN($E$5),1),$E211),0)</f>
        <v>0</v>
      </c>
      <c r="W211" s="281">
        <f>IF(W$6=$C211,IF(INDEX('Surface DEET'!$Q$9:$W$38,COLUMN(W204)-COLUMN($E$5),1)&gt;0,INDEX('Surface DEET'!$Q$9:$W$38,COLUMN(W204)-COLUMN($E$5),1),$E211),0)</f>
        <v>0</v>
      </c>
      <c r="X211" s="281">
        <f>IF(X$6=$C211,IF(INDEX('Surface DEET'!$Q$9:$W$38,COLUMN(X204)-COLUMN($E$5),1)&gt;0,INDEX('Surface DEET'!$Q$9:$W$38,COLUMN(X204)-COLUMN($E$5),1),$E211),0)</f>
        <v>0</v>
      </c>
      <c r="Y211" s="281">
        <f>IF(Y$6=$C211,IF(INDEX('Surface DEET'!$Q$9:$W$38,COLUMN(Y204)-COLUMN($E$5),1)&gt;0,INDEX('Surface DEET'!$Q$9:$W$38,COLUMN(Y204)-COLUMN($E$5),1),$E211),0)</f>
        <v>0</v>
      </c>
      <c r="Z211" s="281">
        <f>IF(Z$6=$C211,IF(INDEX('Surface DEET'!$Q$9:$W$38,COLUMN(Z204)-COLUMN($E$5),1)&gt;0,INDEX('Surface DEET'!$Q$9:$W$38,COLUMN(Z204)-COLUMN($E$5),1),$E211),0)</f>
        <v>0</v>
      </c>
      <c r="AA211" s="281">
        <f>IF(AA$6=$C211,IF(INDEX('Surface DEET'!$Q$9:$W$38,COLUMN(AA204)-COLUMN($E$5),1)&gt;0,INDEX('Surface DEET'!$Q$9:$W$38,COLUMN(AA204)-COLUMN($E$5),1),$E211),0)</f>
        <v>0</v>
      </c>
      <c r="AB211" s="281">
        <f>IF(AB$6=$C211,IF(INDEX('Surface DEET'!$Q$9:$W$38,COLUMN(AB204)-COLUMN($E$5),1)&gt;0,INDEX('Surface DEET'!$Q$9:$W$38,COLUMN(AB204)-COLUMN($E$5),1),$E211),0)</f>
        <v>0</v>
      </c>
      <c r="AC211" s="281">
        <f>IF(AC$6=$C211,IF(INDEX('Surface DEET'!$Q$9:$W$38,COLUMN(AC204)-COLUMN($E$5),1)&gt;0,INDEX('Surface DEET'!$Q$9:$W$38,COLUMN(AC204)-COLUMN($E$5),1),$E211),0)</f>
        <v>0</v>
      </c>
      <c r="AD211" s="281">
        <f>IF(AD$6=$C211,IF(INDEX('Surface DEET'!$Q$9:$W$38,COLUMN(AD204)-COLUMN($E$5),1)&gt;0,INDEX('Surface DEET'!$Q$9:$W$38,COLUMN(AD204)-COLUMN($E$5),1),$E211),0)</f>
        <v>0</v>
      </c>
      <c r="AE211" s="281">
        <f>IF(AE$6=$C211,IF(INDEX('Surface DEET'!$Q$9:$W$38,COLUMN(AE204)-COLUMN($E$5),1)&gt;0,INDEX('Surface DEET'!$Q$9:$W$38,COLUMN(AE204)-COLUMN($E$5),1),$E211),0)</f>
        <v>0</v>
      </c>
      <c r="AF211" s="281">
        <f>IF(AF$6=$C211,IF(INDEX('Surface DEET'!$Q$9:$W$38,COLUMN(AF204)-COLUMN($E$5),1)&gt;0,INDEX('Surface DEET'!$Q$9:$W$38,COLUMN(AF204)-COLUMN($E$5),1),$E211),0)</f>
        <v>0</v>
      </c>
      <c r="AG211" s="281">
        <f>IF(AG$6=$C211,IF(INDEX('Surface DEET'!$Q$9:$W$38,COLUMN(AG204)-COLUMN($E$5),1)&gt;0,INDEX('Surface DEET'!$Q$9:$W$38,COLUMN(AG204)-COLUMN($E$5),1),$E211),0)</f>
        <v>0</v>
      </c>
      <c r="AH211" s="281">
        <f>IF(AH$6=$C211,IF(INDEX('Surface DEET'!$Q$9:$W$38,COLUMN(AH204)-COLUMN($E$5),1)&gt;0,INDEX('Surface DEET'!$Q$9:$W$38,COLUMN(AH204)-COLUMN($E$5),1),$E211),0)</f>
        <v>0</v>
      </c>
      <c r="AI211" s="281">
        <f>IF(AI$6=$C211,IF(INDEX('Surface DEET'!$Q$9:$W$38,COLUMN(AI204)-COLUMN($E$5),1)&gt;0,INDEX('Surface DEET'!$Q$9:$W$38,COLUMN(AI204)-COLUMN($E$5),1),$E211),0)</f>
        <v>0</v>
      </c>
    </row>
    <row r="212" spans="2:35">
      <c r="B212" s="281" t="s">
        <v>545</v>
      </c>
      <c r="C212" s="281" t="s">
        <v>614</v>
      </c>
      <c r="D212" s="281" t="s">
        <v>649</v>
      </c>
      <c r="E212" s="281">
        <v>23</v>
      </c>
      <c r="F212" s="281">
        <f>IF(F$6=$C212,IF(INDEX('Surface DEET'!$Q$9:$W$38,COLUMN(F205)-COLUMN($E$5),4)&gt;0,INDEX('Surface DEET'!$Q$9:$W$38,COLUMN(F205)-COLUMN($E$5),4),$E212),0)</f>
        <v>0</v>
      </c>
      <c r="G212" s="281">
        <f>IF(G$6=$C212,IF(INDEX('Surface DEET'!$Q$9:$W$38,COLUMN(G205)-COLUMN($E$5),4)&gt;0,INDEX('Surface DEET'!$Q$9:$W$38,COLUMN(G205)-COLUMN($E$5),4),$E212),0)</f>
        <v>0</v>
      </c>
      <c r="H212" s="281">
        <f>IF(H$6=$C212,IF(INDEX('Surface DEET'!$Q$9:$W$38,COLUMN(H205)-COLUMN($E$5),4)&gt;0,INDEX('Surface DEET'!$Q$9:$W$38,COLUMN(H205)-COLUMN($E$5),4),$E212),0)</f>
        <v>0</v>
      </c>
      <c r="I212" s="281">
        <f>IF(I$6=$C212,IF(INDEX('Surface DEET'!$Q$9:$W$38,COLUMN(I205)-COLUMN($E$5),4)&gt;0,INDEX('Surface DEET'!$Q$9:$W$38,COLUMN(I205)-COLUMN($E$5),4),$E212),0)</f>
        <v>0</v>
      </c>
      <c r="J212" s="281">
        <f>IF(J$6=$C212,IF(INDEX('Surface DEET'!$Q$9:$W$38,COLUMN(J205)-COLUMN($E$5),4)&gt;0,INDEX('Surface DEET'!$Q$9:$W$38,COLUMN(J205)-COLUMN($E$5),4),$E212),0)</f>
        <v>0</v>
      </c>
      <c r="K212" s="281">
        <f>IF(K$6=$C212,IF(INDEX('Surface DEET'!$Q$9:$W$38,COLUMN(K205)-COLUMN($E$5),4)&gt;0,INDEX('Surface DEET'!$Q$9:$W$38,COLUMN(K205)-COLUMN($E$5),4),$E212),0)</f>
        <v>0</v>
      </c>
      <c r="L212" s="281">
        <f>IF(L$6=$C212,IF(INDEX('Surface DEET'!$Q$9:$W$38,COLUMN(L205)-COLUMN($E$5),4)&gt;0,INDEX('Surface DEET'!$Q$9:$W$38,COLUMN(L205)-COLUMN($E$5),4),$E212),0)</f>
        <v>0</v>
      </c>
      <c r="M212" s="281">
        <f>IF(M$6=$C212,IF(INDEX('Surface DEET'!$Q$9:$W$38,COLUMN(M205)-COLUMN($E$5),4)&gt;0,INDEX('Surface DEET'!$Q$9:$W$38,COLUMN(M205)-COLUMN($E$5),4),$E212),0)</f>
        <v>0</v>
      </c>
      <c r="N212" s="281">
        <f>IF(N$6=$C212,IF(INDEX('Surface DEET'!$Q$9:$W$38,COLUMN(N205)-COLUMN($E$5),4)&gt;0,INDEX('Surface DEET'!$Q$9:$W$38,COLUMN(N205)-COLUMN($E$5),4),$E212),0)</f>
        <v>0</v>
      </c>
      <c r="O212" s="281">
        <f>IF(O$6=$C212,IF(INDEX('Surface DEET'!$Q$9:$W$38,COLUMN(O205)-COLUMN($E$5),4)&gt;0,INDEX('Surface DEET'!$Q$9:$W$38,COLUMN(O205)-COLUMN($E$5),4),$E212),0)</f>
        <v>0</v>
      </c>
      <c r="P212" s="281">
        <f>IF(P$6=$C212,IF(INDEX('Surface DEET'!$Q$9:$W$38,COLUMN(P205)-COLUMN($E$5),4)&gt;0,INDEX('Surface DEET'!$Q$9:$W$38,COLUMN(P205)-COLUMN($E$5),4),$E212),0)</f>
        <v>0</v>
      </c>
      <c r="Q212" s="281">
        <f>IF(Q$6=$C212,IF(INDEX('Surface DEET'!$Q$9:$W$38,COLUMN(Q205)-COLUMN($E$5),4)&gt;0,INDEX('Surface DEET'!$Q$9:$W$38,COLUMN(Q205)-COLUMN($E$5),4),$E212),0)</f>
        <v>0</v>
      </c>
      <c r="R212" s="281">
        <f>IF(R$6=$C212,IF(INDEX('Surface DEET'!$Q$9:$W$38,COLUMN(R205)-COLUMN($E$5),4)&gt;0,INDEX('Surface DEET'!$Q$9:$W$38,COLUMN(R205)-COLUMN($E$5),4),$E212),0)</f>
        <v>0</v>
      </c>
      <c r="S212" s="281">
        <f>IF(S$6=$C212,IF(INDEX('Surface DEET'!$Q$9:$W$38,COLUMN(S205)-COLUMN($E$5),4)&gt;0,INDEX('Surface DEET'!$Q$9:$W$38,COLUMN(S205)-COLUMN($E$5),4),$E212),0)</f>
        <v>0</v>
      </c>
      <c r="T212" s="281">
        <f>IF(T$6=$C212,IF(INDEX('Surface DEET'!$Q$9:$W$38,COLUMN(T205)-COLUMN($E$5),4)&gt;0,INDEX('Surface DEET'!$Q$9:$W$38,COLUMN(T205)-COLUMN($E$5),4),$E212),0)</f>
        <v>0</v>
      </c>
      <c r="U212" s="281">
        <f>IF(U$6=$C212,IF(INDEX('Surface DEET'!$Q$9:$W$38,COLUMN(U205)-COLUMN($E$5),4)&gt;0,INDEX('Surface DEET'!$Q$9:$W$38,COLUMN(U205)-COLUMN($E$5),4),$E212),0)</f>
        <v>0</v>
      </c>
      <c r="V212" s="281">
        <f>IF(V$6=$C212,IF(INDEX('Surface DEET'!$Q$9:$W$38,COLUMN(V205)-COLUMN($E$5),4)&gt;0,INDEX('Surface DEET'!$Q$9:$W$38,COLUMN(V205)-COLUMN($E$5),4),$E212),0)</f>
        <v>0</v>
      </c>
      <c r="W212" s="281">
        <f>IF(W$6=$C212,IF(INDEX('Surface DEET'!$Q$9:$W$38,COLUMN(W205)-COLUMN($E$5),4)&gt;0,INDEX('Surface DEET'!$Q$9:$W$38,COLUMN(W205)-COLUMN($E$5),4),$E212),0)</f>
        <v>0</v>
      </c>
      <c r="X212" s="281">
        <f>IF(X$6=$C212,IF(INDEX('Surface DEET'!$Q$9:$W$38,COLUMN(X205)-COLUMN($E$5),4)&gt;0,INDEX('Surface DEET'!$Q$9:$W$38,COLUMN(X205)-COLUMN($E$5),4),$E212),0)</f>
        <v>0</v>
      </c>
      <c r="Y212" s="281">
        <f>IF(Y$6=$C212,IF(INDEX('Surface DEET'!$Q$9:$W$38,COLUMN(Y205)-COLUMN($E$5),4)&gt;0,INDEX('Surface DEET'!$Q$9:$W$38,COLUMN(Y205)-COLUMN($E$5),4),$E212),0)</f>
        <v>0</v>
      </c>
      <c r="Z212" s="281">
        <f>IF(Z$6=$C212,IF(INDEX('Surface DEET'!$Q$9:$W$38,COLUMN(Z205)-COLUMN($E$5),4)&gt;0,INDEX('Surface DEET'!$Q$9:$W$38,COLUMN(Z205)-COLUMN($E$5),4),$E212),0)</f>
        <v>0</v>
      </c>
      <c r="AA212" s="281">
        <f>IF(AA$6=$C212,IF(INDEX('Surface DEET'!$Q$9:$W$38,COLUMN(AA205)-COLUMN($E$5),4)&gt;0,INDEX('Surface DEET'!$Q$9:$W$38,COLUMN(AA205)-COLUMN($E$5),4),$E212),0)</f>
        <v>0</v>
      </c>
      <c r="AB212" s="281">
        <f>IF(AB$6=$C212,IF(INDEX('Surface DEET'!$Q$9:$W$38,COLUMN(AB205)-COLUMN($E$5),4)&gt;0,INDEX('Surface DEET'!$Q$9:$W$38,COLUMN(AB205)-COLUMN($E$5),4),$E212),0)</f>
        <v>0</v>
      </c>
      <c r="AC212" s="281">
        <f>IF(AC$6=$C212,IF(INDEX('Surface DEET'!$Q$9:$W$38,COLUMN(AC205)-COLUMN($E$5),4)&gt;0,INDEX('Surface DEET'!$Q$9:$W$38,COLUMN(AC205)-COLUMN($E$5),4),$E212),0)</f>
        <v>0</v>
      </c>
      <c r="AD212" s="281">
        <f>IF(AD$6=$C212,IF(INDEX('Surface DEET'!$Q$9:$W$38,COLUMN(AD205)-COLUMN($E$5),4)&gt;0,INDEX('Surface DEET'!$Q$9:$W$38,COLUMN(AD205)-COLUMN($E$5),4),$E212),0)</f>
        <v>0</v>
      </c>
      <c r="AE212" s="281">
        <f>IF(AE$6=$C212,IF(INDEX('Surface DEET'!$Q$9:$W$38,COLUMN(AE205)-COLUMN($E$5),4)&gt;0,INDEX('Surface DEET'!$Q$9:$W$38,COLUMN(AE205)-COLUMN($E$5),4),$E212),0)</f>
        <v>0</v>
      </c>
      <c r="AF212" s="281">
        <f>IF(AF$6=$C212,IF(INDEX('Surface DEET'!$Q$9:$W$38,COLUMN(AF205)-COLUMN($E$5),4)&gt;0,INDEX('Surface DEET'!$Q$9:$W$38,COLUMN(AF205)-COLUMN($E$5),4),$E212),0)</f>
        <v>0</v>
      </c>
      <c r="AG212" s="281">
        <f>IF(AG$6=$C212,IF(INDEX('Surface DEET'!$Q$9:$W$38,COLUMN(AG205)-COLUMN($E$5),4)&gt;0,INDEX('Surface DEET'!$Q$9:$W$38,COLUMN(AG205)-COLUMN($E$5),4),$E212),0)</f>
        <v>0</v>
      </c>
      <c r="AH212" s="281">
        <f>IF(AH$6=$C212,IF(INDEX('Surface DEET'!$Q$9:$W$38,COLUMN(AH205)-COLUMN($E$5),4)&gt;0,INDEX('Surface DEET'!$Q$9:$W$38,COLUMN(AH205)-COLUMN($E$5),4),$E212),0)</f>
        <v>0</v>
      </c>
      <c r="AI212" s="281">
        <f>IF(AI$6=$C212,IF(INDEX('Surface DEET'!$Q$9:$W$38,COLUMN(AI205)-COLUMN($E$5),4)&gt;0,INDEX('Surface DEET'!$Q$9:$W$38,COLUMN(AI205)-COLUMN($E$5),4),$E212),0)</f>
        <v>0</v>
      </c>
    </row>
    <row r="213" spans="2:35">
      <c r="B213" s="281" t="s">
        <v>548</v>
      </c>
      <c r="C213" s="281" t="s">
        <v>614</v>
      </c>
    </row>
    <row r="214" spans="2:35">
      <c r="B214" s="281" t="s">
        <v>538</v>
      </c>
      <c r="C214" s="281" t="s">
        <v>614</v>
      </c>
      <c r="D214" s="281" t="s">
        <v>538</v>
      </c>
      <c r="F214" s="281">
        <f>IFERROR($E$208*(F211/$E$211)*($E$210*($E$212/F212)+(1-$E$210))+0.28*$E$207*(F211-$E$211)/$E$211,0)</f>
        <v>0</v>
      </c>
      <c r="G214" s="281">
        <f t="shared" ref="G214:AI214" si="25">IFERROR($E$208*(G211/$E$211)*($E$210*($E$212/G212)+(1-$E$210))+0.28*$E$207*(G211-$E$211)/$E$211,0)</f>
        <v>0</v>
      </c>
      <c r="H214" s="281">
        <f t="shared" si="25"/>
        <v>0</v>
      </c>
      <c r="I214" s="281">
        <f t="shared" si="25"/>
        <v>0</v>
      </c>
      <c r="J214" s="281">
        <f t="shared" si="25"/>
        <v>0</v>
      </c>
      <c r="K214" s="281">
        <f t="shared" si="25"/>
        <v>0</v>
      </c>
      <c r="L214" s="281">
        <f t="shared" si="25"/>
        <v>0</v>
      </c>
      <c r="M214" s="281">
        <f t="shared" si="25"/>
        <v>0</v>
      </c>
      <c r="N214" s="281">
        <f t="shared" si="25"/>
        <v>0</v>
      </c>
      <c r="O214" s="281">
        <f t="shared" si="25"/>
        <v>0</v>
      </c>
      <c r="P214" s="281">
        <f t="shared" si="25"/>
        <v>0</v>
      </c>
      <c r="Q214" s="281">
        <f t="shared" si="25"/>
        <v>0</v>
      </c>
      <c r="R214" s="281">
        <f t="shared" si="25"/>
        <v>0</v>
      </c>
      <c r="S214" s="281">
        <f t="shared" si="25"/>
        <v>0</v>
      </c>
      <c r="T214" s="281">
        <f t="shared" si="25"/>
        <v>0</v>
      </c>
      <c r="U214" s="281">
        <f t="shared" si="25"/>
        <v>0</v>
      </c>
      <c r="V214" s="281">
        <f t="shared" si="25"/>
        <v>0</v>
      </c>
      <c r="W214" s="281">
        <f t="shared" si="25"/>
        <v>0</v>
      </c>
      <c r="X214" s="281">
        <f t="shared" si="25"/>
        <v>0</v>
      </c>
      <c r="Y214" s="281">
        <f t="shared" si="25"/>
        <v>0</v>
      </c>
      <c r="Z214" s="281">
        <f t="shared" si="25"/>
        <v>0</v>
      </c>
      <c r="AA214" s="281">
        <f t="shared" si="25"/>
        <v>0</v>
      </c>
      <c r="AB214" s="281">
        <f t="shared" si="25"/>
        <v>0</v>
      </c>
      <c r="AC214" s="281">
        <f t="shared" si="25"/>
        <v>0</v>
      </c>
      <c r="AD214" s="281">
        <f t="shared" si="25"/>
        <v>0</v>
      </c>
      <c r="AE214" s="281">
        <f t="shared" si="25"/>
        <v>0</v>
      </c>
      <c r="AF214" s="281">
        <f t="shared" si="25"/>
        <v>0</v>
      </c>
      <c r="AG214" s="281">
        <f t="shared" si="25"/>
        <v>0</v>
      </c>
      <c r="AH214" s="281">
        <f t="shared" si="25"/>
        <v>0</v>
      </c>
      <c r="AI214" s="281">
        <f t="shared" si="25"/>
        <v>0</v>
      </c>
    </row>
    <row r="215" spans="2:35">
      <c r="B215" s="92" t="s">
        <v>298</v>
      </c>
      <c r="C215" s="281" t="s">
        <v>650</v>
      </c>
      <c r="D215" s="92" t="s">
        <v>298</v>
      </c>
      <c r="E215" s="281">
        <f t="array" ref="E215">INDEX(CABS_CVC!$C$3:$O$894,MATCH(1, (CABS_CVC!$A$3:$A$894=Calculs_CABS!C215)*(CABS_CVC!$B$3:$B$894=Calculs_CABS!$D$2),0),MATCH(Calculs_CABS!$D$1,Liste_CABS!$B$3:$B$15,0))</f>
        <v>16</v>
      </c>
    </row>
    <row r="216" spans="2:35">
      <c r="B216" s="281" t="s">
        <v>539</v>
      </c>
      <c r="C216" s="281" t="s">
        <v>650</v>
      </c>
      <c r="D216" s="281" t="s">
        <v>539</v>
      </c>
      <c r="E216" s="281">
        <v>8</v>
      </c>
    </row>
    <row r="217" spans="2:35">
      <c r="B217" s="281" t="s">
        <v>540</v>
      </c>
      <c r="C217" s="281" t="s">
        <v>650</v>
      </c>
      <c r="D217" s="281" t="s">
        <v>540</v>
      </c>
      <c r="E217" s="281">
        <f>E215+E216</f>
        <v>24</v>
      </c>
    </row>
    <row r="218" spans="2:35">
      <c r="B218" s="281" t="s">
        <v>541</v>
      </c>
      <c r="C218" s="281" t="s">
        <v>650</v>
      </c>
      <c r="D218" s="281" t="s">
        <v>541</v>
      </c>
      <c r="E218" s="281">
        <v>0.6</v>
      </c>
    </row>
    <row r="219" spans="2:35">
      <c r="B219" s="281" t="s">
        <v>542</v>
      </c>
      <c r="C219" s="281" t="s">
        <v>650</v>
      </c>
      <c r="D219" s="281" t="s">
        <v>542</v>
      </c>
    </row>
    <row r="220" spans="2:35">
      <c r="B220" s="281" t="s">
        <v>545</v>
      </c>
      <c r="C220" s="281" t="s">
        <v>650</v>
      </c>
      <c r="D220" s="281" t="s">
        <v>545</v>
      </c>
    </row>
    <row r="221" spans="2:35">
      <c r="B221" s="281" t="s">
        <v>548</v>
      </c>
      <c r="C221" s="281" t="s">
        <v>650</v>
      </c>
      <c r="D221" s="281" t="s">
        <v>548</v>
      </c>
    </row>
    <row r="222" spans="2:35">
      <c r="B222" s="281" t="s">
        <v>538</v>
      </c>
      <c r="C222" s="281" t="s">
        <v>650</v>
      </c>
      <c r="D222" s="281" t="s">
        <v>538</v>
      </c>
      <c r="F222" s="281">
        <f>$E$216+$E$215</f>
        <v>24</v>
      </c>
      <c r="G222" s="281">
        <f t="shared" ref="G222:AI222" si="26">$E$216+$E$215</f>
        <v>24</v>
      </c>
      <c r="H222" s="281">
        <f t="shared" si="26"/>
        <v>24</v>
      </c>
      <c r="I222" s="281">
        <f t="shared" si="26"/>
        <v>24</v>
      </c>
      <c r="J222" s="281">
        <f t="shared" si="26"/>
        <v>24</v>
      </c>
      <c r="K222" s="281">
        <f t="shared" si="26"/>
        <v>24</v>
      </c>
      <c r="L222" s="281">
        <f t="shared" si="26"/>
        <v>24</v>
      </c>
      <c r="M222" s="281">
        <f t="shared" si="26"/>
        <v>24</v>
      </c>
      <c r="N222" s="281">
        <f t="shared" si="26"/>
        <v>24</v>
      </c>
      <c r="O222" s="281">
        <f t="shared" si="26"/>
        <v>24</v>
      </c>
      <c r="P222" s="281">
        <f t="shared" si="26"/>
        <v>24</v>
      </c>
      <c r="Q222" s="281">
        <f t="shared" si="26"/>
        <v>24</v>
      </c>
      <c r="R222" s="281">
        <f t="shared" si="26"/>
        <v>24</v>
      </c>
      <c r="S222" s="281">
        <f t="shared" si="26"/>
        <v>24</v>
      </c>
      <c r="T222" s="281">
        <f t="shared" si="26"/>
        <v>24</v>
      </c>
      <c r="U222" s="281">
        <f t="shared" si="26"/>
        <v>24</v>
      </c>
      <c r="V222" s="281">
        <f t="shared" si="26"/>
        <v>24</v>
      </c>
      <c r="W222" s="281">
        <f t="shared" si="26"/>
        <v>24</v>
      </c>
      <c r="X222" s="281">
        <f t="shared" si="26"/>
        <v>24</v>
      </c>
      <c r="Y222" s="281">
        <f t="shared" si="26"/>
        <v>24</v>
      </c>
      <c r="Z222" s="281">
        <f t="shared" si="26"/>
        <v>24</v>
      </c>
      <c r="AA222" s="281">
        <f t="shared" si="26"/>
        <v>24</v>
      </c>
      <c r="AB222" s="281">
        <f t="shared" si="26"/>
        <v>24</v>
      </c>
      <c r="AC222" s="281">
        <f t="shared" si="26"/>
        <v>24</v>
      </c>
      <c r="AD222" s="281">
        <f t="shared" si="26"/>
        <v>24</v>
      </c>
      <c r="AE222" s="281">
        <f t="shared" si="26"/>
        <v>24</v>
      </c>
      <c r="AF222" s="281">
        <f t="shared" si="26"/>
        <v>24</v>
      </c>
      <c r="AG222" s="281">
        <f t="shared" si="26"/>
        <v>24</v>
      </c>
      <c r="AH222" s="281">
        <f t="shared" si="26"/>
        <v>24</v>
      </c>
      <c r="AI222" s="281">
        <f t="shared" si="26"/>
        <v>24</v>
      </c>
    </row>
    <row r="223" spans="2:35">
      <c r="B223" s="92" t="s">
        <v>298</v>
      </c>
      <c r="C223" s="281" t="s">
        <v>651</v>
      </c>
      <c r="D223" s="92" t="s">
        <v>298</v>
      </c>
      <c r="E223" s="281">
        <f t="array" ref="E223">INDEX(CABS_CVC!$C$3:$O$894,MATCH(1, (CABS_CVC!$A$3:$A$894=Calculs_CABS!C223)*(CABS_CVC!$B$3:$B$894=Calculs_CABS!$D$2),0),MATCH(Calculs_CABS!$D$1,Liste_CABS!$B$3:$B$15,0))</f>
        <v>1</v>
      </c>
    </row>
    <row r="224" spans="2:35">
      <c r="B224" s="281" t="s">
        <v>539</v>
      </c>
      <c r="C224" s="281" t="s">
        <v>651</v>
      </c>
      <c r="D224" s="281" t="s">
        <v>539</v>
      </c>
      <c r="E224" s="281">
        <v>1</v>
      </c>
    </row>
    <row r="225" spans="2:35">
      <c r="B225" s="281" t="s">
        <v>540</v>
      </c>
      <c r="C225" s="281" t="s">
        <v>651</v>
      </c>
      <c r="D225" s="281" t="s">
        <v>540</v>
      </c>
      <c r="E225" s="281">
        <f>E223+E224</f>
        <v>2</v>
      </c>
    </row>
    <row r="226" spans="2:35">
      <c r="B226" s="281" t="s">
        <v>541</v>
      </c>
      <c r="C226" s="281" t="s">
        <v>651</v>
      </c>
      <c r="D226" s="281" t="s">
        <v>541</v>
      </c>
      <c r="E226" s="281">
        <v>0.63</v>
      </c>
    </row>
    <row r="227" spans="2:35">
      <c r="B227" s="281" t="s">
        <v>542</v>
      </c>
      <c r="C227" s="281" t="s">
        <v>651</v>
      </c>
    </row>
    <row r="228" spans="2:35">
      <c r="B228" s="281" t="s">
        <v>545</v>
      </c>
      <c r="C228" s="281" t="s">
        <v>651</v>
      </c>
    </row>
    <row r="229" spans="2:35">
      <c r="B229" s="281" t="s">
        <v>548</v>
      </c>
      <c r="C229" s="281" t="s">
        <v>651</v>
      </c>
    </row>
    <row r="230" spans="2:35">
      <c r="B230" s="281" t="s">
        <v>538</v>
      </c>
      <c r="C230" s="281" t="s">
        <v>651</v>
      </c>
      <c r="D230" s="281" t="s">
        <v>538</v>
      </c>
      <c r="F230" s="281">
        <f>$E$225</f>
        <v>2</v>
      </c>
      <c r="G230" s="281">
        <f t="shared" ref="G230:AI230" si="27">$E$225</f>
        <v>2</v>
      </c>
      <c r="H230" s="281">
        <f t="shared" si="27"/>
        <v>2</v>
      </c>
      <c r="I230" s="281">
        <f t="shared" si="27"/>
        <v>2</v>
      </c>
      <c r="J230" s="281">
        <f t="shared" si="27"/>
        <v>2</v>
      </c>
      <c r="K230" s="281">
        <f t="shared" si="27"/>
        <v>2</v>
      </c>
      <c r="L230" s="281">
        <f t="shared" si="27"/>
        <v>2</v>
      </c>
      <c r="M230" s="281">
        <f t="shared" si="27"/>
        <v>2</v>
      </c>
      <c r="N230" s="281">
        <f t="shared" si="27"/>
        <v>2</v>
      </c>
      <c r="O230" s="281">
        <f t="shared" si="27"/>
        <v>2</v>
      </c>
      <c r="P230" s="281">
        <f t="shared" si="27"/>
        <v>2</v>
      </c>
      <c r="Q230" s="281">
        <f t="shared" si="27"/>
        <v>2</v>
      </c>
      <c r="R230" s="281">
        <f t="shared" si="27"/>
        <v>2</v>
      </c>
      <c r="S230" s="281">
        <f t="shared" si="27"/>
        <v>2</v>
      </c>
      <c r="T230" s="281">
        <f t="shared" si="27"/>
        <v>2</v>
      </c>
      <c r="U230" s="281">
        <f t="shared" si="27"/>
        <v>2</v>
      </c>
      <c r="V230" s="281">
        <f t="shared" si="27"/>
        <v>2</v>
      </c>
      <c r="W230" s="281">
        <f t="shared" si="27"/>
        <v>2</v>
      </c>
      <c r="X230" s="281">
        <f t="shared" si="27"/>
        <v>2</v>
      </c>
      <c r="Y230" s="281">
        <f t="shared" si="27"/>
        <v>2</v>
      </c>
      <c r="Z230" s="281">
        <f t="shared" si="27"/>
        <v>2</v>
      </c>
      <c r="AA230" s="281">
        <f t="shared" si="27"/>
        <v>2</v>
      </c>
      <c r="AB230" s="281">
        <f t="shared" si="27"/>
        <v>2</v>
      </c>
      <c r="AC230" s="281">
        <f t="shared" si="27"/>
        <v>2</v>
      </c>
      <c r="AD230" s="281">
        <f t="shared" si="27"/>
        <v>2</v>
      </c>
      <c r="AE230" s="281">
        <f t="shared" si="27"/>
        <v>2</v>
      </c>
      <c r="AF230" s="281">
        <f t="shared" si="27"/>
        <v>2</v>
      </c>
      <c r="AG230" s="281">
        <f t="shared" si="27"/>
        <v>2</v>
      </c>
      <c r="AH230" s="281">
        <f t="shared" si="27"/>
        <v>2</v>
      </c>
      <c r="AI230" s="281">
        <f t="shared" si="27"/>
        <v>2</v>
      </c>
    </row>
    <row r="231" spans="2:35">
      <c r="B231" s="92" t="s">
        <v>298</v>
      </c>
      <c r="C231" s="281" t="s">
        <v>652</v>
      </c>
      <c r="D231" s="92" t="s">
        <v>653</v>
      </c>
      <c r="E231" s="281">
        <f t="array" ref="E231">INDEX(CABS_CVC!$C$3:$O$894,MATCH(1, (CABS_CVC!$A$3:$A$894=Calculs_CABS!C231)*(CABS_CVC!$B$3:$B$894=Calculs_CABS!$D$2),0),MATCH(Calculs_CABS!$D$1,Liste_CABS!$B$3:$B$15,0))</f>
        <v>2</v>
      </c>
    </row>
    <row r="232" spans="2:35">
      <c r="B232" s="281" t="s">
        <v>539</v>
      </c>
      <c r="C232" s="281" t="s">
        <v>652</v>
      </c>
      <c r="D232" s="281" t="s">
        <v>539</v>
      </c>
      <c r="E232" s="281">
        <v>1156</v>
      </c>
    </row>
    <row r="233" spans="2:35">
      <c r="B233" s="281" t="s">
        <v>540</v>
      </c>
      <c r="C233" s="281" t="s">
        <v>652</v>
      </c>
      <c r="D233" s="281" t="s">
        <v>540</v>
      </c>
    </row>
    <row r="234" spans="2:35">
      <c r="B234" s="281" t="s">
        <v>541</v>
      </c>
      <c r="C234" s="281" t="s">
        <v>652</v>
      </c>
      <c r="D234" s="281" t="s">
        <v>541</v>
      </c>
    </row>
    <row r="235" spans="2:35">
      <c r="B235" s="281" t="s">
        <v>542</v>
      </c>
      <c r="C235" s="281" t="s">
        <v>652</v>
      </c>
      <c r="D235" s="281" t="s">
        <v>654</v>
      </c>
      <c r="F235" s="281">
        <f>IF(F$6=$C235,IF(INDEX('Surface DEET'!$Q$9:$W$38,COLUMN(F228)-COLUMN($E$5),1)&gt;0,INDEX('Surface DEET'!$Q$9:$W$38,COLUMN(F228)-COLUMN($E$5),1),$E235),0)</f>
        <v>0</v>
      </c>
      <c r="G235" s="281">
        <f>IF(G$6=$C235,IF(INDEX('Surface DEET'!$Q$9:$W$38,COLUMN(G228)-COLUMN($E$5),1)&gt;0,INDEX('Surface DEET'!$Q$9:$W$38,COLUMN(G228)-COLUMN($E$5),1),$E235),0)</f>
        <v>0</v>
      </c>
      <c r="H235" s="281">
        <f>IF(H$6=$C235,IF(INDEX('Surface DEET'!$Q$9:$W$38,COLUMN(H228)-COLUMN($E$5),1)&gt;0,INDEX('Surface DEET'!$Q$9:$W$38,COLUMN(H228)-COLUMN($E$5),1),$E235),0)</f>
        <v>0</v>
      </c>
      <c r="I235" s="281">
        <f>IF(I$6=$C235,IF(INDEX('Surface DEET'!$Q$9:$W$38,COLUMN(I228)-COLUMN($E$5),1)&gt;0,INDEX('Surface DEET'!$Q$9:$W$38,COLUMN(I228)-COLUMN($E$5),1),$E235),0)</f>
        <v>0</v>
      </c>
      <c r="J235" s="281">
        <f>IF(J$6=$C235,IF(INDEX('Surface DEET'!$Q$9:$W$38,COLUMN(J228)-COLUMN($E$5),1)&gt;0,INDEX('Surface DEET'!$Q$9:$W$38,COLUMN(J228)-COLUMN($E$5),1),$E235),0)</f>
        <v>0</v>
      </c>
      <c r="K235" s="281">
        <f>IF(K$6=$C235,IF(INDEX('Surface DEET'!$Q$9:$W$38,COLUMN(K228)-COLUMN($E$5),1)&gt;0,INDEX('Surface DEET'!$Q$9:$W$38,COLUMN(K228)-COLUMN($E$5),1),$E235),0)</f>
        <v>0</v>
      </c>
      <c r="L235" s="281">
        <f>IF(L$6=$C235,IF(INDEX('Surface DEET'!$Q$9:$W$38,COLUMN(L228)-COLUMN($E$5),1)&gt;0,INDEX('Surface DEET'!$Q$9:$W$38,COLUMN(L228)-COLUMN($E$5),1),$E235),0)</f>
        <v>0</v>
      </c>
      <c r="M235" s="281">
        <f>IF(M$6=$C235,IF(INDEX('Surface DEET'!$Q$9:$W$38,COLUMN(M228)-COLUMN($E$5),1)&gt;0,INDEX('Surface DEET'!$Q$9:$W$38,COLUMN(M228)-COLUMN($E$5),1),$E235),0)</f>
        <v>0</v>
      </c>
      <c r="N235" s="281">
        <f>IF(N$6=$C235,IF(INDEX('Surface DEET'!$Q$9:$W$38,COLUMN(N228)-COLUMN($E$5),1)&gt;0,INDEX('Surface DEET'!$Q$9:$W$38,COLUMN(N228)-COLUMN($E$5),1),$E235),0)</f>
        <v>0</v>
      </c>
      <c r="O235" s="281">
        <f>IF(O$6=$C235,IF(INDEX('Surface DEET'!$Q$9:$W$38,COLUMN(O228)-COLUMN($E$5),1)&gt;0,INDEX('Surface DEET'!$Q$9:$W$38,COLUMN(O228)-COLUMN($E$5),1),$E235),0)</f>
        <v>0</v>
      </c>
      <c r="P235" s="281">
        <f>IF(P$6=$C235,IF(INDEX('Surface DEET'!$Q$9:$W$38,COLUMN(P228)-COLUMN($E$5),1)&gt;0,INDEX('Surface DEET'!$Q$9:$W$38,COLUMN(P228)-COLUMN($E$5),1),$E235),0)</f>
        <v>0</v>
      </c>
      <c r="Q235" s="281">
        <f>IF(Q$6=$C235,IF(INDEX('Surface DEET'!$Q$9:$W$38,COLUMN(Q228)-COLUMN($E$5),1)&gt;0,INDEX('Surface DEET'!$Q$9:$W$38,COLUMN(Q228)-COLUMN($E$5),1),$E235),0)</f>
        <v>0</v>
      </c>
      <c r="R235" s="281">
        <f>IF(R$6=$C235,IF(INDEX('Surface DEET'!$Q$9:$W$38,COLUMN(R228)-COLUMN($E$5),1)&gt;0,INDEX('Surface DEET'!$Q$9:$W$38,COLUMN(R228)-COLUMN($E$5),1),$E235),0)</f>
        <v>0</v>
      </c>
      <c r="S235" s="281">
        <f>IF(S$6=$C235,IF(INDEX('Surface DEET'!$Q$9:$W$38,COLUMN(S228)-COLUMN($E$5),1)&gt;0,INDEX('Surface DEET'!$Q$9:$W$38,COLUMN(S228)-COLUMN($E$5),1),$E235),0)</f>
        <v>0</v>
      </c>
      <c r="T235" s="281">
        <f>IF(T$6=$C235,IF(INDEX('Surface DEET'!$Q$9:$W$38,COLUMN(T228)-COLUMN($E$5),1)&gt;0,INDEX('Surface DEET'!$Q$9:$W$38,COLUMN(T228)-COLUMN($E$5),1),$E235),0)</f>
        <v>0</v>
      </c>
      <c r="U235" s="281">
        <f>IF(U$6=$C235,IF(INDEX('Surface DEET'!$Q$9:$W$38,COLUMN(U228)-COLUMN($E$5),1)&gt;0,INDEX('Surface DEET'!$Q$9:$W$38,COLUMN(U228)-COLUMN($E$5),1),$E235),0)</f>
        <v>0</v>
      </c>
      <c r="V235" s="281">
        <f>IF(V$6=$C235,IF(INDEX('Surface DEET'!$Q$9:$W$38,COLUMN(V228)-COLUMN($E$5),1)&gt;0,INDEX('Surface DEET'!$Q$9:$W$38,COLUMN(V228)-COLUMN($E$5),1),$E235),0)</f>
        <v>0</v>
      </c>
      <c r="W235" s="281">
        <f>IF(W$6=$C235,IF(INDEX('Surface DEET'!$Q$9:$W$38,COLUMN(W228)-COLUMN($E$5),1)&gt;0,INDEX('Surface DEET'!$Q$9:$W$38,COLUMN(W228)-COLUMN($E$5),1),$E235),0)</f>
        <v>0</v>
      </c>
      <c r="X235" s="281">
        <f>IF(X$6=$C235,IF(INDEX('Surface DEET'!$Q$9:$W$38,COLUMN(X228)-COLUMN($E$5),1)&gt;0,INDEX('Surface DEET'!$Q$9:$W$38,COLUMN(X228)-COLUMN($E$5),1),$E235),0)</f>
        <v>0</v>
      </c>
      <c r="Y235" s="281">
        <f>IF(Y$6=$C235,IF(INDEX('Surface DEET'!$Q$9:$W$38,COLUMN(Y228)-COLUMN($E$5),1)&gt;0,INDEX('Surface DEET'!$Q$9:$W$38,COLUMN(Y228)-COLUMN($E$5),1),$E235),0)</f>
        <v>0</v>
      </c>
      <c r="Z235" s="281">
        <f>IF(Z$6=$C235,IF(INDEX('Surface DEET'!$Q$9:$W$38,COLUMN(Z228)-COLUMN($E$5),1)&gt;0,INDEX('Surface DEET'!$Q$9:$W$38,COLUMN(Z228)-COLUMN($E$5),1),$E235),0)</f>
        <v>0</v>
      </c>
      <c r="AA235" s="281">
        <f>IF(AA$6=$C235,IF(INDEX('Surface DEET'!$Q$9:$W$38,COLUMN(AA228)-COLUMN($E$5),1)&gt;0,INDEX('Surface DEET'!$Q$9:$W$38,COLUMN(AA228)-COLUMN($E$5),1),$E235),0)</f>
        <v>0</v>
      </c>
      <c r="AB235" s="281">
        <f>IF(AB$6=$C235,IF(INDEX('Surface DEET'!$Q$9:$W$38,COLUMN(AB228)-COLUMN($E$5),1)&gt;0,INDEX('Surface DEET'!$Q$9:$W$38,COLUMN(AB228)-COLUMN($E$5),1),$E235),0)</f>
        <v>0</v>
      </c>
      <c r="AC235" s="281">
        <f>IF(AC$6=$C235,IF(INDEX('Surface DEET'!$Q$9:$W$38,COLUMN(AC228)-COLUMN($E$5),1)&gt;0,INDEX('Surface DEET'!$Q$9:$W$38,COLUMN(AC228)-COLUMN($E$5),1),$E235),0)</f>
        <v>0</v>
      </c>
      <c r="AD235" s="281">
        <f>IF(AD$6=$C235,IF(INDEX('Surface DEET'!$Q$9:$W$38,COLUMN(AD228)-COLUMN($E$5),1)&gt;0,INDEX('Surface DEET'!$Q$9:$W$38,COLUMN(AD228)-COLUMN($E$5),1),$E235),0)</f>
        <v>0</v>
      </c>
      <c r="AE235" s="281">
        <f>IF(AE$6=$C235,IF(INDEX('Surface DEET'!$Q$9:$W$38,COLUMN(AE228)-COLUMN($E$5),1)&gt;0,INDEX('Surface DEET'!$Q$9:$W$38,COLUMN(AE228)-COLUMN($E$5),1),$E235),0)</f>
        <v>0</v>
      </c>
      <c r="AF235" s="281">
        <f>IF(AF$6=$C235,IF(INDEX('Surface DEET'!$Q$9:$W$38,COLUMN(AF228)-COLUMN($E$5),1)&gt;0,INDEX('Surface DEET'!$Q$9:$W$38,COLUMN(AF228)-COLUMN($E$5),1),$E235),0)</f>
        <v>0</v>
      </c>
      <c r="AG235" s="281">
        <f>IF(AG$6=$C235,IF(INDEX('Surface DEET'!$Q$9:$W$38,COLUMN(AG228)-COLUMN($E$5),1)&gt;0,INDEX('Surface DEET'!$Q$9:$W$38,COLUMN(AG228)-COLUMN($E$5),1),$E235),0)</f>
        <v>0</v>
      </c>
      <c r="AH235" s="281">
        <f>IF(AH$6=$C235,IF(INDEX('Surface DEET'!$Q$9:$W$38,COLUMN(AH228)-COLUMN($E$5),1)&gt;0,INDEX('Surface DEET'!$Q$9:$W$38,COLUMN(AH228)-COLUMN($E$5),1),$E235),0)</f>
        <v>0</v>
      </c>
      <c r="AI235" s="281">
        <f>IF(AI$6=$C235,IF(INDEX('Surface DEET'!$Q$9:$W$38,COLUMN(AI228)-COLUMN($E$5),1)&gt;0,INDEX('Surface DEET'!$Q$9:$W$38,COLUMN(AI228)-COLUMN($E$5),1),$E235),0)</f>
        <v>0</v>
      </c>
    </row>
    <row r="236" spans="2:35">
      <c r="B236" s="281" t="s">
        <v>545</v>
      </c>
      <c r="C236" s="281" t="s">
        <v>652</v>
      </c>
      <c r="D236" s="281" t="s">
        <v>655</v>
      </c>
      <c r="F236" s="281">
        <f>IF(F$6=$C236,IF(INDEX('Surface DEET'!$F$9:$W$38,COLUMN(F229)-COLUMN($E$5),7)&gt;0,INDEX('Surface DEET'!$F$9:$W$38,COLUMN(F229)-COLUMN($E$5),1),$E236),0)</f>
        <v>0</v>
      </c>
      <c r="G236" s="281">
        <f>IF(G$6=$C236,IF(INDEX('Surface DEET'!$F$9:$W$38,COLUMN(G229)-COLUMN($E$5),7)&gt;0,INDEX('Surface DEET'!$F$9:$W$38,COLUMN(G229)-COLUMN($E$5),1),$E236),0)</f>
        <v>0</v>
      </c>
      <c r="H236" s="281">
        <f>IF(H$6=$C236,IF(INDEX('Surface DEET'!$F$9:$W$38,COLUMN(H229)-COLUMN($E$5),7)&gt;0,INDEX('Surface DEET'!$F$9:$W$38,COLUMN(H229)-COLUMN($E$5),1),$E236),0)</f>
        <v>0</v>
      </c>
      <c r="I236" s="281">
        <f>IF(I$6=$C236,IF(INDEX('Surface DEET'!$F$9:$W$38,COLUMN(I229)-COLUMN($E$5),7)&gt;0,INDEX('Surface DEET'!$F$9:$W$38,COLUMN(I229)-COLUMN($E$5),1),$E236),0)</f>
        <v>0</v>
      </c>
      <c r="J236" s="281">
        <f>IF(J$6=$C236,IF(INDEX('Surface DEET'!$F$9:$W$38,COLUMN(J229)-COLUMN($E$5),7)&gt;0,INDEX('Surface DEET'!$F$9:$W$38,COLUMN(J229)-COLUMN($E$5),1),$E236),0)</f>
        <v>0</v>
      </c>
      <c r="K236" s="281">
        <f>IF(K$6=$C236,IF(INDEX('Surface DEET'!$F$9:$W$38,COLUMN(K229)-COLUMN($E$5),7)&gt;0,INDEX('Surface DEET'!$F$9:$W$38,COLUMN(K229)-COLUMN($E$5),1),$E236),0)</f>
        <v>0</v>
      </c>
      <c r="L236" s="281">
        <f>IF(L$6=$C236,IF(INDEX('Surface DEET'!$F$9:$W$38,COLUMN(L229)-COLUMN($E$5),7)&gt;0,INDEX('Surface DEET'!$F$9:$W$38,COLUMN(L229)-COLUMN($E$5),1),$E236),0)</f>
        <v>0</v>
      </c>
      <c r="M236" s="281">
        <f>IF(M$6=$C236,IF(INDEX('Surface DEET'!$F$9:$W$38,COLUMN(M229)-COLUMN($E$5),7)&gt;0,INDEX('Surface DEET'!$F$9:$W$38,COLUMN(M229)-COLUMN($E$5),1),$E236),0)</f>
        <v>0</v>
      </c>
      <c r="N236" s="281">
        <f>IF(N$6=$C236,IF(INDEX('Surface DEET'!$F$9:$W$38,COLUMN(N229)-COLUMN($E$5),7)&gt;0,INDEX('Surface DEET'!$F$9:$W$38,COLUMN(N229)-COLUMN($E$5),1),$E236),0)</f>
        <v>0</v>
      </c>
      <c r="O236" s="281">
        <f>IF(O$6=$C236,IF(INDEX('Surface DEET'!$F$9:$W$38,COLUMN(O229)-COLUMN($E$5),7)&gt;0,INDEX('Surface DEET'!$F$9:$W$38,COLUMN(O229)-COLUMN($E$5),1),$E236),0)</f>
        <v>0</v>
      </c>
      <c r="P236" s="281">
        <f>IF(P$6=$C236,IF(INDEX('Surface DEET'!$F$9:$W$38,COLUMN(P229)-COLUMN($E$5),7)&gt;0,INDEX('Surface DEET'!$F$9:$W$38,COLUMN(P229)-COLUMN($E$5),1),$E236),0)</f>
        <v>0</v>
      </c>
      <c r="Q236" s="281">
        <f>IF(Q$6=$C236,IF(INDEX('Surface DEET'!$F$9:$W$38,COLUMN(Q229)-COLUMN($E$5),7)&gt;0,INDEX('Surface DEET'!$F$9:$W$38,COLUMN(Q229)-COLUMN($E$5),1),$E236),0)</f>
        <v>0</v>
      </c>
      <c r="R236" s="281">
        <f>IF(R$6=$C236,IF(INDEX('Surface DEET'!$F$9:$W$38,COLUMN(R229)-COLUMN($E$5),7)&gt;0,INDEX('Surface DEET'!$F$9:$W$38,COLUMN(R229)-COLUMN($E$5),1),$E236),0)</f>
        <v>0</v>
      </c>
      <c r="S236" s="281">
        <f>IF(S$6=$C236,IF(INDEX('Surface DEET'!$F$9:$W$38,COLUMN(S229)-COLUMN($E$5),7)&gt;0,INDEX('Surface DEET'!$F$9:$W$38,COLUMN(S229)-COLUMN($E$5),1),$E236),0)</f>
        <v>0</v>
      </c>
      <c r="T236" s="281">
        <f>IF(T$6=$C236,IF(INDEX('Surface DEET'!$F$9:$W$38,COLUMN(T229)-COLUMN($E$5),7)&gt;0,INDEX('Surface DEET'!$F$9:$W$38,COLUMN(T229)-COLUMN($E$5),1),$E236),0)</f>
        <v>0</v>
      </c>
      <c r="U236" s="281">
        <f>IF(U$6=$C236,IF(INDEX('Surface DEET'!$F$9:$W$38,COLUMN(U229)-COLUMN($E$5),7)&gt;0,INDEX('Surface DEET'!$F$9:$W$38,COLUMN(U229)-COLUMN($E$5),1),$E236),0)</f>
        <v>0</v>
      </c>
      <c r="V236" s="281">
        <f>IF(V$6=$C236,IF(INDEX('Surface DEET'!$F$9:$W$38,COLUMN(V229)-COLUMN($E$5),7)&gt;0,INDEX('Surface DEET'!$F$9:$W$38,COLUMN(V229)-COLUMN($E$5),1),$E236),0)</f>
        <v>0</v>
      </c>
      <c r="W236" s="281">
        <f>IF(W$6=$C236,IF(INDEX('Surface DEET'!$F$9:$W$38,COLUMN(W229)-COLUMN($E$5),7)&gt;0,INDEX('Surface DEET'!$F$9:$W$38,COLUMN(W229)-COLUMN($E$5),1),$E236),0)</f>
        <v>0</v>
      </c>
      <c r="X236" s="281">
        <f>IF(X$6=$C236,IF(INDEX('Surface DEET'!$F$9:$W$38,COLUMN(X229)-COLUMN($E$5),7)&gt;0,INDEX('Surface DEET'!$F$9:$W$38,COLUMN(X229)-COLUMN($E$5),1),$E236),0)</f>
        <v>0</v>
      </c>
      <c r="Y236" s="281">
        <f>IF(Y$6=$C236,IF(INDEX('Surface DEET'!$F$9:$W$38,COLUMN(Y229)-COLUMN($E$5),7)&gt;0,INDEX('Surface DEET'!$F$9:$W$38,COLUMN(Y229)-COLUMN($E$5),1),$E236),0)</f>
        <v>0</v>
      </c>
      <c r="Z236" s="281">
        <f>IF(Z$6=$C236,IF(INDEX('Surface DEET'!$F$9:$W$38,COLUMN(Z229)-COLUMN($E$5),7)&gt;0,INDEX('Surface DEET'!$F$9:$W$38,COLUMN(Z229)-COLUMN($E$5),1),$E236),0)</f>
        <v>0</v>
      </c>
      <c r="AA236" s="281">
        <f>IF(AA$6=$C236,IF(INDEX('Surface DEET'!$F$9:$W$38,COLUMN(AA229)-COLUMN($E$5),7)&gt;0,INDEX('Surface DEET'!$F$9:$W$38,COLUMN(AA229)-COLUMN($E$5),1),$E236),0)</f>
        <v>0</v>
      </c>
      <c r="AB236" s="281">
        <f>IF(AB$6=$C236,IF(INDEX('Surface DEET'!$F$9:$W$38,COLUMN(AB229)-COLUMN($E$5),7)&gt;0,INDEX('Surface DEET'!$F$9:$W$38,COLUMN(AB229)-COLUMN($E$5),1),$E236),0)</f>
        <v>0</v>
      </c>
      <c r="AC236" s="281">
        <f>IF(AC$6=$C236,IF(INDEX('Surface DEET'!$F$9:$W$38,COLUMN(AC229)-COLUMN($E$5),7)&gt;0,INDEX('Surface DEET'!$F$9:$W$38,COLUMN(AC229)-COLUMN($E$5),1),$E236),0)</f>
        <v>0</v>
      </c>
      <c r="AD236" s="281">
        <f>IF(AD$6=$C236,IF(INDEX('Surface DEET'!$F$9:$W$38,COLUMN(AD229)-COLUMN($E$5),7)&gt;0,INDEX('Surface DEET'!$F$9:$W$38,COLUMN(AD229)-COLUMN($E$5),1),$E236),0)</f>
        <v>0</v>
      </c>
      <c r="AE236" s="281">
        <f>IF(AE$6=$C236,IF(INDEX('Surface DEET'!$F$9:$W$38,COLUMN(AE229)-COLUMN($E$5),7)&gt;0,INDEX('Surface DEET'!$F$9:$W$38,COLUMN(AE229)-COLUMN($E$5),1),$E236),0)</f>
        <v>0</v>
      </c>
      <c r="AF236" s="281">
        <f>IF(AF$6=$C236,IF(INDEX('Surface DEET'!$F$9:$W$38,COLUMN(AF229)-COLUMN($E$5),7)&gt;0,INDEX('Surface DEET'!$F$9:$W$38,COLUMN(AF229)-COLUMN($E$5),1),$E236),0)</f>
        <v>0</v>
      </c>
      <c r="AG236" s="281">
        <f>IF(AG$6=$C236,IF(INDEX('Surface DEET'!$F$9:$W$38,COLUMN(AG229)-COLUMN($E$5),7)&gt;0,INDEX('Surface DEET'!$F$9:$W$38,COLUMN(AG229)-COLUMN($E$5),1),$E236),0)</f>
        <v>0</v>
      </c>
      <c r="AH236" s="281">
        <f>IF(AH$6=$C236,IF(INDEX('Surface DEET'!$F$9:$W$38,COLUMN(AH229)-COLUMN($E$5),7)&gt;0,INDEX('Surface DEET'!$F$9:$W$38,COLUMN(AH229)-COLUMN($E$5),1),$E236),0)</f>
        <v>0</v>
      </c>
      <c r="AI236" s="281">
        <f>IF(AI$6=$C236,IF(INDEX('Surface DEET'!$F$9:$W$38,COLUMN(AI229)-COLUMN($E$5),7)&gt;0,INDEX('Surface DEET'!$F$9:$W$38,COLUMN(AI229)-COLUMN($E$5),1),$E236),0)</f>
        <v>0</v>
      </c>
    </row>
    <row r="237" spans="2:35">
      <c r="B237" s="281" t="s">
        <v>548</v>
      </c>
      <c r="C237" s="281" t="s">
        <v>652</v>
      </c>
    </row>
    <row r="238" spans="2:35">
      <c r="B238" s="281" t="s">
        <v>538</v>
      </c>
      <c r="C238" s="281" t="s">
        <v>652</v>
      </c>
      <c r="D238" s="281" t="s">
        <v>538</v>
      </c>
      <c r="F238" s="281">
        <f>IF(F235=0,$E$232,F235*$E$231/F236)</f>
        <v>1156</v>
      </c>
      <c r="G238" s="281">
        <f t="shared" ref="G238:AI238" si="28">IF(G235=0,$E$232,G235*$E$231/G236)</f>
        <v>1156</v>
      </c>
      <c r="H238" s="281">
        <f t="shared" si="28"/>
        <v>1156</v>
      </c>
      <c r="I238" s="281">
        <f t="shared" si="28"/>
        <v>1156</v>
      </c>
      <c r="J238" s="281">
        <f t="shared" si="28"/>
        <v>1156</v>
      </c>
      <c r="K238" s="281">
        <f t="shared" si="28"/>
        <v>1156</v>
      </c>
      <c r="L238" s="281">
        <f t="shared" si="28"/>
        <v>1156</v>
      </c>
      <c r="M238" s="281">
        <f t="shared" si="28"/>
        <v>1156</v>
      </c>
      <c r="N238" s="281">
        <f t="shared" si="28"/>
        <v>1156</v>
      </c>
      <c r="O238" s="281">
        <f t="shared" si="28"/>
        <v>1156</v>
      </c>
      <c r="P238" s="281">
        <f t="shared" si="28"/>
        <v>1156</v>
      </c>
      <c r="Q238" s="281">
        <f t="shared" si="28"/>
        <v>1156</v>
      </c>
      <c r="R238" s="281">
        <f t="shared" si="28"/>
        <v>1156</v>
      </c>
      <c r="S238" s="281">
        <f t="shared" si="28"/>
        <v>1156</v>
      </c>
      <c r="T238" s="281">
        <f t="shared" si="28"/>
        <v>1156</v>
      </c>
      <c r="U238" s="281">
        <f t="shared" si="28"/>
        <v>1156</v>
      </c>
      <c r="V238" s="281">
        <f t="shared" si="28"/>
        <v>1156</v>
      </c>
      <c r="W238" s="281">
        <f t="shared" si="28"/>
        <v>1156</v>
      </c>
      <c r="X238" s="281">
        <f t="shared" si="28"/>
        <v>1156</v>
      </c>
      <c r="Y238" s="281">
        <f t="shared" si="28"/>
        <v>1156</v>
      </c>
      <c r="Z238" s="281">
        <f t="shared" si="28"/>
        <v>1156</v>
      </c>
      <c r="AA238" s="281">
        <f t="shared" si="28"/>
        <v>1156</v>
      </c>
      <c r="AB238" s="281">
        <f t="shared" si="28"/>
        <v>1156</v>
      </c>
      <c r="AC238" s="281">
        <f t="shared" si="28"/>
        <v>1156</v>
      </c>
      <c r="AD238" s="281">
        <f t="shared" si="28"/>
        <v>1156</v>
      </c>
      <c r="AE238" s="281">
        <f t="shared" si="28"/>
        <v>1156</v>
      </c>
      <c r="AF238" s="281">
        <f t="shared" si="28"/>
        <v>1156</v>
      </c>
      <c r="AG238" s="281">
        <f t="shared" si="28"/>
        <v>1156</v>
      </c>
      <c r="AH238" s="281">
        <f t="shared" si="28"/>
        <v>1156</v>
      </c>
      <c r="AI238" s="281">
        <f t="shared" si="28"/>
        <v>1156</v>
      </c>
    </row>
    <row r="239" spans="2:35">
      <c r="B239" s="92" t="s">
        <v>298</v>
      </c>
      <c r="C239" s="281" t="s">
        <v>656</v>
      </c>
      <c r="D239" s="92" t="s">
        <v>653</v>
      </c>
      <c r="E239" s="281">
        <f t="array" ref="E239">INDEX(CABS_CVC!$C$3:$O$894,MATCH(1, (CABS_CVC!$A$3:$A$894=Calculs_CABS!C239)*(CABS_CVC!$B$3:$B$894=Calculs_CABS!$D$2),0),MATCH(Calculs_CABS!$D$1,Liste_CABS!$B$3:$B$15,0))</f>
        <v>0</v>
      </c>
    </row>
    <row r="240" spans="2:35">
      <c r="B240" s="281" t="s">
        <v>539</v>
      </c>
      <c r="C240" s="281" t="s">
        <v>656</v>
      </c>
      <c r="D240" s="281" t="s">
        <v>539</v>
      </c>
      <c r="E240" s="281">
        <v>1041</v>
      </c>
    </row>
    <row r="241" spans="2:35">
      <c r="B241" s="281" t="s">
        <v>540</v>
      </c>
      <c r="C241" s="281" t="s">
        <v>656</v>
      </c>
      <c r="D241" s="281" t="s">
        <v>540</v>
      </c>
    </row>
    <row r="242" spans="2:35">
      <c r="B242" s="281" t="s">
        <v>541</v>
      </c>
      <c r="C242" s="281" t="s">
        <v>656</v>
      </c>
      <c r="D242" s="281" t="s">
        <v>541</v>
      </c>
    </row>
    <row r="243" spans="2:35">
      <c r="B243" s="281" t="s">
        <v>542</v>
      </c>
      <c r="C243" s="281" t="s">
        <v>656</v>
      </c>
      <c r="D243" s="281" t="s">
        <v>654</v>
      </c>
      <c r="F243" s="281">
        <f>IF(F$6=$C243,IF(INDEX('Surface DEET'!$Q$9:$W$38,COLUMN(F236)-COLUMN($E$5),1)&gt;0,INDEX('Surface DEET'!$Q$9:$W$38,COLUMN(F236)-COLUMN($E$5),1),$E243),0)</f>
        <v>0</v>
      </c>
      <c r="G243" s="281">
        <f>IF(G$6=$C243,IF(INDEX('Surface DEET'!$Q$9:$W$38,COLUMN(G236)-COLUMN($E$5),1)&gt;0,INDEX('Surface DEET'!$Q$9:$W$38,COLUMN(G236)-COLUMN($E$5),1),$E243),0)</f>
        <v>0</v>
      </c>
      <c r="H243" s="281">
        <f>IF(H$6=$C243,IF(INDEX('Surface DEET'!$Q$9:$W$38,COLUMN(H236)-COLUMN($E$5),1)&gt;0,INDEX('Surface DEET'!$Q$9:$W$38,COLUMN(H236)-COLUMN($E$5),1),$E243),0)</f>
        <v>0</v>
      </c>
      <c r="I243" s="281">
        <f>IF(I$6=$C243,IF(INDEX('Surface DEET'!$Q$9:$W$38,COLUMN(I236)-COLUMN($E$5),1)&gt;0,INDEX('Surface DEET'!$Q$9:$W$38,COLUMN(I236)-COLUMN($E$5),1),$E243),0)</f>
        <v>0</v>
      </c>
      <c r="J243" s="281">
        <f>IF(J$6=$C243,IF(INDEX('Surface DEET'!$Q$9:$W$38,COLUMN(J236)-COLUMN($E$5),1)&gt;0,INDEX('Surface DEET'!$Q$9:$W$38,COLUMN(J236)-COLUMN($E$5),1),$E243),0)</f>
        <v>0</v>
      </c>
      <c r="K243" s="281">
        <f>IF(K$6=$C243,IF(INDEX('Surface DEET'!$Q$9:$W$38,COLUMN(K236)-COLUMN($E$5),1)&gt;0,INDEX('Surface DEET'!$Q$9:$W$38,COLUMN(K236)-COLUMN($E$5),1),$E243),0)</f>
        <v>0</v>
      </c>
      <c r="L243" s="281">
        <f>IF(L$6=$C243,IF(INDEX('Surface DEET'!$Q$9:$W$38,COLUMN(L236)-COLUMN($E$5),1)&gt;0,INDEX('Surface DEET'!$Q$9:$W$38,COLUMN(L236)-COLUMN($E$5),1),$E243),0)</f>
        <v>0</v>
      </c>
      <c r="M243" s="281">
        <f>IF(M$6=$C243,IF(INDEX('Surface DEET'!$Q$9:$W$38,COLUMN(M236)-COLUMN($E$5),1)&gt;0,INDEX('Surface DEET'!$Q$9:$W$38,COLUMN(M236)-COLUMN($E$5),1),$E243),0)</f>
        <v>0</v>
      </c>
      <c r="N243" s="281">
        <f>IF(N$6=$C243,IF(INDEX('Surface DEET'!$Q$9:$W$38,COLUMN(N236)-COLUMN($E$5),1)&gt;0,INDEX('Surface DEET'!$Q$9:$W$38,COLUMN(N236)-COLUMN($E$5),1),$E243),0)</f>
        <v>0</v>
      </c>
      <c r="O243" s="281">
        <f>IF(O$6=$C243,IF(INDEX('Surface DEET'!$Q$9:$W$38,COLUMN(O236)-COLUMN($E$5),1)&gt;0,INDEX('Surface DEET'!$Q$9:$W$38,COLUMN(O236)-COLUMN($E$5),1),$E243),0)</f>
        <v>0</v>
      </c>
      <c r="P243" s="281">
        <f>IF(P$6=$C243,IF(INDEX('Surface DEET'!$Q$9:$W$38,COLUMN(P236)-COLUMN($E$5),1)&gt;0,INDEX('Surface DEET'!$Q$9:$W$38,COLUMN(P236)-COLUMN($E$5),1),$E243),0)</f>
        <v>0</v>
      </c>
      <c r="Q243" s="281">
        <f>IF(Q$6=$C243,IF(INDEX('Surface DEET'!$Q$9:$W$38,COLUMN(Q236)-COLUMN($E$5),1)&gt;0,INDEX('Surface DEET'!$Q$9:$W$38,COLUMN(Q236)-COLUMN($E$5),1),$E243),0)</f>
        <v>0</v>
      </c>
      <c r="R243" s="281">
        <f>IF(R$6=$C243,IF(INDEX('Surface DEET'!$Q$9:$W$38,COLUMN(R236)-COLUMN($E$5),1)&gt;0,INDEX('Surface DEET'!$Q$9:$W$38,COLUMN(R236)-COLUMN($E$5),1),$E243),0)</f>
        <v>0</v>
      </c>
      <c r="S243" s="281">
        <f>IF(S$6=$C243,IF(INDEX('Surface DEET'!$Q$9:$W$38,COLUMN(S236)-COLUMN($E$5),1)&gt;0,INDEX('Surface DEET'!$Q$9:$W$38,COLUMN(S236)-COLUMN($E$5),1),$E243),0)</f>
        <v>0</v>
      </c>
      <c r="T243" s="281">
        <f>IF(T$6=$C243,IF(INDEX('Surface DEET'!$Q$9:$W$38,COLUMN(T236)-COLUMN($E$5),1)&gt;0,INDEX('Surface DEET'!$Q$9:$W$38,COLUMN(T236)-COLUMN($E$5),1),$E243),0)</f>
        <v>0</v>
      </c>
      <c r="U243" s="281">
        <f>IF(U$6=$C243,IF(INDEX('Surface DEET'!$Q$9:$W$38,COLUMN(U236)-COLUMN($E$5),1)&gt;0,INDEX('Surface DEET'!$Q$9:$W$38,COLUMN(U236)-COLUMN($E$5),1),$E243),0)</f>
        <v>0</v>
      </c>
      <c r="V243" s="281">
        <f>IF(V$6=$C243,IF(INDEX('Surface DEET'!$Q$9:$W$38,COLUMN(V236)-COLUMN($E$5),1)&gt;0,INDEX('Surface DEET'!$Q$9:$W$38,COLUMN(V236)-COLUMN($E$5),1),$E243),0)</f>
        <v>0</v>
      </c>
      <c r="W243" s="281">
        <f>IF(W$6=$C243,IF(INDEX('Surface DEET'!$Q$9:$W$38,COLUMN(W236)-COLUMN($E$5),1)&gt;0,INDEX('Surface DEET'!$Q$9:$W$38,COLUMN(W236)-COLUMN($E$5),1),$E243),0)</f>
        <v>0</v>
      </c>
      <c r="X243" s="281">
        <f>IF(X$6=$C243,IF(INDEX('Surface DEET'!$Q$9:$W$38,COLUMN(X236)-COLUMN($E$5),1)&gt;0,INDEX('Surface DEET'!$Q$9:$W$38,COLUMN(X236)-COLUMN($E$5),1),$E243),0)</f>
        <v>0</v>
      </c>
      <c r="Y243" s="281">
        <f>IF(Y$6=$C243,IF(INDEX('Surface DEET'!$Q$9:$W$38,COLUMN(Y236)-COLUMN($E$5),1)&gt;0,INDEX('Surface DEET'!$Q$9:$W$38,COLUMN(Y236)-COLUMN($E$5),1),$E243),0)</f>
        <v>0</v>
      </c>
      <c r="Z243" s="281">
        <f>IF(Z$6=$C243,IF(INDEX('Surface DEET'!$Q$9:$W$38,COLUMN(Z236)-COLUMN($E$5),1)&gt;0,INDEX('Surface DEET'!$Q$9:$W$38,COLUMN(Z236)-COLUMN($E$5),1),$E243),0)</f>
        <v>0</v>
      </c>
      <c r="AA243" s="281">
        <f>IF(AA$6=$C243,IF(INDEX('Surface DEET'!$Q$9:$W$38,COLUMN(AA236)-COLUMN($E$5),1)&gt;0,INDEX('Surface DEET'!$Q$9:$W$38,COLUMN(AA236)-COLUMN($E$5),1),$E243),0)</f>
        <v>0</v>
      </c>
      <c r="AB243" s="281">
        <f>IF(AB$6=$C243,IF(INDEX('Surface DEET'!$Q$9:$W$38,COLUMN(AB236)-COLUMN($E$5),1)&gt;0,INDEX('Surface DEET'!$Q$9:$W$38,COLUMN(AB236)-COLUMN($E$5),1),$E243),0)</f>
        <v>0</v>
      </c>
      <c r="AC243" s="281">
        <f>IF(AC$6=$C243,IF(INDEX('Surface DEET'!$Q$9:$W$38,COLUMN(AC236)-COLUMN($E$5),1)&gt;0,INDEX('Surface DEET'!$Q$9:$W$38,COLUMN(AC236)-COLUMN($E$5),1),$E243),0)</f>
        <v>0</v>
      </c>
      <c r="AD243" s="281">
        <f>IF(AD$6=$C243,IF(INDEX('Surface DEET'!$Q$9:$W$38,COLUMN(AD236)-COLUMN($E$5),1)&gt;0,INDEX('Surface DEET'!$Q$9:$W$38,COLUMN(AD236)-COLUMN($E$5),1),$E243),0)</f>
        <v>0</v>
      </c>
      <c r="AE243" s="281">
        <f>IF(AE$6=$C243,IF(INDEX('Surface DEET'!$Q$9:$W$38,COLUMN(AE236)-COLUMN($E$5),1)&gt;0,INDEX('Surface DEET'!$Q$9:$W$38,COLUMN(AE236)-COLUMN($E$5),1),$E243),0)</f>
        <v>0</v>
      </c>
      <c r="AF243" s="281">
        <f>IF(AF$6=$C243,IF(INDEX('Surface DEET'!$Q$9:$W$38,COLUMN(AF236)-COLUMN($E$5),1)&gt;0,INDEX('Surface DEET'!$Q$9:$W$38,COLUMN(AF236)-COLUMN($E$5),1),$E243),0)</f>
        <v>0</v>
      </c>
      <c r="AG243" s="281">
        <f>IF(AG$6=$C243,IF(INDEX('Surface DEET'!$Q$9:$W$38,COLUMN(AG236)-COLUMN($E$5),1)&gt;0,INDEX('Surface DEET'!$Q$9:$W$38,COLUMN(AG236)-COLUMN($E$5),1),$E243),0)</f>
        <v>0</v>
      </c>
      <c r="AH243" s="281">
        <f>IF(AH$6=$C243,IF(INDEX('Surface DEET'!$Q$9:$W$38,COLUMN(AH236)-COLUMN($E$5),1)&gt;0,INDEX('Surface DEET'!$Q$9:$W$38,COLUMN(AH236)-COLUMN($E$5),1),$E243),0)</f>
        <v>0</v>
      </c>
      <c r="AI243" s="281">
        <f>IF(AI$6=$C243,IF(INDEX('Surface DEET'!$Q$9:$W$38,COLUMN(AI236)-COLUMN($E$5),1)&gt;0,INDEX('Surface DEET'!$Q$9:$W$38,COLUMN(AI236)-COLUMN($E$5),1),$E243),0)</f>
        <v>0</v>
      </c>
    </row>
    <row r="244" spans="2:35">
      <c r="B244" s="281" t="s">
        <v>545</v>
      </c>
      <c r="C244" s="281" t="s">
        <v>656</v>
      </c>
      <c r="D244" s="281" t="s">
        <v>655</v>
      </c>
      <c r="F244" s="281">
        <f>IF(F$6=$C244,IF(INDEX('Surface DEET'!$F$9:$W$38,COLUMN(F237)-COLUMN($E$5),7)&gt;0,INDEX('Surface DEET'!$F$9:$W$38,COLUMN(F237)-COLUMN($E$5),1),$E244),0)</f>
        <v>0</v>
      </c>
      <c r="G244" s="281">
        <f>IF(G$6=$C244,IF(INDEX('Surface DEET'!$F$9:$W$38,COLUMN(G237)-COLUMN($E$5),7)&gt;0,INDEX('Surface DEET'!$F$9:$W$38,COLUMN(G237)-COLUMN($E$5),1),$E244),0)</f>
        <v>0</v>
      </c>
      <c r="H244" s="281">
        <f>IF(H$6=$C244,IF(INDEX('Surface DEET'!$F$9:$W$38,COLUMN(H237)-COLUMN($E$5),7)&gt;0,INDEX('Surface DEET'!$F$9:$W$38,COLUMN(H237)-COLUMN($E$5),1),$E244),0)</f>
        <v>0</v>
      </c>
      <c r="I244" s="281">
        <f>IF(I$6=$C244,IF(INDEX('Surface DEET'!$F$9:$W$38,COLUMN(I237)-COLUMN($E$5),7)&gt;0,INDEX('Surface DEET'!$F$9:$W$38,COLUMN(I237)-COLUMN($E$5),1),$E244),0)</f>
        <v>0</v>
      </c>
      <c r="J244" s="281">
        <f>IF(J$6=$C244,IF(INDEX('Surface DEET'!$F$9:$W$38,COLUMN(J237)-COLUMN($E$5),7)&gt;0,INDEX('Surface DEET'!$F$9:$W$38,COLUMN(J237)-COLUMN($E$5),1),$E244),0)</f>
        <v>0</v>
      </c>
      <c r="K244" s="281">
        <f>IF(K$6=$C244,IF(INDEX('Surface DEET'!$F$9:$W$38,COLUMN(K237)-COLUMN($E$5),7)&gt;0,INDEX('Surface DEET'!$F$9:$W$38,COLUMN(K237)-COLUMN($E$5),1),$E244),0)</f>
        <v>0</v>
      </c>
      <c r="L244" s="281">
        <f>IF(L$6=$C244,IF(INDEX('Surface DEET'!$F$9:$W$38,COLUMN(L237)-COLUMN($E$5),7)&gt;0,INDEX('Surface DEET'!$F$9:$W$38,COLUMN(L237)-COLUMN($E$5),1),$E244),0)</f>
        <v>0</v>
      </c>
      <c r="M244" s="281">
        <f>IF(M$6=$C244,IF(INDEX('Surface DEET'!$F$9:$W$38,COLUMN(M237)-COLUMN($E$5),7)&gt;0,INDEX('Surface DEET'!$F$9:$W$38,COLUMN(M237)-COLUMN($E$5),1),$E244),0)</f>
        <v>0</v>
      </c>
      <c r="N244" s="281">
        <f>IF(N$6=$C244,IF(INDEX('Surface DEET'!$F$9:$W$38,COLUMN(N237)-COLUMN($E$5),7)&gt;0,INDEX('Surface DEET'!$F$9:$W$38,COLUMN(N237)-COLUMN($E$5),1),$E244),0)</f>
        <v>0</v>
      </c>
      <c r="O244" s="281">
        <f>IF(O$6=$C244,IF(INDEX('Surface DEET'!$F$9:$W$38,COLUMN(O237)-COLUMN($E$5),7)&gt;0,INDEX('Surface DEET'!$F$9:$W$38,COLUMN(O237)-COLUMN($E$5),1),$E244),0)</f>
        <v>0</v>
      </c>
      <c r="P244" s="281">
        <f>IF(P$6=$C244,IF(INDEX('Surface DEET'!$F$9:$W$38,COLUMN(P237)-COLUMN($E$5),7)&gt;0,INDEX('Surface DEET'!$F$9:$W$38,COLUMN(P237)-COLUMN($E$5),1),$E244),0)</f>
        <v>0</v>
      </c>
      <c r="Q244" s="281">
        <f>IF(Q$6=$C244,IF(INDEX('Surface DEET'!$F$9:$W$38,COLUMN(Q237)-COLUMN($E$5),7)&gt;0,INDEX('Surface DEET'!$F$9:$W$38,COLUMN(Q237)-COLUMN($E$5),1),$E244),0)</f>
        <v>0</v>
      </c>
      <c r="R244" s="281">
        <f>IF(R$6=$C244,IF(INDEX('Surface DEET'!$F$9:$W$38,COLUMN(R237)-COLUMN($E$5),7)&gt;0,INDEX('Surface DEET'!$F$9:$W$38,COLUMN(R237)-COLUMN($E$5),1),$E244),0)</f>
        <v>0</v>
      </c>
      <c r="S244" s="281">
        <f>IF(S$6=$C244,IF(INDEX('Surface DEET'!$F$9:$W$38,COLUMN(S237)-COLUMN($E$5),7)&gt;0,INDEX('Surface DEET'!$F$9:$W$38,COLUMN(S237)-COLUMN($E$5),1),$E244),0)</f>
        <v>0</v>
      </c>
      <c r="T244" s="281">
        <f>IF(T$6=$C244,IF(INDEX('Surface DEET'!$F$9:$W$38,COLUMN(T237)-COLUMN($E$5),7)&gt;0,INDEX('Surface DEET'!$F$9:$W$38,COLUMN(T237)-COLUMN($E$5),1),$E244),0)</f>
        <v>0</v>
      </c>
      <c r="U244" s="281">
        <f>IF(U$6=$C244,IF(INDEX('Surface DEET'!$F$9:$W$38,COLUMN(U237)-COLUMN($E$5),7)&gt;0,INDEX('Surface DEET'!$F$9:$W$38,COLUMN(U237)-COLUMN($E$5),1),$E244),0)</f>
        <v>0</v>
      </c>
      <c r="V244" s="281">
        <f>IF(V$6=$C244,IF(INDEX('Surface DEET'!$F$9:$W$38,COLUMN(V237)-COLUMN($E$5),7)&gt;0,INDEX('Surface DEET'!$F$9:$W$38,COLUMN(V237)-COLUMN($E$5),1),$E244),0)</f>
        <v>0</v>
      </c>
      <c r="W244" s="281">
        <f>IF(W$6=$C244,IF(INDEX('Surface DEET'!$F$9:$W$38,COLUMN(W237)-COLUMN($E$5),7)&gt;0,INDEX('Surface DEET'!$F$9:$W$38,COLUMN(W237)-COLUMN($E$5),1),$E244),0)</f>
        <v>0</v>
      </c>
      <c r="X244" s="281">
        <f>IF(X$6=$C244,IF(INDEX('Surface DEET'!$F$9:$W$38,COLUMN(X237)-COLUMN($E$5),7)&gt;0,INDEX('Surface DEET'!$F$9:$W$38,COLUMN(X237)-COLUMN($E$5),1),$E244),0)</f>
        <v>0</v>
      </c>
      <c r="Y244" s="281">
        <f>IF(Y$6=$C244,IF(INDEX('Surface DEET'!$F$9:$W$38,COLUMN(Y237)-COLUMN($E$5),7)&gt;0,INDEX('Surface DEET'!$F$9:$W$38,COLUMN(Y237)-COLUMN($E$5),1),$E244),0)</f>
        <v>0</v>
      </c>
      <c r="Z244" s="281">
        <f>IF(Z$6=$C244,IF(INDEX('Surface DEET'!$F$9:$W$38,COLUMN(Z237)-COLUMN($E$5),7)&gt;0,INDEX('Surface DEET'!$F$9:$W$38,COLUMN(Z237)-COLUMN($E$5),1),$E244),0)</f>
        <v>0</v>
      </c>
      <c r="AA244" s="281">
        <f>IF(AA$6=$C244,IF(INDEX('Surface DEET'!$F$9:$W$38,COLUMN(AA237)-COLUMN($E$5),7)&gt;0,INDEX('Surface DEET'!$F$9:$W$38,COLUMN(AA237)-COLUMN($E$5),1),$E244),0)</f>
        <v>0</v>
      </c>
      <c r="AB244" s="281">
        <f>IF(AB$6=$C244,IF(INDEX('Surface DEET'!$F$9:$W$38,COLUMN(AB237)-COLUMN($E$5),7)&gt;0,INDEX('Surface DEET'!$F$9:$W$38,COLUMN(AB237)-COLUMN($E$5),1),$E244),0)</f>
        <v>0</v>
      </c>
      <c r="AC244" s="281">
        <f>IF(AC$6=$C244,IF(INDEX('Surface DEET'!$F$9:$W$38,COLUMN(AC237)-COLUMN($E$5),7)&gt;0,INDEX('Surface DEET'!$F$9:$W$38,COLUMN(AC237)-COLUMN($E$5),1),$E244),0)</f>
        <v>0</v>
      </c>
      <c r="AD244" s="281">
        <f>IF(AD$6=$C244,IF(INDEX('Surface DEET'!$F$9:$W$38,COLUMN(AD237)-COLUMN($E$5),7)&gt;0,INDEX('Surface DEET'!$F$9:$W$38,COLUMN(AD237)-COLUMN($E$5),1),$E244),0)</f>
        <v>0</v>
      </c>
      <c r="AE244" s="281">
        <f>IF(AE$6=$C244,IF(INDEX('Surface DEET'!$F$9:$W$38,COLUMN(AE237)-COLUMN($E$5),7)&gt;0,INDEX('Surface DEET'!$F$9:$W$38,COLUMN(AE237)-COLUMN($E$5),1),$E244),0)</f>
        <v>0</v>
      </c>
      <c r="AF244" s="281">
        <f>IF(AF$6=$C244,IF(INDEX('Surface DEET'!$F$9:$W$38,COLUMN(AF237)-COLUMN($E$5),7)&gt;0,INDEX('Surface DEET'!$F$9:$W$38,COLUMN(AF237)-COLUMN($E$5),1),$E244),0)</f>
        <v>0</v>
      </c>
      <c r="AG244" s="281">
        <f>IF(AG$6=$C244,IF(INDEX('Surface DEET'!$F$9:$W$38,COLUMN(AG237)-COLUMN($E$5),7)&gt;0,INDEX('Surface DEET'!$F$9:$W$38,COLUMN(AG237)-COLUMN($E$5),1),$E244),0)</f>
        <v>0</v>
      </c>
      <c r="AH244" s="281">
        <f>IF(AH$6=$C244,IF(INDEX('Surface DEET'!$F$9:$W$38,COLUMN(AH237)-COLUMN($E$5),7)&gt;0,INDEX('Surface DEET'!$F$9:$W$38,COLUMN(AH237)-COLUMN($E$5),1),$E244),0)</f>
        <v>0</v>
      </c>
      <c r="AI244" s="281">
        <f>IF(AI$6=$C244,IF(INDEX('Surface DEET'!$F$9:$W$38,COLUMN(AI237)-COLUMN($E$5),7)&gt;0,INDEX('Surface DEET'!$F$9:$W$38,COLUMN(AI237)-COLUMN($E$5),1),$E244),0)</f>
        <v>0</v>
      </c>
    </row>
    <row r="245" spans="2:35">
      <c r="B245" s="281" t="s">
        <v>548</v>
      </c>
      <c r="C245" s="281" t="s">
        <v>656</v>
      </c>
    </row>
    <row r="246" spans="2:35">
      <c r="B246" s="281" t="s">
        <v>538</v>
      </c>
      <c r="C246" s="281" t="s">
        <v>656</v>
      </c>
      <c r="D246" s="281" t="s">
        <v>538</v>
      </c>
      <c r="F246" s="281">
        <f>IF(F243=0,$E$240,F243*$E$239/F244)</f>
        <v>1041</v>
      </c>
      <c r="G246" s="281">
        <f t="shared" ref="G246:AI246" si="29">IF(G243=0,$E$240,G243*$E$239/G244)</f>
        <v>1041</v>
      </c>
      <c r="H246" s="281">
        <f t="shared" si="29"/>
        <v>1041</v>
      </c>
      <c r="I246" s="281">
        <f t="shared" si="29"/>
        <v>1041</v>
      </c>
      <c r="J246" s="281">
        <f t="shared" si="29"/>
        <v>1041</v>
      </c>
      <c r="K246" s="281">
        <f t="shared" si="29"/>
        <v>1041</v>
      </c>
      <c r="L246" s="281">
        <f t="shared" si="29"/>
        <v>1041</v>
      </c>
      <c r="M246" s="281">
        <f t="shared" si="29"/>
        <v>1041</v>
      </c>
      <c r="N246" s="281">
        <f t="shared" si="29"/>
        <v>1041</v>
      </c>
      <c r="O246" s="281">
        <f t="shared" si="29"/>
        <v>1041</v>
      </c>
      <c r="P246" s="281">
        <f t="shared" si="29"/>
        <v>1041</v>
      </c>
      <c r="Q246" s="281">
        <f t="shared" si="29"/>
        <v>1041</v>
      </c>
      <c r="R246" s="281">
        <f t="shared" si="29"/>
        <v>1041</v>
      </c>
      <c r="S246" s="281">
        <f t="shared" si="29"/>
        <v>1041</v>
      </c>
      <c r="T246" s="281">
        <f t="shared" si="29"/>
        <v>1041</v>
      </c>
      <c r="U246" s="281">
        <f t="shared" si="29"/>
        <v>1041</v>
      </c>
      <c r="V246" s="281">
        <f t="shared" si="29"/>
        <v>1041</v>
      </c>
      <c r="W246" s="281">
        <f t="shared" si="29"/>
        <v>1041</v>
      </c>
      <c r="X246" s="281">
        <f t="shared" si="29"/>
        <v>1041</v>
      </c>
      <c r="Y246" s="281">
        <f t="shared" si="29"/>
        <v>1041</v>
      </c>
      <c r="Z246" s="281">
        <f t="shared" si="29"/>
        <v>1041</v>
      </c>
      <c r="AA246" s="281">
        <f t="shared" si="29"/>
        <v>1041</v>
      </c>
      <c r="AB246" s="281">
        <f t="shared" si="29"/>
        <v>1041</v>
      </c>
      <c r="AC246" s="281">
        <f t="shared" si="29"/>
        <v>1041</v>
      </c>
      <c r="AD246" s="281">
        <f t="shared" si="29"/>
        <v>1041</v>
      </c>
      <c r="AE246" s="281">
        <f t="shared" si="29"/>
        <v>1041</v>
      </c>
      <c r="AF246" s="281">
        <f t="shared" si="29"/>
        <v>1041</v>
      </c>
      <c r="AG246" s="281">
        <f t="shared" si="29"/>
        <v>1041</v>
      </c>
      <c r="AH246" s="281">
        <f t="shared" si="29"/>
        <v>1041</v>
      </c>
      <c r="AI246" s="281">
        <f t="shared" si="29"/>
        <v>1041</v>
      </c>
    </row>
    <row r="247" spans="2:35">
      <c r="B247" s="92" t="s">
        <v>298</v>
      </c>
      <c r="C247" s="281" t="s">
        <v>657</v>
      </c>
      <c r="D247" s="92" t="s">
        <v>298</v>
      </c>
      <c r="E247" s="281">
        <f t="array" ref="E247">INDEX(CABS_CVC!$C$3:$O$894,MATCH(1, (CABS_CVC!$A$3:$A$894=Calculs_CABS!C247)*(CABS_CVC!$B$3:$B$894=Calculs_CABS!$D$2),0),MATCH(Calculs_CABS!$D$1,Liste_CABS!$B$3:$B$15,0))</f>
        <v>50</v>
      </c>
    </row>
    <row r="248" spans="2:35">
      <c r="B248" s="281" t="s">
        <v>539</v>
      </c>
      <c r="C248" s="281" t="s">
        <v>657</v>
      </c>
      <c r="D248" s="281" t="s">
        <v>539</v>
      </c>
      <c r="E248" s="281">
        <v>50</v>
      </c>
    </row>
    <row r="249" spans="2:35">
      <c r="B249" s="281" t="s">
        <v>540</v>
      </c>
      <c r="C249" s="281" t="s">
        <v>657</v>
      </c>
      <c r="D249" s="281" t="s">
        <v>540</v>
      </c>
      <c r="E249" s="281">
        <f>E247+E248</f>
        <v>100</v>
      </c>
    </row>
    <row r="250" spans="2:35">
      <c r="B250" s="281" t="s">
        <v>541</v>
      </c>
      <c r="C250" s="281" t="s">
        <v>657</v>
      </c>
      <c r="D250" s="281" t="s">
        <v>541</v>
      </c>
      <c r="E250" s="281">
        <v>0.95</v>
      </c>
    </row>
    <row r="251" spans="2:35">
      <c r="B251" s="281" t="s">
        <v>542</v>
      </c>
      <c r="C251" s="281" t="s">
        <v>657</v>
      </c>
      <c r="D251" s="329" t="s">
        <v>588</v>
      </c>
      <c r="E251" s="281">
        <v>3120</v>
      </c>
      <c r="F251" s="281">
        <f>IF(F$6=$C251,IF(INDEX('Surface DEET'!$Q$9:$W$38,COLUMN(F244)-COLUMN($E$5),1)&gt;0,INDEX('Surface DEET'!$Q$9:$W$38,COLUMN(F244)-COLUMN($E$5),1),$E251),0)</f>
        <v>0</v>
      </c>
      <c r="G251" s="281">
        <f>IF(G$6=$C251,IF(INDEX('Surface DEET'!$Q$9:$W$38,COLUMN(G244)-COLUMN($E$5),1)&gt;0,INDEX('Surface DEET'!$Q$9:$W$38,COLUMN(G244)-COLUMN($E$5),1),$E251),0)</f>
        <v>0</v>
      </c>
      <c r="H251" s="281">
        <f>IF(H$6=$C251,IF(INDEX('Surface DEET'!$Q$9:$W$38,COLUMN(H244)-COLUMN($E$5),1)&gt;0,INDEX('Surface DEET'!$Q$9:$W$38,COLUMN(H244)-COLUMN($E$5),1),$E251),0)</f>
        <v>0</v>
      </c>
      <c r="I251" s="281">
        <f>IF(I$6=$C251,IF(INDEX('Surface DEET'!$Q$9:$W$38,COLUMN(I244)-COLUMN($E$5),1)&gt;0,INDEX('Surface DEET'!$Q$9:$W$38,COLUMN(I244)-COLUMN($E$5),1),$E251),0)</f>
        <v>0</v>
      </c>
      <c r="J251" s="281">
        <f>IF(J$6=$C251,IF(INDEX('Surface DEET'!$Q$9:$W$38,COLUMN(J244)-COLUMN($E$5),1)&gt;0,INDEX('Surface DEET'!$Q$9:$W$38,COLUMN(J244)-COLUMN($E$5),1),$E251),0)</f>
        <v>0</v>
      </c>
      <c r="K251" s="281">
        <f>IF(K$6=$C251,IF(INDEX('Surface DEET'!$Q$9:$W$38,COLUMN(K244)-COLUMN($E$5),1)&gt;0,INDEX('Surface DEET'!$Q$9:$W$38,COLUMN(K244)-COLUMN($E$5),1),$E251),0)</f>
        <v>0</v>
      </c>
      <c r="L251" s="281">
        <f>IF(L$6=$C251,IF(INDEX('Surface DEET'!$Q$9:$W$38,COLUMN(L244)-COLUMN($E$5),1)&gt;0,INDEX('Surface DEET'!$Q$9:$W$38,COLUMN(L244)-COLUMN($E$5),1),$E251),0)</f>
        <v>0</v>
      </c>
      <c r="M251" s="281">
        <f>IF(M$6=$C251,IF(INDEX('Surface DEET'!$Q$9:$W$38,COLUMN(M244)-COLUMN($E$5),1)&gt;0,INDEX('Surface DEET'!$Q$9:$W$38,COLUMN(M244)-COLUMN($E$5),1),$E251),0)</f>
        <v>0</v>
      </c>
      <c r="N251" s="281">
        <f>IF(N$6=$C251,IF(INDEX('Surface DEET'!$Q$9:$W$38,COLUMN(N244)-COLUMN($E$5),1)&gt;0,INDEX('Surface DEET'!$Q$9:$W$38,COLUMN(N244)-COLUMN($E$5),1),$E251),0)</f>
        <v>0</v>
      </c>
      <c r="O251" s="281">
        <f>IF(O$6=$C251,IF(INDEX('Surface DEET'!$Q$9:$W$38,COLUMN(O244)-COLUMN($E$5),1)&gt;0,INDEX('Surface DEET'!$Q$9:$W$38,COLUMN(O244)-COLUMN($E$5),1),$E251),0)</f>
        <v>0</v>
      </c>
      <c r="P251" s="281">
        <f>IF(P$6=$C251,IF(INDEX('Surface DEET'!$Q$9:$W$38,COLUMN(P244)-COLUMN($E$5),1)&gt;0,INDEX('Surface DEET'!$Q$9:$W$38,COLUMN(P244)-COLUMN($E$5),1),$E251),0)</f>
        <v>0</v>
      </c>
      <c r="Q251" s="281">
        <f>IF(Q$6=$C251,IF(INDEX('Surface DEET'!$Q$9:$W$38,COLUMN(Q244)-COLUMN($E$5),1)&gt;0,INDEX('Surface DEET'!$Q$9:$W$38,COLUMN(Q244)-COLUMN($E$5),1),$E251),0)</f>
        <v>0</v>
      </c>
      <c r="R251" s="281">
        <f>IF(R$6=$C251,IF(INDEX('Surface DEET'!$Q$9:$W$38,COLUMN(R244)-COLUMN($E$5),1)&gt;0,INDEX('Surface DEET'!$Q$9:$W$38,COLUMN(R244)-COLUMN($E$5),1),$E251),0)</f>
        <v>0</v>
      </c>
      <c r="S251" s="281">
        <f>IF(S$6=$C251,IF(INDEX('Surface DEET'!$Q$9:$W$38,COLUMN(S244)-COLUMN($E$5),1)&gt;0,INDEX('Surface DEET'!$Q$9:$W$38,COLUMN(S244)-COLUMN($E$5),1),$E251),0)</f>
        <v>0</v>
      </c>
      <c r="T251" s="281">
        <f>IF(T$6=$C251,IF(INDEX('Surface DEET'!$Q$9:$W$38,COLUMN(T244)-COLUMN($E$5),1)&gt;0,INDEX('Surface DEET'!$Q$9:$W$38,COLUMN(T244)-COLUMN($E$5),1),$E251),0)</f>
        <v>0</v>
      </c>
      <c r="U251" s="281">
        <f>IF(U$6=$C251,IF(INDEX('Surface DEET'!$Q$9:$W$38,COLUMN(U244)-COLUMN($E$5),1)&gt;0,INDEX('Surface DEET'!$Q$9:$W$38,COLUMN(U244)-COLUMN($E$5),1),$E251),0)</f>
        <v>0</v>
      </c>
      <c r="V251" s="281">
        <f>IF(V$6=$C251,IF(INDEX('Surface DEET'!$Q$9:$W$38,COLUMN(V244)-COLUMN($E$5),1)&gt;0,INDEX('Surface DEET'!$Q$9:$W$38,COLUMN(V244)-COLUMN($E$5),1),$E251),0)</f>
        <v>0</v>
      </c>
      <c r="W251" s="281">
        <f>IF(W$6=$C251,IF(INDEX('Surface DEET'!$Q$9:$W$38,COLUMN(W244)-COLUMN($E$5),1)&gt;0,INDEX('Surface DEET'!$Q$9:$W$38,COLUMN(W244)-COLUMN($E$5),1),$E251),0)</f>
        <v>0</v>
      </c>
      <c r="X251" s="281">
        <f>IF(X$6=$C251,IF(INDEX('Surface DEET'!$Q$9:$W$38,COLUMN(X244)-COLUMN($E$5),1)&gt;0,INDEX('Surface DEET'!$Q$9:$W$38,COLUMN(X244)-COLUMN($E$5),1),$E251),0)</f>
        <v>0</v>
      </c>
      <c r="Y251" s="281">
        <f>IF(Y$6=$C251,IF(INDEX('Surface DEET'!$Q$9:$W$38,COLUMN(Y244)-COLUMN($E$5),1)&gt;0,INDEX('Surface DEET'!$Q$9:$W$38,COLUMN(Y244)-COLUMN($E$5),1),$E251),0)</f>
        <v>0</v>
      </c>
      <c r="Z251" s="281">
        <f>IF(Z$6=$C251,IF(INDEX('Surface DEET'!$Q$9:$W$38,COLUMN(Z244)-COLUMN($E$5),1)&gt;0,INDEX('Surface DEET'!$Q$9:$W$38,COLUMN(Z244)-COLUMN($E$5),1),$E251),0)</f>
        <v>0</v>
      </c>
      <c r="AA251" s="281">
        <f>IF(AA$6=$C251,IF(INDEX('Surface DEET'!$Q$9:$W$38,COLUMN(AA244)-COLUMN($E$5),1)&gt;0,INDEX('Surface DEET'!$Q$9:$W$38,COLUMN(AA244)-COLUMN($E$5),1),$E251),0)</f>
        <v>0</v>
      </c>
      <c r="AB251" s="281">
        <f>IF(AB$6=$C251,IF(INDEX('Surface DEET'!$Q$9:$W$38,COLUMN(AB244)-COLUMN($E$5),1)&gt;0,INDEX('Surface DEET'!$Q$9:$W$38,COLUMN(AB244)-COLUMN($E$5),1),$E251),0)</f>
        <v>0</v>
      </c>
      <c r="AC251" s="281">
        <f>IF(AC$6=$C251,IF(INDEX('Surface DEET'!$Q$9:$W$38,COLUMN(AC244)-COLUMN($E$5),1)&gt;0,INDEX('Surface DEET'!$Q$9:$W$38,COLUMN(AC244)-COLUMN($E$5),1),$E251),0)</f>
        <v>0</v>
      </c>
      <c r="AD251" s="281">
        <f>IF(AD$6=$C251,IF(INDEX('Surface DEET'!$Q$9:$W$38,COLUMN(AD244)-COLUMN($E$5),1)&gt;0,INDEX('Surface DEET'!$Q$9:$W$38,COLUMN(AD244)-COLUMN($E$5),1),$E251),0)</f>
        <v>0</v>
      </c>
      <c r="AE251" s="281">
        <f>IF(AE$6=$C251,IF(INDEX('Surface DEET'!$Q$9:$W$38,COLUMN(AE244)-COLUMN($E$5),1)&gt;0,INDEX('Surface DEET'!$Q$9:$W$38,COLUMN(AE244)-COLUMN($E$5),1),$E251),0)</f>
        <v>0</v>
      </c>
      <c r="AF251" s="281">
        <f>IF(AF$6=$C251,IF(INDEX('Surface DEET'!$Q$9:$W$38,COLUMN(AF244)-COLUMN($E$5),1)&gt;0,INDEX('Surface DEET'!$Q$9:$W$38,COLUMN(AF244)-COLUMN($E$5),1),$E251),0)</f>
        <v>0</v>
      </c>
      <c r="AG251" s="281">
        <f>IF(AG$6=$C251,IF(INDEX('Surface DEET'!$Q$9:$W$38,COLUMN(AG244)-COLUMN($E$5),1)&gt;0,INDEX('Surface DEET'!$Q$9:$W$38,COLUMN(AG244)-COLUMN($E$5),1),$E251),0)</f>
        <v>0</v>
      </c>
      <c r="AH251" s="281">
        <f>IF(AH$6=$C251,IF(INDEX('Surface DEET'!$Q$9:$W$38,COLUMN(AH244)-COLUMN($E$5),1)&gt;0,INDEX('Surface DEET'!$Q$9:$W$38,COLUMN(AH244)-COLUMN($E$5),1),$E251),0)</f>
        <v>0</v>
      </c>
      <c r="AI251" s="281">
        <f>IF(AI$6=$C251,IF(INDEX('Surface DEET'!$Q$9:$W$38,COLUMN(AI244)-COLUMN($E$5),1)&gt;0,INDEX('Surface DEET'!$Q$9:$W$38,COLUMN(AI244)-COLUMN($E$5),1),$E251),0)</f>
        <v>0</v>
      </c>
    </row>
    <row r="252" spans="2:35">
      <c r="B252" s="281" t="s">
        <v>545</v>
      </c>
      <c r="C252" s="281" t="s">
        <v>657</v>
      </c>
      <c r="D252" s="329" t="s">
        <v>589</v>
      </c>
      <c r="E252" s="281">
        <v>18</v>
      </c>
      <c r="F252" s="281">
        <f>IF(F$6=$C252,IF(INDEX('Surface DEET'!$Q$9:$W$38,COLUMN(F245)-COLUMN($E$5),4)&gt;0,INDEX('Surface DEET'!$Q$9:$W$38,COLUMN(F245)-COLUMN($E$5),4),$E252),0)</f>
        <v>0</v>
      </c>
      <c r="G252" s="281">
        <f>IF(G$6=$C252,IF(INDEX('Surface DEET'!$Q$9:$W$38,COLUMN(G245)-COLUMN($E$5),4)&gt;0,INDEX('Surface DEET'!$Q$9:$W$38,COLUMN(G245)-COLUMN($E$5),4),$E252),0)</f>
        <v>0</v>
      </c>
      <c r="H252" s="281">
        <f>IF(H$6=$C252,IF(INDEX('Surface DEET'!$Q$9:$W$38,COLUMN(H245)-COLUMN($E$5),4)&gt;0,INDEX('Surface DEET'!$Q$9:$W$38,COLUMN(H245)-COLUMN($E$5),4),$E252),0)</f>
        <v>0</v>
      </c>
      <c r="I252" s="281">
        <f>IF(I$6=$C252,IF(INDEX('Surface DEET'!$Q$9:$W$38,COLUMN(I245)-COLUMN($E$5),4)&gt;0,INDEX('Surface DEET'!$Q$9:$W$38,COLUMN(I245)-COLUMN($E$5),4),$E252),0)</f>
        <v>0</v>
      </c>
      <c r="J252" s="281">
        <f>IF(J$6=$C252,IF(INDEX('Surface DEET'!$Q$9:$W$38,COLUMN(J245)-COLUMN($E$5),4)&gt;0,INDEX('Surface DEET'!$Q$9:$W$38,COLUMN(J245)-COLUMN($E$5),4),$E252),0)</f>
        <v>0</v>
      </c>
      <c r="K252" s="281">
        <f>IF(K$6=$C252,IF(INDEX('Surface DEET'!$Q$9:$W$38,COLUMN(K245)-COLUMN($E$5),4)&gt;0,INDEX('Surface DEET'!$Q$9:$W$38,COLUMN(K245)-COLUMN($E$5),4),$E252),0)</f>
        <v>0</v>
      </c>
      <c r="L252" s="281">
        <f>IF(L$6=$C252,IF(INDEX('Surface DEET'!$Q$9:$W$38,COLUMN(L245)-COLUMN($E$5),4)&gt;0,INDEX('Surface DEET'!$Q$9:$W$38,COLUMN(L245)-COLUMN($E$5),4),$E252),0)</f>
        <v>0</v>
      </c>
      <c r="M252" s="281">
        <f>IF(M$6=$C252,IF(INDEX('Surface DEET'!$Q$9:$W$38,COLUMN(M245)-COLUMN($E$5),4)&gt;0,INDEX('Surface DEET'!$Q$9:$W$38,COLUMN(M245)-COLUMN($E$5),4),$E252),0)</f>
        <v>0</v>
      </c>
      <c r="N252" s="281">
        <f>IF(N$6=$C252,IF(INDEX('Surface DEET'!$Q$9:$W$38,COLUMN(N245)-COLUMN($E$5),4)&gt;0,INDEX('Surface DEET'!$Q$9:$W$38,COLUMN(N245)-COLUMN($E$5),4),$E252),0)</f>
        <v>0</v>
      </c>
      <c r="O252" s="281">
        <f>IF(O$6=$C252,IF(INDEX('Surface DEET'!$Q$9:$W$38,COLUMN(O245)-COLUMN($E$5),4)&gt;0,INDEX('Surface DEET'!$Q$9:$W$38,COLUMN(O245)-COLUMN($E$5),4),$E252),0)</f>
        <v>0</v>
      </c>
      <c r="P252" s="281">
        <f>IF(P$6=$C252,IF(INDEX('Surface DEET'!$Q$9:$W$38,COLUMN(P245)-COLUMN($E$5),4)&gt;0,INDEX('Surface DEET'!$Q$9:$W$38,COLUMN(P245)-COLUMN($E$5),4),$E252),0)</f>
        <v>0</v>
      </c>
      <c r="Q252" s="281">
        <f>IF(Q$6=$C252,IF(INDEX('Surface DEET'!$Q$9:$W$38,COLUMN(Q245)-COLUMN($E$5),4)&gt;0,INDEX('Surface DEET'!$Q$9:$W$38,COLUMN(Q245)-COLUMN($E$5),4),$E252),0)</f>
        <v>0</v>
      </c>
      <c r="R252" s="281">
        <f>IF(R$6=$C252,IF(INDEX('Surface DEET'!$Q$9:$W$38,COLUMN(R245)-COLUMN($E$5),4)&gt;0,INDEX('Surface DEET'!$Q$9:$W$38,COLUMN(R245)-COLUMN($E$5),4),$E252),0)</f>
        <v>0</v>
      </c>
      <c r="S252" s="281">
        <f>IF(S$6=$C252,IF(INDEX('Surface DEET'!$Q$9:$W$38,COLUMN(S245)-COLUMN($E$5),4)&gt;0,INDEX('Surface DEET'!$Q$9:$W$38,COLUMN(S245)-COLUMN($E$5),4),$E252),0)</f>
        <v>0</v>
      </c>
      <c r="T252" s="281">
        <f>IF(T$6=$C252,IF(INDEX('Surface DEET'!$Q$9:$W$38,COLUMN(T245)-COLUMN($E$5),4)&gt;0,INDEX('Surface DEET'!$Q$9:$W$38,COLUMN(T245)-COLUMN($E$5),4),$E252),0)</f>
        <v>0</v>
      </c>
      <c r="U252" s="281">
        <f>IF(U$6=$C252,IF(INDEX('Surface DEET'!$Q$9:$W$38,COLUMN(U245)-COLUMN($E$5),4)&gt;0,INDEX('Surface DEET'!$Q$9:$W$38,COLUMN(U245)-COLUMN($E$5),4),$E252),0)</f>
        <v>0</v>
      </c>
      <c r="V252" s="281">
        <f>IF(V$6=$C252,IF(INDEX('Surface DEET'!$Q$9:$W$38,COLUMN(V245)-COLUMN($E$5),4)&gt;0,INDEX('Surface DEET'!$Q$9:$W$38,COLUMN(V245)-COLUMN($E$5),4),$E252),0)</f>
        <v>0</v>
      </c>
      <c r="W252" s="281">
        <f>IF(W$6=$C252,IF(INDEX('Surface DEET'!$Q$9:$W$38,COLUMN(W245)-COLUMN($E$5),4)&gt;0,INDEX('Surface DEET'!$Q$9:$W$38,COLUMN(W245)-COLUMN($E$5),4),$E252),0)</f>
        <v>0</v>
      </c>
      <c r="X252" s="281">
        <f>IF(X$6=$C252,IF(INDEX('Surface DEET'!$Q$9:$W$38,COLUMN(X245)-COLUMN($E$5),4)&gt;0,INDEX('Surface DEET'!$Q$9:$W$38,COLUMN(X245)-COLUMN($E$5),4),$E252),0)</f>
        <v>0</v>
      </c>
      <c r="Y252" s="281">
        <f>IF(Y$6=$C252,IF(INDEX('Surface DEET'!$Q$9:$W$38,COLUMN(Y245)-COLUMN($E$5),4)&gt;0,INDEX('Surface DEET'!$Q$9:$W$38,COLUMN(Y245)-COLUMN($E$5),4),$E252),0)</f>
        <v>0</v>
      </c>
      <c r="Z252" s="281">
        <f>IF(Z$6=$C252,IF(INDEX('Surface DEET'!$Q$9:$W$38,COLUMN(Z245)-COLUMN($E$5),4)&gt;0,INDEX('Surface DEET'!$Q$9:$W$38,COLUMN(Z245)-COLUMN($E$5),4),$E252),0)</f>
        <v>0</v>
      </c>
      <c r="AA252" s="281">
        <f>IF(AA$6=$C252,IF(INDEX('Surface DEET'!$Q$9:$W$38,COLUMN(AA245)-COLUMN($E$5),4)&gt;0,INDEX('Surface DEET'!$Q$9:$W$38,COLUMN(AA245)-COLUMN($E$5),4),$E252),0)</f>
        <v>0</v>
      </c>
      <c r="AB252" s="281">
        <f>IF(AB$6=$C252,IF(INDEX('Surface DEET'!$Q$9:$W$38,COLUMN(AB245)-COLUMN($E$5),4)&gt;0,INDEX('Surface DEET'!$Q$9:$W$38,COLUMN(AB245)-COLUMN($E$5),4),$E252),0)</f>
        <v>0</v>
      </c>
      <c r="AC252" s="281">
        <f>IF(AC$6=$C252,IF(INDEX('Surface DEET'!$Q$9:$W$38,COLUMN(AC245)-COLUMN($E$5),4)&gt;0,INDEX('Surface DEET'!$Q$9:$W$38,COLUMN(AC245)-COLUMN($E$5),4),$E252),0)</f>
        <v>0</v>
      </c>
      <c r="AD252" s="281">
        <f>IF(AD$6=$C252,IF(INDEX('Surface DEET'!$Q$9:$W$38,COLUMN(AD245)-COLUMN($E$5),4)&gt;0,INDEX('Surface DEET'!$Q$9:$W$38,COLUMN(AD245)-COLUMN($E$5),4),$E252),0)</f>
        <v>0</v>
      </c>
      <c r="AE252" s="281">
        <f>IF(AE$6=$C252,IF(INDEX('Surface DEET'!$Q$9:$W$38,COLUMN(AE245)-COLUMN($E$5),4)&gt;0,INDEX('Surface DEET'!$Q$9:$W$38,COLUMN(AE245)-COLUMN($E$5),4),$E252),0)</f>
        <v>0</v>
      </c>
      <c r="AF252" s="281">
        <f>IF(AF$6=$C252,IF(INDEX('Surface DEET'!$Q$9:$W$38,COLUMN(AF245)-COLUMN($E$5),4)&gt;0,INDEX('Surface DEET'!$Q$9:$W$38,COLUMN(AF245)-COLUMN($E$5),4),$E252),0)</f>
        <v>0</v>
      </c>
      <c r="AG252" s="281">
        <f>IF(AG$6=$C252,IF(INDEX('Surface DEET'!$Q$9:$W$38,COLUMN(AG245)-COLUMN($E$5),4)&gt;0,INDEX('Surface DEET'!$Q$9:$W$38,COLUMN(AG245)-COLUMN($E$5),4),$E252),0)</f>
        <v>0</v>
      </c>
      <c r="AH252" s="281">
        <f>IF(AH$6=$C252,IF(INDEX('Surface DEET'!$Q$9:$W$38,COLUMN(AH245)-COLUMN($E$5),4)&gt;0,INDEX('Surface DEET'!$Q$9:$W$38,COLUMN(AH245)-COLUMN($E$5),4),$E252),0)</f>
        <v>0</v>
      </c>
      <c r="AI252" s="281">
        <f>IF(AI$6=$C252,IF(INDEX('Surface DEET'!$Q$9:$W$38,COLUMN(AI245)-COLUMN($E$5),4)&gt;0,INDEX('Surface DEET'!$Q$9:$W$38,COLUMN(AI245)-COLUMN($E$5),4),$E252),0)</f>
        <v>0</v>
      </c>
    </row>
    <row r="253" spans="2:35">
      <c r="B253" s="281" t="s">
        <v>548</v>
      </c>
      <c r="C253" s="281" t="s">
        <v>657</v>
      </c>
      <c r="D253" s="329" t="s">
        <v>590</v>
      </c>
      <c r="E253" s="281">
        <v>70</v>
      </c>
      <c r="F253" s="281">
        <f>IF(F$6=$C253,IF(INDEX('Surface DEET'!$Q$9:$W$38,COLUMN(F246)-COLUMN($E$5),7)&gt;0,INDEX('Surface DEET'!$Q$9:$W$38,COLUMN(F246)-COLUMN($E$5),7),$E253),0)</f>
        <v>0</v>
      </c>
      <c r="G253" s="281">
        <f>IF(G$6=$C253,IF(INDEX('Surface DEET'!$Q$9:$W$38,COLUMN(G246)-COLUMN($E$5),7)&gt;0,INDEX('Surface DEET'!$Q$9:$W$38,COLUMN(G246)-COLUMN($E$5),7),$E253),0)</f>
        <v>0</v>
      </c>
      <c r="H253" s="281">
        <f>IF(H$6=$C253,IF(INDEX('Surface DEET'!$Q$9:$W$38,COLUMN(H246)-COLUMN($E$5),7)&gt;0,INDEX('Surface DEET'!$Q$9:$W$38,COLUMN(H246)-COLUMN($E$5),7),$E253),0)</f>
        <v>0</v>
      </c>
      <c r="I253" s="281">
        <f>IF(I$6=$C253,IF(INDEX('Surface DEET'!$Q$9:$W$38,COLUMN(I246)-COLUMN($E$5),7)&gt;0,INDEX('Surface DEET'!$Q$9:$W$38,COLUMN(I246)-COLUMN($E$5),7),$E253),0)</f>
        <v>0</v>
      </c>
      <c r="J253" s="281">
        <f>IF(J$6=$C253,IF(INDEX('Surface DEET'!$Q$9:$W$38,COLUMN(J246)-COLUMN($E$5),7)&gt;0,INDEX('Surface DEET'!$Q$9:$W$38,COLUMN(J246)-COLUMN($E$5),7),$E253),0)</f>
        <v>0</v>
      </c>
      <c r="K253" s="281">
        <f>IF(K$6=$C253,IF(INDEX('Surface DEET'!$Q$9:$W$38,COLUMN(K246)-COLUMN($E$5),7)&gt;0,INDEX('Surface DEET'!$Q$9:$W$38,COLUMN(K246)-COLUMN($E$5),7),$E253),0)</f>
        <v>0</v>
      </c>
      <c r="L253" s="281">
        <f>IF(L$6=$C253,IF(INDEX('Surface DEET'!$Q$9:$W$38,COLUMN(L246)-COLUMN($E$5),7)&gt;0,INDEX('Surface DEET'!$Q$9:$W$38,COLUMN(L246)-COLUMN($E$5),7),$E253),0)</f>
        <v>0</v>
      </c>
      <c r="M253" s="281">
        <f>IF(M$6=$C253,IF(INDEX('Surface DEET'!$Q$9:$W$38,COLUMN(M246)-COLUMN($E$5),7)&gt;0,INDEX('Surface DEET'!$Q$9:$W$38,COLUMN(M246)-COLUMN($E$5),7),$E253),0)</f>
        <v>0</v>
      </c>
      <c r="N253" s="281">
        <f>IF(N$6=$C253,IF(INDEX('Surface DEET'!$Q$9:$W$38,COLUMN(N246)-COLUMN($E$5),7)&gt;0,INDEX('Surface DEET'!$Q$9:$W$38,COLUMN(N246)-COLUMN($E$5),7),$E253),0)</f>
        <v>0</v>
      </c>
      <c r="O253" s="281">
        <f>IF(O$6=$C253,IF(INDEX('Surface DEET'!$Q$9:$W$38,COLUMN(O246)-COLUMN($E$5),7)&gt;0,INDEX('Surface DEET'!$Q$9:$W$38,COLUMN(O246)-COLUMN($E$5),7),$E253),0)</f>
        <v>0</v>
      </c>
      <c r="P253" s="281">
        <f>IF(P$6=$C253,IF(INDEX('Surface DEET'!$Q$9:$W$38,COLUMN(P246)-COLUMN($E$5),7)&gt;0,INDEX('Surface DEET'!$Q$9:$W$38,COLUMN(P246)-COLUMN($E$5),7),$E253),0)</f>
        <v>0</v>
      </c>
      <c r="Q253" s="281">
        <f>IF(Q$6=$C253,IF(INDEX('Surface DEET'!$Q$9:$W$38,COLUMN(Q246)-COLUMN($E$5),7)&gt;0,INDEX('Surface DEET'!$Q$9:$W$38,COLUMN(Q246)-COLUMN($E$5),7),$E253),0)</f>
        <v>0</v>
      </c>
      <c r="R253" s="281">
        <f>IF(R$6=$C253,IF(INDEX('Surface DEET'!$Q$9:$W$38,COLUMN(R246)-COLUMN($E$5),7)&gt;0,INDEX('Surface DEET'!$Q$9:$W$38,COLUMN(R246)-COLUMN($E$5),7),$E253),0)</f>
        <v>0</v>
      </c>
      <c r="S253" s="281">
        <f>IF(S$6=$C253,IF(INDEX('Surface DEET'!$Q$9:$W$38,COLUMN(S246)-COLUMN($E$5),7)&gt;0,INDEX('Surface DEET'!$Q$9:$W$38,COLUMN(S246)-COLUMN($E$5),7),$E253),0)</f>
        <v>0</v>
      </c>
      <c r="T253" s="281">
        <f>IF(T$6=$C253,IF(INDEX('Surface DEET'!$Q$9:$W$38,COLUMN(T246)-COLUMN($E$5),7)&gt;0,INDEX('Surface DEET'!$Q$9:$W$38,COLUMN(T246)-COLUMN($E$5),7),$E253),0)</f>
        <v>0</v>
      </c>
      <c r="U253" s="281">
        <f>IF(U$6=$C253,IF(INDEX('Surface DEET'!$Q$9:$W$38,COLUMN(U246)-COLUMN($E$5),7)&gt;0,INDEX('Surface DEET'!$Q$9:$W$38,COLUMN(U246)-COLUMN($E$5),7),$E253),0)</f>
        <v>0</v>
      </c>
      <c r="V253" s="281">
        <f>IF(V$6=$C253,IF(INDEX('Surface DEET'!$Q$9:$W$38,COLUMN(V246)-COLUMN($E$5),7)&gt;0,INDEX('Surface DEET'!$Q$9:$W$38,COLUMN(V246)-COLUMN($E$5),7),$E253),0)</f>
        <v>0</v>
      </c>
      <c r="W253" s="281">
        <f>IF(W$6=$C253,IF(INDEX('Surface DEET'!$Q$9:$W$38,COLUMN(W246)-COLUMN($E$5),7)&gt;0,INDEX('Surface DEET'!$Q$9:$W$38,COLUMN(W246)-COLUMN($E$5),7),$E253),0)</f>
        <v>0</v>
      </c>
      <c r="X253" s="281">
        <f>IF(X$6=$C253,IF(INDEX('Surface DEET'!$Q$9:$W$38,COLUMN(X246)-COLUMN($E$5),7)&gt;0,INDEX('Surface DEET'!$Q$9:$W$38,COLUMN(X246)-COLUMN($E$5),7),$E253),0)</f>
        <v>0</v>
      </c>
      <c r="Y253" s="281">
        <f>IF(Y$6=$C253,IF(INDEX('Surface DEET'!$Q$9:$W$38,COLUMN(Y246)-COLUMN($E$5),7)&gt;0,INDEX('Surface DEET'!$Q$9:$W$38,COLUMN(Y246)-COLUMN($E$5),7),$E253),0)</f>
        <v>0</v>
      </c>
      <c r="Z253" s="281">
        <f>IF(Z$6=$C253,IF(INDEX('Surface DEET'!$Q$9:$W$38,COLUMN(Z246)-COLUMN($E$5),7)&gt;0,INDEX('Surface DEET'!$Q$9:$W$38,COLUMN(Z246)-COLUMN($E$5),7),$E253),0)</f>
        <v>0</v>
      </c>
      <c r="AA253" s="281">
        <f>IF(AA$6=$C253,IF(INDEX('Surface DEET'!$Q$9:$W$38,COLUMN(AA246)-COLUMN($E$5),7)&gt;0,INDEX('Surface DEET'!$Q$9:$W$38,COLUMN(AA246)-COLUMN($E$5),7),$E253),0)</f>
        <v>0</v>
      </c>
      <c r="AB253" s="281">
        <f>IF(AB$6=$C253,IF(INDEX('Surface DEET'!$Q$9:$W$38,COLUMN(AB246)-COLUMN($E$5),7)&gt;0,INDEX('Surface DEET'!$Q$9:$W$38,COLUMN(AB246)-COLUMN($E$5),7),$E253),0)</f>
        <v>0</v>
      </c>
      <c r="AC253" s="281">
        <f>IF(AC$6=$C253,IF(INDEX('Surface DEET'!$Q$9:$W$38,COLUMN(AC246)-COLUMN($E$5),7)&gt;0,INDEX('Surface DEET'!$Q$9:$W$38,COLUMN(AC246)-COLUMN($E$5),7),$E253),0)</f>
        <v>0</v>
      </c>
      <c r="AD253" s="281">
        <f>IF(AD$6=$C253,IF(INDEX('Surface DEET'!$Q$9:$W$38,COLUMN(AD246)-COLUMN($E$5),7)&gt;0,INDEX('Surface DEET'!$Q$9:$W$38,COLUMN(AD246)-COLUMN($E$5),7),$E253),0)</f>
        <v>0</v>
      </c>
      <c r="AE253" s="281">
        <f>IF(AE$6=$C253,IF(INDEX('Surface DEET'!$Q$9:$W$38,COLUMN(AE246)-COLUMN($E$5),7)&gt;0,INDEX('Surface DEET'!$Q$9:$W$38,COLUMN(AE246)-COLUMN($E$5),7),$E253),0)</f>
        <v>0</v>
      </c>
      <c r="AF253" s="281">
        <f>IF(AF$6=$C253,IF(INDEX('Surface DEET'!$Q$9:$W$38,COLUMN(AF246)-COLUMN($E$5),7)&gt;0,INDEX('Surface DEET'!$Q$9:$W$38,COLUMN(AF246)-COLUMN($E$5),7),$E253),0)</f>
        <v>0</v>
      </c>
      <c r="AG253" s="281">
        <f>IF(AG$6=$C253,IF(INDEX('Surface DEET'!$Q$9:$W$38,COLUMN(AG246)-COLUMN($E$5),7)&gt;0,INDEX('Surface DEET'!$Q$9:$W$38,COLUMN(AG246)-COLUMN($E$5),7),$E253),0)</f>
        <v>0</v>
      </c>
      <c r="AH253" s="281">
        <f>IF(AH$6=$C253,IF(INDEX('Surface DEET'!$Q$9:$W$38,COLUMN(AH246)-COLUMN($E$5),7)&gt;0,INDEX('Surface DEET'!$Q$9:$W$38,COLUMN(AH246)-COLUMN($E$5),7),$E253),0)</f>
        <v>0</v>
      </c>
      <c r="AI253" s="281">
        <f>IF(AI$6=$C253,IF(INDEX('Surface DEET'!$Q$9:$W$38,COLUMN(AI246)-COLUMN($E$5),7)&gt;0,INDEX('Surface DEET'!$Q$9:$W$38,COLUMN(AI246)-COLUMN($E$5),7),$E253),0)</f>
        <v>0</v>
      </c>
    </row>
    <row r="254" spans="2:35">
      <c r="B254" s="281" t="s">
        <v>538</v>
      </c>
      <c r="C254" s="281" t="s">
        <v>657</v>
      </c>
      <c r="D254" s="281" t="s">
        <v>538</v>
      </c>
      <c r="F254" s="281">
        <f>$E$248*(F251/$E$251)*($E$250*(F252/$E$252)*(F253/$E$253)+(1-$E$250))+0.28*$E$247*(F251-$E$251)/$E$251</f>
        <v>-14.000000000000002</v>
      </c>
      <c r="G254" s="281">
        <f t="shared" ref="G254:AI254" si="30">$E$248*(G251/$E$251)*($E$250*(G252/$E$252)*(G253/$E$253)+(1-$E$250))+0.28*$E$247*(G251-$E$251)/$E$251</f>
        <v>-14.000000000000002</v>
      </c>
      <c r="H254" s="281">
        <f t="shared" si="30"/>
        <v>-14.000000000000002</v>
      </c>
      <c r="I254" s="281">
        <f t="shared" si="30"/>
        <v>-14.000000000000002</v>
      </c>
      <c r="J254" s="281">
        <f t="shared" si="30"/>
        <v>-14.000000000000002</v>
      </c>
      <c r="K254" s="281">
        <f t="shared" si="30"/>
        <v>-14.000000000000002</v>
      </c>
      <c r="L254" s="281">
        <f t="shared" si="30"/>
        <v>-14.000000000000002</v>
      </c>
      <c r="M254" s="281">
        <f t="shared" si="30"/>
        <v>-14.000000000000002</v>
      </c>
      <c r="N254" s="281">
        <f t="shared" si="30"/>
        <v>-14.000000000000002</v>
      </c>
      <c r="O254" s="281">
        <f t="shared" si="30"/>
        <v>-14.000000000000002</v>
      </c>
      <c r="P254" s="281">
        <f t="shared" si="30"/>
        <v>-14.000000000000002</v>
      </c>
      <c r="Q254" s="281">
        <f t="shared" si="30"/>
        <v>-14.000000000000002</v>
      </c>
      <c r="R254" s="281">
        <f t="shared" si="30"/>
        <v>-14.000000000000002</v>
      </c>
      <c r="S254" s="281">
        <f t="shared" si="30"/>
        <v>-14.000000000000002</v>
      </c>
      <c r="T254" s="281">
        <f t="shared" si="30"/>
        <v>-14.000000000000002</v>
      </c>
      <c r="U254" s="281">
        <f t="shared" si="30"/>
        <v>-14.000000000000002</v>
      </c>
      <c r="V254" s="281">
        <f t="shared" si="30"/>
        <v>-14.000000000000002</v>
      </c>
      <c r="W254" s="281">
        <f t="shared" si="30"/>
        <v>-14.000000000000002</v>
      </c>
      <c r="X254" s="281">
        <f t="shared" si="30"/>
        <v>-14.000000000000002</v>
      </c>
      <c r="Y254" s="281">
        <f t="shared" si="30"/>
        <v>-14.000000000000002</v>
      </c>
      <c r="Z254" s="281">
        <f t="shared" si="30"/>
        <v>-14.000000000000002</v>
      </c>
      <c r="AA254" s="281">
        <f t="shared" si="30"/>
        <v>-14.000000000000002</v>
      </c>
      <c r="AB254" s="281">
        <f t="shared" si="30"/>
        <v>-14.000000000000002</v>
      </c>
      <c r="AC254" s="281">
        <f t="shared" si="30"/>
        <v>-14.000000000000002</v>
      </c>
      <c r="AD254" s="281">
        <f t="shared" si="30"/>
        <v>-14.000000000000002</v>
      </c>
      <c r="AE254" s="281">
        <f t="shared" si="30"/>
        <v>-14.000000000000002</v>
      </c>
      <c r="AF254" s="281">
        <f t="shared" si="30"/>
        <v>-14.000000000000002</v>
      </c>
      <c r="AG254" s="281">
        <f t="shared" si="30"/>
        <v>-14.000000000000002</v>
      </c>
      <c r="AH254" s="281">
        <f t="shared" si="30"/>
        <v>-14.000000000000002</v>
      </c>
      <c r="AI254" s="281">
        <f t="shared" si="30"/>
        <v>-14.000000000000002</v>
      </c>
    </row>
    <row r="255" spans="2:35">
      <c r="B255" s="92" t="s">
        <v>298</v>
      </c>
      <c r="C255" s="281" t="s">
        <v>658</v>
      </c>
      <c r="D255" s="92" t="s">
        <v>298</v>
      </c>
      <c r="E255" s="281">
        <f t="array" ref="E255">INDEX(CABS_CVC!$C$3:$O$894,MATCH(1, (CABS_CVC!$A$3:$A$894=Calculs_CABS!C255)*(CABS_CVC!$B$3:$B$894=Calculs_CABS!$D$2),0),MATCH(Calculs_CABS!$D$1,Liste_CABS!$B$3:$B$15,0))</f>
        <v>50</v>
      </c>
    </row>
    <row r="256" spans="2:35">
      <c r="B256" s="281" t="s">
        <v>539</v>
      </c>
      <c r="C256" s="281" t="s">
        <v>658</v>
      </c>
      <c r="D256" s="281" t="s">
        <v>539</v>
      </c>
      <c r="E256" s="281">
        <v>60</v>
      </c>
    </row>
    <row r="257" spans="2:35">
      <c r="B257" s="281" t="s">
        <v>540</v>
      </c>
      <c r="C257" s="281" t="s">
        <v>658</v>
      </c>
      <c r="D257" s="281" t="s">
        <v>540</v>
      </c>
      <c r="E257" s="281">
        <f>E255+E256</f>
        <v>110</v>
      </c>
    </row>
    <row r="258" spans="2:35">
      <c r="B258" s="281" t="s">
        <v>541</v>
      </c>
      <c r="C258" s="281" t="s">
        <v>658</v>
      </c>
      <c r="D258" s="281" t="s">
        <v>541</v>
      </c>
      <c r="E258" s="281">
        <v>0.95</v>
      </c>
    </row>
    <row r="259" spans="2:35">
      <c r="B259" s="281" t="s">
        <v>542</v>
      </c>
      <c r="C259" s="281" t="s">
        <v>658</v>
      </c>
      <c r="D259" s="329" t="s">
        <v>588</v>
      </c>
      <c r="E259" s="281">
        <v>3120</v>
      </c>
      <c r="F259" s="281">
        <f>IF(F$6=$C259,IF(INDEX('Surface DEET'!$Q$9:$W$38,COLUMN(F252)-COLUMN($E$5),1)&gt;0,INDEX('Surface DEET'!$Q$9:$W$38,COLUMN(F252)-COLUMN($E$5),1),$E259),0)</f>
        <v>0</v>
      </c>
      <c r="G259" s="281">
        <f>IF(G$6=$C259,IF(INDEX('Surface DEET'!$Q$9:$W$38,COLUMN(G252)-COLUMN($E$5),1)&gt;0,INDEX('Surface DEET'!$Q$9:$W$38,COLUMN(G252)-COLUMN($E$5),1),$E259),0)</f>
        <v>0</v>
      </c>
      <c r="H259" s="281">
        <f>IF(H$6=$C259,IF(INDEX('Surface DEET'!$Q$9:$W$38,COLUMN(H252)-COLUMN($E$5),1)&gt;0,INDEX('Surface DEET'!$Q$9:$W$38,COLUMN(H252)-COLUMN($E$5),1),$E259),0)</f>
        <v>0</v>
      </c>
      <c r="I259" s="281">
        <f>IF(I$6=$C259,IF(INDEX('Surface DEET'!$Q$9:$W$38,COLUMN(I252)-COLUMN($E$5),1)&gt;0,INDEX('Surface DEET'!$Q$9:$W$38,COLUMN(I252)-COLUMN($E$5),1),$E259),0)</f>
        <v>0</v>
      </c>
      <c r="J259" s="281">
        <f>IF(J$6=$C259,IF(INDEX('Surface DEET'!$Q$9:$W$38,COLUMN(J252)-COLUMN($E$5),1)&gt;0,INDEX('Surface DEET'!$Q$9:$W$38,COLUMN(J252)-COLUMN($E$5),1),$E259),0)</f>
        <v>0</v>
      </c>
      <c r="K259" s="281">
        <f>IF(K$6=$C259,IF(INDEX('Surface DEET'!$Q$9:$W$38,COLUMN(K252)-COLUMN($E$5),1)&gt;0,INDEX('Surface DEET'!$Q$9:$W$38,COLUMN(K252)-COLUMN($E$5),1),$E259),0)</f>
        <v>0</v>
      </c>
      <c r="L259" s="281">
        <f>IF(L$6=$C259,IF(INDEX('Surface DEET'!$Q$9:$W$38,COLUMN(L252)-COLUMN($E$5),1)&gt;0,INDEX('Surface DEET'!$Q$9:$W$38,COLUMN(L252)-COLUMN($E$5),1),$E259),0)</f>
        <v>0</v>
      </c>
      <c r="M259" s="281">
        <f>IF(M$6=$C259,IF(INDEX('Surface DEET'!$Q$9:$W$38,COLUMN(M252)-COLUMN($E$5),1)&gt;0,INDEX('Surface DEET'!$Q$9:$W$38,COLUMN(M252)-COLUMN($E$5),1),$E259),0)</f>
        <v>0</v>
      </c>
      <c r="N259" s="281">
        <f>IF(N$6=$C259,IF(INDEX('Surface DEET'!$Q$9:$W$38,COLUMN(N252)-COLUMN($E$5),1)&gt;0,INDEX('Surface DEET'!$Q$9:$W$38,COLUMN(N252)-COLUMN($E$5),1),$E259),0)</f>
        <v>0</v>
      </c>
      <c r="O259" s="281">
        <f>IF(O$6=$C259,IF(INDEX('Surface DEET'!$Q$9:$W$38,COLUMN(O252)-COLUMN($E$5),1)&gt;0,INDEX('Surface DEET'!$Q$9:$W$38,COLUMN(O252)-COLUMN($E$5),1),$E259),0)</f>
        <v>0</v>
      </c>
      <c r="P259" s="281">
        <f>IF(P$6=$C259,IF(INDEX('Surface DEET'!$Q$9:$W$38,COLUMN(P252)-COLUMN($E$5),1)&gt;0,INDEX('Surface DEET'!$Q$9:$W$38,COLUMN(P252)-COLUMN($E$5),1),$E259),0)</f>
        <v>0</v>
      </c>
      <c r="Q259" s="281">
        <f>IF(Q$6=$C259,IF(INDEX('Surface DEET'!$Q$9:$W$38,COLUMN(Q252)-COLUMN($E$5),1)&gt;0,INDEX('Surface DEET'!$Q$9:$W$38,COLUMN(Q252)-COLUMN($E$5),1),$E259),0)</f>
        <v>0</v>
      </c>
      <c r="R259" s="281">
        <f>IF(R$6=$C259,IF(INDEX('Surface DEET'!$Q$9:$W$38,COLUMN(R252)-COLUMN($E$5),1)&gt;0,INDEX('Surface DEET'!$Q$9:$W$38,COLUMN(R252)-COLUMN($E$5),1),$E259),0)</f>
        <v>0</v>
      </c>
      <c r="S259" s="281">
        <f>IF(S$6=$C259,IF(INDEX('Surface DEET'!$Q$9:$W$38,COLUMN(S252)-COLUMN($E$5),1)&gt;0,INDEX('Surface DEET'!$Q$9:$W$38,COLUMN(S252)-COLUMN($E$5),1),$E259),0)</f>
        <v>0</v>
      </c>
      <c r="T259" s="281">
        <f>IF(T$6=$C259,IF(INDEX('Surface DEET'!$Q$9:$W$38,COLUMN(T252)-COLUMN($E$5),1)&gt;0,INDEX('Surface DEET'!$Q$9:$W$38,COLUMN(T252)-COLUMN($E$5),1),$E259),0)</f>
        <v>0</v>
      </c>
      <c r="U259" s="281">
        <f>IF(U$6=$C259,IF(INDEX('Surface DEET'!$Q$9:$W$38,COLUMN(U252)-COLUMN($E$5),1)&gt;0,INDEX('Surface DEET'!$Q$9:$W$38,COLUMN(U252)-COLUMN($E$5),1),$E259),0)</f>
        <v>0</v>
      </c>
      <c r="V259" s="281">
        <f>IF(V$6=$C259,IF(INDEX('Surface DEET'!$Q$9:$W$38,COLUMN(V252)-COLUMN($E$5),1)&gt;0,INDEX('Surface DEET'!$Q$9:$W$38,COLUMN(V252)-COLUMN($E$5),1),$E259),0)</f>
        <v>0</v>
      </c>
      <c r="W259" s="281">
        <f>IF(W$6=$C259,IF(INDEX('Surface DEET'!$Q$9:$W$38,COLUMN(W252)-COLUMN($E$5),1)&gt;0,INDEX('Surface DEET'!$Q$9:$W$38,COLUMN(W252)-COLUMN($E$5),1),$E259),0)</f>
        <v>0</v>
      </c>
      <c r="X259" s="281">
        <f>IF(X$6=$C259,IF(INDEX('Surface DEET'!$Q$9:$W$38,COLUMN(X252)-COLUMN($E$5),1)&gt;0,INDEX('Surface DEET'!$Q$9:$W$38,COLUMN(X252)-COLUMN($E$5),1),$E259),0)</f>
        <v>0</v>
      </c>
      <c r="Y259" s="281">
        <f>IF(Y$6=$C259,IF(INDEX('Surface DEET'!$Q$9:$W$38,COLUMN(Y252)-COLUMN($E$5),1)&gt;0,INDEX('Surface DEET'!$Q$9:$W$38,COLUMN(Y252)-COLUMN($E$5),1),$E259),0)</f>
        <v>0</v>
      </c>
      <c r="Z259" s="281">
        <f>IF(Z$6=$C259,IF(INDEX('Surface DEET'!$Q$9:$W$38,COLUMN(Z252)-COLUMN($E$5),1)&gt;0,INDEX('Surface DEET'!$Q$9:$W$38,COLUMN(Z252)-COLUMN($E$5),1),$E259),0)</f>
        <v>0</v>
      </c>
      <c r="AA259" s="281">
        <f>IF(AA$6=$C259,IF(INDEX('Surface DEET'!$Q$9:$W$38,COLUMN(AA252)-COLUMN($E$5),1)&gt;0,INDEX('Surface DEET'!$Q$9:$W$38,COLUMN(AA252)-COLUMN($E$5),1),$E259),0)</f>
        <v>0</v>
      </c>
      <c r="AB259" s="281">
        <f>IF(AB$6=$C259,IF(INDEX('Surface DEET'!$Q$9:$W$38,COLUMN(AB252)-COLUMN($E$5),1)&gt;0,INDEX('Surface DEET'!$Q$9:$W$38,COLUMN(AB252)-COLUMN($E$5),1),$E259),0)</f>
        <v>0</v>
      </c>
      <c r="AC259" s="281">
        <f>IF(AC$6=$C259,IF(INDEX('Surface DEET'!$Q$9:$W$38,COLUMN(AC252)-COLUMN($E$5),1)&gt;0,INDEX('Surface DEET'!$Q$9:$W$38,COLUMN(AC252)-COLUMN($E$5),1),$E259),0)</f>
        <v>0</v>
      </c>
      <c r="AD259" s="281">
        <f>IF(AD$6=$C259,IF(INDEX('Surface DEET'!$Q$9:$W$38,COLUMN(AD252)-COLUMN($E$5),1)&gt;0,INDEX('Surface DEET'!$Q$9:$W$38,COLUMN(AD252)-COLUMN($E$5),1),$E259),0)</f>
        <v>0</v>
      </c>
      <c r="AE259" s="281">
        <f>IF(AE$6=$C259,IF(INDEX('Surface DEET'!$Q$9:$W$38,COLUMN(AE252)-COLUMN($E$5),1)&gt;0,INDEX('Surface DEET'!$Q$9:$W$38,COLUMN(AE252)-COLUMN($E$5),1),$E259),0)</f>
        <v>0</v>
      </c>
      <c r="AF259" s="281">
        <f>IF(AF$6=$C259,IF(INDEX('Surface DEET'!$Q$9:$W$38,COLUMN(AF252)-COLUMN($E$5),1)&gt;0,INDEX('Surface DEET'!$Q$9:$W$38,COLUMN(AF252)-COLUMN($E$5),1),$E259),0)</f>
        <v>0</v>
      </c>
      <c r="AG259" s="281">
        <f>IF(AG$6=$C259,IF(INDEX('Surface DEET'!$Q$9:$W$38,COLUMN(AG252)-COLUMN($E$5),1)&gt;0,INDEX('Surface DEET'!$Q$9:$W$38,COLUMN(AG252)-COLUMN($E$5),1),$E259),0)</f>
        <v>0</v>
      </c>
      <c r="AH259" s="281">
        <f>IF(AH$6=$C259,IF(INDEX('Surface DEET'!$Q$9:$W$38,COLUMN(AH252)-COLUMN($E$5),1)&gt;0,INDEX('Surface DEET'!$Q$9:$W$38,COLUMN(AH252)-COLUMN($E$5),1),$E259),0)</f>
        <v>0</v>
      </c>
      <c r="AI259" s="281">
        <f>IF(AI$6=$C259,IF(INDEX('Surface DEET'!$Q$9:$W$38,COLUMN(AI252)-COLUMN($E$5),1)&gt;0,INDEX('Surface DEET'!$Q$9:$W$38,COLUMN(AI252)-COLUMN($E$5),1),$E259),0)</f>
        <v>0</v>
      </c>
    </row>
    <row r="260" spans="2:35">
      <c r="B260" s="281" t="s">
        <v>545</v>
      </c>
      <c r="C260" s="281" t="s">
        <v>658</v>
      </c>
      <c r="D260" s="329" t="s">
        <v>589</v>
      </c>
      <c r="E260" s="281">
        <v>15</v>
      </c>
      <c r="F260" s="281">
        <f>IF(F$6=$C260,IF(INDEX('Surface DEET'!$Q$9:$W$38,COLUMN(F253)-COLUMN($E$5),4)&gt;0,INDEX('Surface DEET'!$Q$9:$W$38,COLUMN(F253)-COLUMN($E$5),4),$E260),0)</f>
        <v>0</v>
      </c>
      <c r="G260" s="281">
        <f>IF(G$6=$C260,IF(INDEX('Surface DEET'!$Q$9:$W$38,COLUMN(G253)-COLUMN($E$5),4)&gt;0,INDEX('Surface DEET'!$Q$9:$W$38,COLUMN(G253)-COLUMN($E$5),4),$E260),0)</f>
        <v>0</v>
      </c>
      <c r="H260" s="281">
        <f>IF(H$6=$C260,IF(INDEX('Surface DEET'!$Q$9:$W$38,COLUMN(H253)-COLUMN($E$5),4)&gt;0,INDEX('Surface DEET'!$Q$9:$W$38,COLUMN(H253)-COLUMN($E$5),4),$E260),0)</f>
        <v>0</v>
      </c>
      <c r="I260" s="281">
        <f>IF(I$6=$C260,IF(INDEX('Surface DEET'!$Q$9:$W$38,COLUMN(I253)-COLUMN($E$5),4)&gt;0,INDEX('Surface DEET'!$Q$9:$W$38,COLUMN(I253)-COLUMN($E$5),4),$E260),0)</f>
        <v>0</v>
      </c>
      <c r="J260" s="281">
        <f>IF(J$6=$C260,IF(INDEX('Surface DEET'!$Q$9:$W$38,COLUMN(J253)-COLUMN($E$5),4)&gt;0,INDEX('Surface DEET'!$Q$9:$W$38,COLUMN(J253)-COLUMN($E$5),4),$E260),0)</f>
        <v>0</v>
      </c>
      <c r="K260" s="281">
        <f>IF(K$6=$C260,IF(INDEX('Surface DEET'!$Q$9:$W$38,COLUMN(K253)-COLUMN($E$5),4)&gt;0,INDEX('Surface DEET'!$Q$9:$W$38,COLUMN(K253)-COLUMN($E$5),4),$E260),0)</f>
        <v>0</v>
      </c>
      <c r="L260" s="281">
        <f>IF(L$6=$C260,IF(INDEX('Surface DEET'!$Q$9:$W$38,COLUMN(L253)-COLUMN($E$5),4)&gt;0,INDEX('Surface DEET'!$Q$9:$W$38,COLUMN(L253)-COLUMN($E$5),4),$E260),0)</f>
        <v>0</v>
      </c>
      <c r="M260" s="281">
        <f>IF(M$6=$C260,IF(INDEX('Surface DEET'!$Q$9:$W$38,COLUMN(M253)-COLUMN($E$5),4)&gt;0,INDEX('Surface DEET'!$Q$9:$W$38,COLUMN(M253)-COLUMN($E$5),4),$E260),0)</f>
        <v>0</v>
      </c>
      <c r="N260" s="281">
        <f>IF(N$6=$C260,IF(INDEX('Surface DEET'!$Q$9:$W$38,COLUMN(N253)-COLUMN($E$5),4)&gt;0,INDEX('Surface DEET'!$Q$9:$W$38,COLUMN(N253)-COLUMN($E$5),4),$E260),0)</f>
        <v>0</v>
      </c>
      <c r="O260" s="281">
        <f>IF(O$6=$C260,IF(INDEX('Surface DEET'!$Q$9:$W$38,COLUMN(O253)-COLUMN($E$5),4)&gt;0,INDEX('Surface DEET'!$Q$9:$W$38,COLUMN(O253)-COLUMN($E$5),4),$E260),0)</f>
        <v>0</v>
      </c>
      <c r="P260" s="281">
        <f>IF(P$6=$C260,IF(INDEX('Surface DEET'!$Q$9:$W$38,COLUMN(P253)-COLUMN($E$5),4)&gt;0,INDEX('Surface DEET'!$Q$9:$W$38,COLUMN(P253)-COLUMN($E$5),4),$E260),0)</f>
        <v>0</v>
      </c>
      <c r="Q260" s="281">
        <f>IF(Q$6=$C260,IF(INDEX('Surface DEET'!$Q$9:$W$38,COLUMN(Q253)-COLUMN($E$5),4)&gt;0,INDEX('Surface DEET'!$Q$9:$W$38,COLUMN(Q253)-COLUMN($E$5),4),$E260),0)</f>
        <v>0</v>
      </c>
      <c r="R260" s="281">
        <f>IF(R$6=$C260,IF(INDEX('Surface DEET'!$Q$9:$W$38,COLUMN(R253)-COLUMN($E$5),4)&gt;0,INDEX('Surface DEET'!$Q$9:$W$38,COLUMN(R253)-COLUMN($E$5),4),$E260),0)</f>
        <v>0</v>
      </c>
      <c r="S260" s="281">
        <f>IF(S$6=$C260,IF(INDEX('Surface DEET'!$Q$9:$W$38,COLUMN(S253)-COLUMN($E$5),4)&gt;0,INDEX('Surface DEET'!$Q$9:$W$38,COLUMN(S253)-COLUMN($E$5),4),$E260),0)</f>
        <v>0</v>
      </c>
      <c r="T260" s="281">
        <f>IF(T$6=$C260,IF(INDEX('Surface DEET'!$Q$9:$W$38,COLUMN(T253)-COLUMN($E$5),4)&gt;0,INDEX('Surface DEET'!$Q$9:$W$38,COLUMN(T253)-COLUMN($E$5),4),$E260),0)</f>
        <v>0</v>
      </c>
      <c r="U260" s="281">
        <f>IF(U$6=$C260,IF(INDEX('Surface DEET'!$Q$9:$W$38,COLUMN(U253)-COLUMN($E$5),4)&gt;0,INDEX('Surface DEET'!$Q$9:$W$38,COLUMN(U253)-COLUMN($E$5),4),$E260),0)</f>
        <v>0</v>
      </c>
      <c r="V260" s="281">
        <f>IF(V$6=$C260,IF(INDEX('Surface DEET'!$Q$9:$W$38,COLUMN(V253)-COLUMN($E$5),4)&gt;0,INDEX('Surface DEET'!$Q$9:$W$38,COLUMN(V253)-COLUMN($E$5),4),$E260),0)</f>
        <v>0</v>
      </c>
      <c r="W260" s="281">
        <f>IF(W$6=$C260,IF(INDEX('Surface DEET'!$Q$9:$W$38,COLUMN(W253)-COLUMN($E$5),4)&gt;0,INDEX('Surface DEET'!$Q$9:$W$38,COLUMN(W253)-COLUMN($E$5),4),$E260),0)</f>
        <v>0</v>
      </c>
      <c r="X260" s="281">
        <f>IF(X$6=$C260,IF(INDEX('Surface DEET'!$Q$9:$W$38,COLUMN(X253)-COLUMN($E$5),4)&gt;0,INDEX('Surface DEET'!$Q$9:$W$38,COLUMN(X253)-COLUMN($E$5),4),$E260),0)</f>
        <v>0</v>
      </c>
      <c r="Y260" s="281">
        <f>IF(Y$6=$C260,IF(INDEX('Surface DEET'!$Q$9:$W$38,COLUMN(Y253)-COLUMN($E$5),4)&gt;0,INDEX('Surface DEET'!$Q$9:$W$38,COLUMN(Y253)-COLUMN($E$5),4),$E260),0)</f>
        <v>0</v>
      </c>
      <c r="Z260" s="281">
        <f>IF(Z$6=$C260,IF(INDEX('Surface DEET'!$Q$9:$W$38,COLUMN(Z253)-COLUMN($E$5),4)&gt;0,INDEX('Surface DEET'!$Q$9:$W$38,COLUMN(Z253)-COLUMN($E$5),4),$E260),0)</f>
        <v>0</v>
      </c>
      <c r="AA260" s="281">
        <f>IF(AA$6=$C260,IF(INDEX('Surface DEET'!$Q$9:$W$38,COLUMN(AA253)-COLUMN($E$5),4)&gt;0,INDEX('Surface DEET'!$Q$9:$W$38,COLUMN(AA253)-COLUMN($E$5),4),$E260),0)</f>
        <v>0</v>
      </c>
      <c r="AB260" s="281">
        <f>IF(AB$6=$C260,IF(INDEX('Surface DEET'!$Q$9:$W$38,COLUMN(AB253)-COLUMN($E$5),4)&gt;0,INDEX('Surface DEET'!$Q$9:$W$38,COLUMN(AB253)-COLUMN($E$5),4),$E260),0)</f>
        <v>0</v>
      </c>
      <c r="AC260" s="281">
        <f>IF(AC$6=$C260,IF(INDEX('Surface DEET'!$Q$9:$W$38,COLUMN(AC253)-COLUMN($E$5),4)&gt;0,INDEX('Surface DEET'!$Q$9:$W$38,COLUMN(AC253)-COLUMN($E$5),4),$E260),0)</f>
        <v>0</v>
      </c>
      <c r="AD260" s="281">
        <f>IF(AD$6=$C260,IF(INDEX('Surface DEET'!$Q$9:$W$38,COLUMN(AD253)-COLUMN($E$5),4)&gt;0,INDEX('Surface DEET'!$Q$9:$W$38,COLUMN(AD253)-COLUMN($E$5),4),$E260),0)</f>
        <v>0</v>
      </c>
      <c r="AE260" s="281">
        <f>IF(AE$6=$C260,IF(INDEX('Surface DEET'!$Q$9:$W$38,COLUMN(AE253)-COLUMN($E$5),4)&gt;0,INDEX('Surface DEET'!$Q$9:$W$38,COLUMN(AE253)-COLUMN($E$5),4),$E260),0)</f>
        <v>0</v>
      </c>
      <c r="AF260" s="281">
        <f>IF(AF$6=$C260,IF(INDEX('Surface DEET'!$Q$9:$W$38,COLUMN(AF253)-COLUMN($E$5),4)&gt;0,INDEX('Surface DEET'!$Q$9:$W$38,COLUMN(AF253)-COLUMN($E$5),4),$E260),0)</f>
        <v>0</v>
      </c>
      <c r="AG260" s="281">
        <f>IF(AG$6=$C260,IF(INDEX('Surface DEET'!$Q$9:$W$38,COLUMN(AG253)-COLUMN($E$5),4)&gt;0,INDEX('Surface DEET'!$Q$9:$W$38,COLUMN(AG253)-COLUMN($E$5),4),$E260),0)</f>
        <v>0</v>
      </c>
      <c r="AH260" s="281">
        <f>IF(AH$6=$C260,IF(INDEX('Surface DEET'!$Q$9:$W$38,COLUMN(AH253)-COLUMN($E$5),4)&gt;0,INDEX('Surface DEET'!$Q$9:$W$38,COLUMN(AH253)-COLUMN($E$5),4),$E260),0)</f>
        <v>0</v>
      </c>
      <c r="AI260" s="281">
        <f>IF(AI$6=$C260,IF(INDEX('Surface DEET'!$Q$9:$W$38,COLUMN(AI253)-COLUMN($E$5),4)&gt;0,INDEX('Surface DEET'!$Q$9:$W$38,COLUMN(AI253)-COLUMN($E$5),4),$E260),0)</f>
        <v>0</v>
      </c>
    </row>
    <row r="261" spans="2:35">
      <c r="B261" s="281" t="s">
        <v>548</v>
      </c>
      <c r="C261" s="281" t="s">
        <v>658</v>
      </c>
      <c r="D261" s="329" t="s">
        <v>590</v>
      </c>
      <c r="E261" s="281">
        <v>70</v>
      </c>
      <c r="F261" s="281">
        <f>IF(F$6=$C261,IF(INDEX('Surface DEET'!$Q$9:$W$38,COLUMN(F254)-COLUMN($E$5),7)&gt;0,INDEX('Surface DEET'!$Q$9:$W$38,COLUMN(F254)-COLUMN($E$5),7),$E261),0)</f>
        <v>0</v>
      </c>
      <c r="G261" s="281">
        <f>IF(G$6=$C261,IF(INDEX('Surface DEET'!$Q$9:$W$38,COLUMN(G254)-COLUMN($E$5),7)&gt;0,INDEX('Surface DEET'!$Q$9:$W$38,COLUMN(G254)-COLUMN($E$5),7),$E261),0)</f>
        <v>0</v>
      </c>
      <c r="H261" s="281">
        <f>IF(H$6=$C261,IF(INDEX('Surface DEET'!$Q$9:$W$38,COLUMN(H254)-COLUMN($E$5),7)&gt;0,INDEX('Surface DEET'!$Q$9:$W$38,COLUMN(H254)-COLUMN($E$5),7),$E261),0)</f>
        <v>0</v>
      </c>
      <c r="I261" s="281">
        <f>IF(I$6=$C261,IF(INDEX('Surface DEET'!$Q$9:$W$38,COLUMN(I254)-COLUMN($E$5),7)&gt;0,INDEX('Surface DEET'!$Q$9:$W$38,COLUMN(I254)-COLUMN($E$5),7),$E261),0)</f>
        <v>0</v>
      </c>
      <c r="J261" s="281">
        <f>IF(J$6=$C261,IF(INDEX('Surface DEET'!$Q$9:$W$38,COLUMN(J254)-COLUMN($E$5),7)&gt;0,INDEX('Surface DEET'!$Q$9:$W$38,COLUMN(J254)-COLUMN($E$5),7),$E261),0)</f>
        <v>0</v>
      </c>
      <c r="K261" s="281">
        <f>IF(K$6=$C261,IF(INDEX('Surface DEET'!$Q$9:$W$38,COLUMN(K254)-COLUMN($E$5),7)&gt;0,INDEX('Surface DEET'!$Q$9:$W$38,COLUMN(K254)-COLUMN($E$5),7),$E261),0)</f>
        <v>0</v>
      </c>
      <c r="L261" s="281">
        <f>IF(L$6=$C261,IF(INDEX('Surface DEET'!$Q$9:$W$38,COLUMN(L254)-COLUMN($E$5),7)&gt;0,INDEX('Surface DEET'!$Q$9:$W$38,COLUMN(L254)-COLUMN($E$5),7),$E261),0)</f>
        <v>0</v>
      </c>
      <c r="M261" s="281">
        <f>IF(M$6=$C261,IF(INDEX('Surface DEET'!$Q$9:$W$38,COLUMN(M254)-COLUMN($E$5),7)&gt;0,INDEX('Surface DEET'!$Q$9:$W$38,COLUMN(M254)-COLUMN($E$5),7),$E261),0)</f>
        <v>0</v>
      </c>
      <c r="N261" s="281">
        <f>IF(N$6=$C261,IF(INDEX('Surface DEET'!$Q$9:$W$38,COLUMN(N254)-COLUMN($E$5),7)&gt;0,INDEX('Surface DEET'!$Q$9:$W$38,COLUMN(N254)-COLUMN($E$5),7),$E261),0)</f>
        <v>0</v>
      </c>
      <c r="O261" s="281">
        <f>IF(O$6=$C261,IF(INDEX('Surface DEET'!$Q$9:$W$38,COLUMN(O254)-COLUMN($E$5),7)&gt;0,INDEX('Surface DEET'!$Q$9:$W$38,COLUMN(O254)-COLUMN($E$5),7),$E261),0)</f>
        <v>0</v>
      </c>
      <c r="P261" s="281">
        <f>IF(P$6=$C261,IF(INDEX('Surface DEET'!$Q$9:$W$38,COLUMN(P254)-COLUMN($E$5),7)&gt;0,INDEX('Surface DEET'!$Q$9:$W$38,COLUMN(P254)-COLUMN($E$5),7),$E261),0)</f>
        <v>0</v>
      </c>
      <c r="Q261" s="281">
        <f>IF(Q$6=$C261,IF(INDEX('Surface DEET'!$Q$9:$W$38,COLUMN(Q254)-COLUMN($E$5),7)&gt;0,INDEX('Surface DEET'!$Q$9:$W$38,COLUMN(Q254)-COLUMN($E$5),7),$E261),0)</f>
        <v>0</v>
      </c>
      <c r="R261" s="281">
        <f>IF(R$6=$C261,IF(INDEX('Surface DEET'!$Q$9:$W$38,COLUMN(R254)-COLUMN($E$5),7)&gt;0,INDEX('Surface DEET'!$Q$9:$W$38,COLUMN(R254)-COLUMN($E$5),7),$E261),0)</f>
        <v>0</v>
      </c>
      <c r="S261" s="281">
        <f>IF(S$6=$C261,IF(INDEX('Surface DEET'!$Q$9:$W$38,COLUMN(S254)-COLUMN($E$5),7)&gt;0,INDEX('Surface DEET'!$Q$9:$W$38,COLUMN(S254)-COLUMN($E$5),7),$E261),0)</f>
        <v>0</v>
      </c>
      <c r="T261" s="281">
        <f>IF(T$6=$C261,IF(INDEX('Surface DEET'!$Q$9:$W$38,COLUMN(T254)-COLUMN($E$5),7)&gt;0,INDEX('Surface DEET'!$Q$9:$W$38,COLUMN(T254)-COLUMN($E$5),7),$E261),0)</f>
        <v>0</v>
      </c>
      <c r="U261" s="281">
        <f>IF(U$6=$C261,IF(INDEX('Surface DEET'!$Q$9:$W$38,COLUMN(U254)-COLUMN($E$5),7)&gt;0,INDEX('Surface DEET'!$Q$9:$W$38,COLUMN(U254)-COLUMN($E$5),7),$E261),0)</f>
        <v>0</v>
      </c>
      <c r="V261" s="281">
        <f>IF(V$6=$C261,IF(INDEX('Surface DEET'!$Q$9:$W$38,COLUMN(V254)-COLUMN($E$5),7)&gt;0,INDEX('Surface DEET'!$Q$9:$W$38,COLUMN(V254)-COLUMN($E$5),7),$E261),0)</f>
        <v>0</v>
      </c>
      <c r="W261" s="281">
        <f>IF(W$6=$C261,IF(INDEX('Surface DEET'!$Q$9:$W$38,COLUMN(W254)-COLUMN($E$5),7)&gt;0,INDEX('Surface DEET'!$Q$9:$W$38,COLUMN(W254)-COLUMN($E$5),7),$E261),0)</f>
        <v>0</v>
      </c>
      <c r="X261" s="281">
        <f>IF(X$6=$C261,IF(INDEX('Surface DEET'!$Q$9:$W$38,COLUMN(X254)-COLUMN($E$5),7)&gt;0,INDEX('Surface DEET'!$Q$9:$W$38,COLUMN(X254)-COLUMN($E$5),7),$E261),0)</f>
        <v>0</v>
      </c>
      <c r="Y261" s="281">
        <f>IF(Y$6=$C261,IF(INDEX('Surface DEET'!$Q$9:$W$38,COLUMN(Y254)-COLUMN($E$5),7)&gt;0,INDEX('Surface DEET'!$Q$9:$W$38,COLUMN(Y254)-COLUMN($E$5),7),$E261),0)</f>
        <v>0</v>
      </c>
      <c r="Z261" s="281">
        <f>IF(Z$6=$C261,IF(INDEX('Surface DEET'!$Q$9:$W$38,COLUMN(Z254)-COLUMN($E$5),7)&gt;0,INDEX('Surface DEET'!$Q$9:$W$38,COLUMN(Z254)-COLUMN($E$5),7),$E261),0)</f>
        <v>0</v>
      </c>
      <c r="AA261" s="281">
        <f>IF(AA$6=$C261,IF(INDEX('Surface DEET'!$Q$9:$W$38,COLUMN(AA254)-COLUMN($E$5),7)&gt;0,INDEX('Surface DEET'!$Q$9:$W$38,COLUMN(AA254)-COLUMN($E$5),7),$E261),0)</f>
        <v>0</v>
      </c>
      <c r="AB261" s="281">
        <f>IF(AB$6=$C261,IF(INDEX('Surface DEET'!$Q$9:$W$38,COLUMN(AB254)-COLUMN($E$5),7)&gt;0,INDEX('Surface DEET'!$Q$9:$W$38,COLUMN(AB254)-COLUMN($E$5),7),$E261),0)</f>
        <v>0</v>
      </c>
      <c r="AC261" s="281">
        <f>IF(AC$6=$C261,IF(INDEX('Surface DEET'!$Q$9:$W$38,COLUMN(AC254)-COLUMN($E$5),7)&gt;0,INDEX('Surface DEET'!$Q$9:$W$38,COLUMN(AC254)-COLUMN($E$5),7),$E261),0)</f>
        <v>0</v>
      </c>
      <c r="AD261" s="281">
        <f>IF(AD$6=$C261,IF(INDEX('Surface DEET'!$Q$9:$W$38,COLUMN(AD254)-COLUMN($E$5),7)&gt;0,INDEX('Surface DEET'!$Q$9:$W$38,COLUMN(AD254)-COLUMN($E$5),7),$E261),0)</f>
        <v>0</v>
      </c>
      <c r="AE261" s="281">
        <f>IF(AE$6=$C261,IF(INDEX('Surface DEET'!$Q$9:$W$38,COLUMN(AE254)-COLUMN($E$5),7)&gt;0,INDEX('Surface DEET'!$Q$9:$W$38,COLUMN(AE254)-COLUMN($E$5),7),$E261),0)</f>
        <v>0</v>
      </c>
      <c r="AF261" s="281">
        <f>IF(AF$6=$C261,IF(INDEX('Surface DEET'!$Q$9:$W$38,COLUMN(AF254)-COLUMN($E$5),7)&gt;0,INDEX('Surface DEET'!$Q$9:$W$38,COLUMN(AF254)-COLUMN($E$5),7),$E261),0)</f>
        <v>0</v>
      </c>
      <c r="AG261" s="281">
        <f>IF(AG$6=$C261,IF(INDEX('Surface DEET'!$Q$9:$W$38,COLUMN(AG254)-COLUMN($E$5),7)&gt;0,INDEX('Surface DEET'!$Q$9:$W$38,COLUMN(AG254)-COLUMN($E$5),7),$E261),0)</f>
        <v>0</v>
      </c>
      <c r="AH261" s="281">
        <f>IF(AH$6=$C261,IF(INDEX('Surface DEET'!$Q$9:$W$38,COLUMN(AH254)-COLUMN($E$5),7)&gt;0,INDEX('Surface DEET'!$Q$9:$W$38,COLUMN(AH254)-COLUMN($E$5),7),$E261),0)</f>
        <v>0</v>
      </c>
      <c r="AI261" s="281">
        <f>IF(AI$6=$C261,IF(INDEX('Surface DEET'!$Q$9:$W$38,COLUMN(AI254)-COLUMN($E$5),7)&gt;0,INDEX('Surface DEET'!$Q$9:$W$38,COLUMN(AI254)-COLUMN($E$5),7),$E261),0)</f>
        <v>0</v>
      </c>
    </row>
    <row r="262" spans="2:35">
      <c r="B262" s="281" t="s">
        <v>538</v>
      </c>
      <c r="C262" s="281" t="s">
        <v>658</v>
      </c>
      <c r="D262" s="281" t="s">
        <v>538</v>
      </c>
      <c r="F262" s="281">
        <f>$E$256*(F259/$E$259)*($E$258*(F260/$E$260)*(F261/$E$261)+(1-$E$258))+0.28*$E$255*(F259-$E$259)/$E$259</f>
        <v>-14.000000000000002</v>
      </c>
      <c r="G262" s="281">
        <f t="shared" ref="G262:AI262" si="31">$E$256*(G259/$E$259)*($E$258*(G260/$E$260)*(G261/$E$261)+(1-$E$258))+0.28*$E$255*(G259-$E$259)/$E$259</f>
        <v>-14.000000000000002</v>
      </c>
      <c r="H262" s="281">
        <f t="shared" si="31"/>
        <v>-14.000000000000002</v>
      </c>
      <c r="I262" s="281">
        <f t="shared" si="31"/>
        <v>-14.000000000000002</v>
      </c>
      <c r="J262" s="281">
        <f t="shared" si="31"/>
        <v>-14.000000000000002</v>
      </c>
      <c r="K262" s="281">
        <f t="shared" si="31"/>
        <v>-14.000000000000002</v>
      </c>
      <c r="L262" s="281">
        <f t="shared" si="31"/>
        <v>-14.000000000000002</v>
      </c>
      <c r="M262" s="281">
        <f t="shared" si="31"/>
        <v>-14.000000000000002</v>
      </c>
      <c r="N262" s="281">
        <f t="shared" si="31"/>
        <v>-14.000000000000002</v>
      </c>
      <c r="O262" s="281">
        <f t="shared" si="31"/>
        <v>-14.000000000000002</v>
      </c>
      <c r="P262" s="281">
        <f t="shared" si="31"/>
        <v>-14.000000000000002</v>
      </c>
      <c r="Q262" s="281">
        <f t="shared" si="31"/>
        <v>-14.000000000000002</v>
      </c>
      <c r="R262" s="281">
        <f t="shared" si="31"/>
        <v>-14.000000000000002</v>
      </c>
      <c r="S262" s="281">
        <f t="shared" si="31"/>
        <v>-14.000000000000002</v>
      </c>
      <c r="T262" s="281">
        <f t="shared" si="31"/>
        <v>-14.000000000000002</v>
      </c>
      <c r="U262" s="281">
        <f t="shared" si="31"/>
        <v>-14.000000000000002</v>
      </c>
      <c r="V262" s="281">
        <f t="shared" si="31"/>
        <v>-14.000000000000002</v>
      </c>
      <c r="W262" s="281">
        <f t="shared" si="31"/>
        <v>-14.000000000000002</v>
      </c>
      <c r="X262" s="281">
        <f t="shared" si="31"/>
        <v>-14.000000000000002</v>
      </c>
      <c r="Y262" s="281">
        <f t="shared" si="31"/>
        <v>-14.000000000000002</v>
      </c>
      <c r="Z262" s="281">
        <f t="shared" si="31"/>
        <v>-14.000000000000002</v>
      </c>
      <c r="AA262" s="281">
        <f t="shared" si="31"/>
        <v>-14.000000000000002</v>
      </c>
      <c r="AB262" s="281">
        <f t="shared" si="31"/>
        <v>-14.000000000000002</v>
      </c>
      <c r="AC262" s="281">
        <f t="shared" si="31"/>
        <v>-14.000000000000002</v>
      </c>
      <c r="AD262" s="281">
        <f t="shared" si="31"/>
        <v>-14.000000000000002</v>
      </c>
      <c r="AE262" s="281">
        <f t="shared" si="31"/>
        <v>-14.000000000000002</v>
      </c>
      <c r="AF262" s="281">
        <f t="shared" si="31"/>
        <v>-14.000000000000002</v>
      </c>
      <c r="AG262" s="281">
        <f t="shared" si="31"/>
        <v>-14.000000000000002</v>
      </c>
      <c r="AH262" s="281">
        <f t="shared" si="31"/>
        <v>-14.000000000000002</v>
      </c>
      <c r="AI262" s="281">
        <f t="shared" si="31"/>
        <v>-14.000000000000002</v>
      </c>
    </row>
    <row r="263" spans="2:35">
      <c r="B263" s="92" t="s">
        <v>298</v>
      </c>
      <c r="C263" s="281" t="s">
        <v>659</v>
      </c>
      <c r="D263" s="92" t="s">
        <v>298</v>
      </c>
      <c r="E263" s="281">
        <f t="array" ref="E263">INDEX(CABS_CVC!$C$3:$O$894,MATCH(1, (CABS_CVC!$A$3:$A$894=Calculs_CABS!C263)*(CABS_CVC!$B$3:$B$894=Calculs_CABS!$D$2),0),MATCH(Calculs_CABS!$D$1,Liste_CABS!$B$3:$B$15,0))</f>
        <v>50</v>
      </c>
    </row>
    <row r="264" spans="2:35">
      <c r="B264" s="281" t="s">
        <v>539</v>
      </c>
      <c r="C264" s="281" t="s">
        <v>659</v>
      </c>
      <c r="D264" s="281" t="s">
        <v>539</v>
      </c>
      <c r="E264" s="281">
        <v>21</v>
      </c>
    </row>
    <row r="265" spans="2:35">
      <c r="B265" s="281" t="s">
        <v>540</v>
      </c>
      <c r="C265" s="281" t="s">
        <v>659</v>
      </c>
      <c r="D265" s="281" t="s">
        <v>540</v>
      </c>
      <c r="E265" s="281">
        <f>E263+E264</f>
        <v>71</v>
      </c>
    </row>
    <row r="266" spans="2:35">
      <c r="B266" s="281" t="s">
        <v>541</v>
      </c>
      <c r="C266" s="281" t="s">
        <v>659</v>
      </c>
      <c r="D266" s="281" t="s">
        <v>541</v>
      </c>
      <c r="E266" s="281">
        <v>0.95</v>
      </c>
    </row>
    <row r="267" spans="2:35">
      <c r="B267" s="281" t="s">
        <v>542</v>
      </c>
      <c r="C267" s="281" t="s">
        <v>659</v>
      </c>
      <c r="D267" s="329" t="s">
        <v>588</v>
      </c>
      <c r="E267" s="281">
        <v>3120</v>
      </c>
      <c r="F267" s="281">
        <f>IF(F$6=$C267,IF(INDEX('Surface DEET'!$Q$9:$W$38,COLUMN(F260)-COLUMN($E$5),1)&gt;0,INDEX('Surface DEET'!$Q$9:$W$38,COLUMN(F260)-COLUMN($E$5),1),$E267),0)</f>
        <v>0</v>
      </c>
      <c r="G267" s="281">
        <f>IF(G$6=$C267,IF(INDEX('Surface DEET'!$Q$9:$W$38,COLUMN(G260)-COLUMN($E$5),1)&gt;0,INDEX('Surface DEET'!$Q$9:$W$38,COLUMN(G260)-COLUMN($E$5),1),$E267),0)</f>
        <v>0</v>
      </c>
      <c r="H267" s="281">
        <f>IF(H$6=$C267,IF(INDEX('Surface DEET'!$Q$9:$W$38,COLUMN(H260)-COLUMN($E$5),1)&gt;0,INDEX('Surface DEET'!$Q$9:$W$38,COLUMN(H260)-COLUMN($E$5),1),$E267),0)</f>
        <v>0</v>
      </c>
      <c r="I267" s="281">
        <f>IF(I$6=$C267,IF(INDEX('Surface DEET'!$Q$9:$W$38,COLUMN(I260)-COLUMN($E$5),1)&gt;0,INDEX('Surface DEET'!$Q$9:$W$38,COLUMN(I260)-COLUMN($E$5),1),$E267),0)</f>
        <v>0</v>
      </c>
      <c r="J267" s="281">
        <f>IF(J$6=$C267,IF(INDEX('Surface DEET'!$Q$9:$W$38,COLUMN(J260)-COLUMN($E$5),1)&gt;0,INDEX('Surface DEET'!$Q$9:$W$38,COLUMN(J260)-COLUMN($E$5),1),$E267),0)</f>
        <v>0</v>
      </c>
      <c r="K267" s="281">
        <f>IF(K$6=$C267,IF(INDEX('Surface DEET'!$Q$9:$W$38,COLUMN(K260)-COLUMN($E$5),1)&gt;0,INDEX('Surface DEET'!$Q$9:$W$38,COLUMN(K260)-COLUMN($E$5),1),$E267),0)</f>
        <v>0</v>
      </c>
      <c r="L267" s="281">
        <f>IF(L$6=$C267,IF(INDEX('Surface DEET'!$Q$9:$W$38,COLUMN(L260)-COLUMN($E$5),1)&gt;0,INDEX('Surface DEET'!$Q$9:$W$38,COLUMN(L260)-COLUMN($E$5),1),$E267),0)</f>
        <v>0</v>
      </c>
      <c r="M267" s="281">
        <f>IF(M$6=$C267,IF(INDEX('Surface DEET'!$Q$9:$W$38,COLUMN(M260)-COLUMN($E$5),1)&gt;0,INDEX('Surface DEET'!$Q$9:$W$38,COLUMN(M260)-COLUMN($E$5),1),$E267),0)</f>
        <v>0</v>
      </c>
      <c r="N267" s="281">
        <f>IF(N$6=$C267,IF(INDEX('Surface DEET'!$Q$9:$W$38,COLUMN(N260)-COLUMN($E$5),1)&gt;0,INDEX('Surface DEET'!$Q$9:$W$38,COLUMN(N260)-COLUMN($E$5),1),$E267),0)</f>
        <v>0</v>
      </c>
      <c r="O267" s="281">
        <f>IF(O$6=$C267,IF(INDEX('Surface DEET'!$Q$9:$W$38,COLUMN(O260)-COLUMN($E$5),1)&gt;0,INDEX('Surface DEET'!$Q$9:$W$38,COLUMN(O260)-COLUMN($E$5),1),$E267),0)</f>
        <v>0</v>
      </c>
      <c r="P267" s="281">
        <f>IF(P$6=$C267,IF(INDEX('Surface DEET'!$Q$9:$W$38,COLUMN(P260)-COLUMN($E$5),1)&gt;0,INDEX('Surface DEET'!$Q$9:$W$38,COLUMN(P260)-COLUMN($E$5),1),$E267),0)</f>
        <v>0</v>
      </c>
      <c r="Q267" s="281">
        <f>IF(Q$6=$C267,IF(INDEX('Surface DEET'!$Q$9:$W$38,COLUMN(Q260)-COLUMN($E$5),1)&gt;0,INDEX('Surface DEET'!$Q$9:$W$38,COLUMN(Q260)-COLUMN($E$5),1),$E267),0)</f>
        <v>0</v>
      </c>
      <c r="R267" s="281">
        <f>IF(R$6=$C267,IF(INDEX('Surface DEET'!$Q$9:$W$38,COLUMN(R260)-COLUMN($E$5),1)&gt;0,INDEX('Surface DEET'!$Q$9:$W$38,COLUMN(R260)-COLUMN($E$5),1),$E267),0)</f>
        <v>0</v>
      </c>
      <c r="S267" s="281">
        <f>IF(S$6=$C267,IF(INDEX('Surface DEET'!$Q$9:$W$38,COLUMN(S260)-COLUMN($E$5),1)&gt;0,INDEX('Surface DEET'!$Q$9:$W$38,COLUMN(S260)-COLUMN($E$5),1),$E267),0)</f>
        <v>0</v>
      </c>
      <c r="T267" s="281">
        <f>IF(T$6=$C267,IF(INDEX('Surface DEET'!$Q$9:$W$38,COLUMN(T260)-COLUMN($E$5),1)&gt;0,INDEX('Surface DEET'!$Q$9:$W$38,COLUMN(T260)-COLUMN($E$5),1),$E267),0)</f>
        <v>0</v>
      </c>
      <c r="U267" s="281">
        <f>IF(U$6=$C267,IF(INDEX('Surface DEET'!$Q$9:$W$38,COLUMN(U260)-COLUMN($E$5),1)&gt;0,INDEX('Surface DEET'!$Q$9:$W$38,COLUMN(U260)-COLUMN($E$5),1),$E267),0)</f>
        <v>0</v>
      </c>
      <c r="V267" s="281">
        <f>IF(V$6=$C267,IF(INDEX('Surface DEET'!$Q$9:$W$38,COLUMN(V260)-COLUMN($E$5),1)&gt;0,INDEX('Surface DEET'!$Q$9:$W$38,COLUMN(V260)-COLUMN($E$5),1),$E267),0)</f>
        <v>0</v>
      </c>
      <c r="W267" s="281">
        <f>IF(W$6=$C267,IF(INDEX('Surface DEET'!$Q$9:$W$38,COLUMN(W260)-COLUMN($E$5),1)&gt;0,INDEX('Surface DEET'!$Q$9:$W$38,COLUMN(W260)-COLUMN($E$5),1),$E267),0)</f>
        <v>0</v>
      </c>
      <c r="X267" s="281">
        <f>IF(X$6=$C267,IF(INDEX('Surface DEET'!$Q$9:$W$38,COLUMN(X260)-COLUMN($E$5),1)&gt;0,INDEX('Surface DEET'!$Q$9:$W$38,COLUMN(X260)-COLUMN($E$5),1),$E267),0)</f>
        <v>0</v>
      </c>
      <c r="Y267" s="281">
        <f>IF(Y$6=$C267,IF(INDEX('Surface DEET'!$Q$9:$W$38,COLUMN(Y260)-COLUMN($E$5),1)&gt;0,INDEX('Surface DEET'!$Q$9:$W$38,COLUMN(Y260)-COLUMN($E$5),1),$E267),0)</f>
        <v>0</v>
      </c>
      <c r="Z267" s="281">
        <f>IF(Z$6=$C267,IF(INDEX('Surface DEET'!$Q$9:$W$38,COLUMN(Z260)-COLUMN($E$5),1)&gt;0,INDEX('Surface DEET'!$Q$9:$W$38,COLUMN(Z260)-COLUMN($E$5),1),$E267),0)</f>
        <v>0</v>
      </c>
      <c r="AA267" s="281">
        <f>IF(AA$6=$C267,IF(INDEX('Surface DEET'!$Q$9:$W$38,COLUMN(AA260)-COLUMN($E$5),1)&gt;0,INDEX('Surface DEET'!$Q$9:$W$38,COLUMN(AA260)-COLUMN($E$5),1),$E267),0)</f>
        <v>0</v>
      </c>
      <c r="AB267" s="281">
        <f>IF(AB$6=$C267,IF(INDEX('Surface DEET'!$Q$9:$W$38,COLUMN(AB260)-COLUMN($E$5),1)&gt;0,INDEX('Surface DEET'!$Q$9:$W$38,COLUMN(AB260)-COLUMN($E$5),1),$E267),0)</f>
        <v>0</v>
      </c>
      <c r="AC267" s="281">
        <f>IF(AC$6=$C267,IF(INDEX('Surface DEET'!$Q$9:$W$38,COLUMN(AC260)-COLUMN($E$5),1)&gt;0,INDEX('Surface DEET'!$Q$9:$W$38,COLUMN(AC260)-COLUMN($E$5),1),$E267),0)</f>
        <v>0</v>
      </c>
      <c r="AD267" s="281">
        <f>IF(AD$6=$C267,IF(INDEX('Surface DEET'!$Q$9:$W$38,COLUMN(AD260)-COLUMN($E$5),1)&gt;0,INDEX('Surface DEET'!$Q$9:$W$38,COLUMN(AD260)-COLUMN($E$5),1),$E267),0)</f>
        <v>0</v>
      </c>
      <c r="AE267" s="281">
        <f>IF(AE$6=$C267,IF(INDEX('Surface DEET'!$Q$9:$W$38,COLUMN(AE260)-COLUMN($E$5),1)&gt;0,INDEX('Surface DEET'!$Q$9:$W$38,COLUMN(AE260)-COLUMN($E$5),1),$E267),0)</f>
        <v>0</v>
      </c>
      <c r="AF267" s="281">
        <f>IF(AF$6=$C267,IF(INDEX('Surface DEET'!$Q$9:$W$38,COLUMN(AF260)-COLUMN($E$5),1)&gt;0,INDEX('Surface DEET'!$Q$9:$W$38,COLUMN(AF260)-COLUMN($E$5),1),$E267),0)</f>
        <v>0</v>
      </c>
      <c r="AG267" s="281">
        <f>IF(AG$6=$C267,IF(INDEX('Surface DEET'!$Q$9:$W$38,COLUMN(AG260)-COLUMN($E$5),1)&gt;0,INDEX('Surface DEET'!$Q$9:$W$38,COLUMN(AG260)-COLUMN($E$5),1),$E267),0)</f>
        <v>0</v>
      </c>
      <c r="AH267" s="281">
        <f>IF(AH$6=$C267,IF(INDEX('Surface DEET'!$Q$9:$W$38,COLUMN(AH260)-COLUMN($E$5),1)&gt;0,INDEX('Surface DEET'!$Q$9:$W$38,COLUMN(AH260)-COLUMN($E$5),1),$E267),0)</f>
        <v>0</v>
      </c>
      <c r="AI267" s="281">
        <f>IF(AI$6=$C267,IF(INDEX('Surface DEET'!$Q$9:$W$38,COLUMN(AI260)-COLUMN($E$5),1)&gt;0,INDEX('Surface DEET'!$Q$9:$W$38,COLUMN(AI260)-COLUMN($E$5),1),$E267),0)</f>
        <v>0</v>
      </c>
    </row>
    <row r="268" spans="2:35">
      <c r="B268" s="281" t="s">
        <v>545</v>
      </c>
      <c r="C268" s="281" t="s">
        <v>659</v>
      </c>
      <c r="D268" s="329" t="s">
        <v>660</v>
      </c>
      <c r="E268" s="281">
        <v>25</v>
      </c>
      <c r="F268" s="281">
        <f>IF(F$6=$C268,IF(INDEX('Surface DEET'!$Q$9:$W$38,COLUMN(F261)-COLUMN($E$5),4)&gt;0,INDEX('Surface DEET'!$Q$9:$W$38,COLUMN(F261)-COLUMN($E$5),4),$E268),0)</f>
        <v>0</v>
      </c>
      <c r="G268" s="281">
        <f>IF(G$6=$C268,IF(INDEX('Surface DEET'!$Q$9:$W$38,COLUMN(G261)-COLUMN($E$5),4)&gt;0,INDEX('Surface DEET'!$Q$9:$W$38,COLUMN(G261)-COLUMN($E$5),4),$E268),0)</f>
        <v>0</v>
      </c>
      <c r="H268" s="281">
        <f>IF(H$6=$C268,IF(INDEX('Surface DEET'!$Q$9:$W$38,COLUMN(H261)-COLUMN($E$5),4)&gt;0,INDEX('Surface DEET'!$Q$9:$W$38,COLUMN(H261)-COLUMN($E$5),4),$E268),0)</f>
        <v>0</v>
      </c>
      <c r="I268" s="281">
        <f>IF(I$6=$C268,IF(INDEX('Surface DEET'!$Q$9:$W$38,COLUMN(I261)-COLUMN($E$5),4)&gt;0,INDEX('Surface DEET'!$Q$9:$W$38,COLUMN(I261)-COLUMN($E$5),4),$E268),0)</f>
        <v>0</v>
      </c>
      <c r="J268" s="281">
        <f>IF(J$6=$C268,IF(INDEX('Surface DEET'!$Q$9:$W$38,COLUMN(J261)-COLUMN($E$5),4)&gt;0,INDEX('Surface DEET'!$Q$9:$W$38,COLUMN(J261)-COLUMN($E$5),4),$E268),0)</f>
        <v>0</v>
      </c>
      <c r="K268" s="281">
        <f>IF(K$6=$C268,IF(INDEX('Surface DEET'!$Q$9:$W$38,COLUMN(K261)-COLUMN($E$5),4)&gt;0,INDEX('Surface DEET'!$Q$9:$W$38,COLUMN(K261)-COLUMN($E$5),4),$E268),0)</f>
        <v>0</v>
      </c>
      <c r="L268" s="281">
        <f>IF(L$6=$C268,IF(INDEX('Surface DEET'!$Q$9:$W$38,COLUMN(L261)-COLUMN($E$5),4)&gt;0,INDEX('Surface DEET'!$Q$9:$W$38,COLUMN(L261)-COLUMN($E$5),4),$E268),0)</f>
        <v>0</v>
      </c>
      <c r="M268" s="281">
        <f>IF(M$6=$C268,IF(INDEX('Surface DEET'!$Q$9:$W$38,COLUMN(M261)-COLUMN($E$5),4)&gt;0,INDEX('Surface DEET'!$Q$9:$W$38,COLUMN(M261)-COLUMN($E$5),4),$E268),0)</f>
        <v>0</v>
      </c>
      <c r="N268" s="281">
        <f>IF(N$6=$C268,IF(INDEX('Surface DEET'!$Q$9:$W$38,COLUMN(N261)-COLUMN($E$5),4)&gt;0,INDEX('Surface DEET'!$Q$9:$W$38,COLUMN(N261)-COLUMN($E$5),4),$E268),0)</f>
        <v>0</v>
      </c>
      <c r="O268" s="281">
        <f>IF(O$6=$C268,IF(INDEX('Surface DEET'!$Q$9:$W$38,COLUMN(O261)-COLUMN($E$5),4)&gt;0,INDEX('Surface DEET'!$Q$9:$W$38,COLUMN(O261)-COLUMN($E$5),4),$E268),0)</f>
        <v>0</v>
      </c>
      <c r="P268" s="281">
        <f>IF(P$6=$C268,IF(INDEX('Surface DEET'!$Q$9:$W$38,COLUMN(P261)-COLUMN($E$5),4)&gt;0,INDEX('Surface DEET'!$Q$9:$W$38,COLUMN(P261)-COLUMN($E$5),4),$E268),0)</f>
        <v>0</v>
      </c>
      <c r="Q268" s="281">
        <f>IF(Q$6=$C268,IF(INDEX('Surface DEET'!$Q$9:$W$38,COLUMN(Q261)-COLUMN($E$5),4)&gt;0,INDEX('Surface DEET'!$Q$9:$W$38,COLUMN(Q261)-COLUMN($E$5),4),$E268),0)</f>
        <v>0</v>
      </c>
      <c r="R268" s="281">
        <f>IF(R$6=$C268,IF(INDEX('Surface DEET'!$Q$9:$W$38,COLUMN(R261)-COLUMN($E$5),4)&gt;0,INDEX('Surface DEET'!$Q$9:$W$38,COLUMN(R261)-COLUMN($E$5),4),$E268),0)</f>
        <v>0</v>
      </c>
      <c r="S268" s="281">
        <f>IF(S$6=$C268,IF(INDEX('Surface DEET'!$Q$9:$W$38,COLUMN(S261)-COLUMN($E$5),4)&gt;0,INDEX('Surface DEET'!$Q$9:$W$38,COLUMN(S261)-COLUMN($E$5),4),$E268),0)</f>
        <v>0</v>
      </c>
      <c r="T268" s="281">
        <f>IF(T$6=$C268,IF(INDEX('Surface DEET'!$Q$9:$W$38,COLUMN(T261)-COLUMN($E$5),4)&gt;0,INDEX('Surface DEET'!$Q$9:$W$38,COLUMN(T261)-COLUMN($E$5),4),$E268),0)</f>
        <v>0</v>
      </c>
      <c r="U268" s="281">
        <f>IF(U$6=$C268,IF(INDEX('Surface DEET'!$Q$9:$W$38,COLUMN(U261)-COLUMN($E$5),4)&gt;0,INDEX('Surface DEET'!$Q$9:$W$38,COLUMN(U261)-COLUMN($E$5),4),$E268),0)</f>
        <v>0</v>
      </c>
      <c r="V268" s="281">
        <f>IF(V$6=$C268,IF(INDEX('Surface DEET'!$Q$9:$W$38,COLUMN(V261)-COLUMN($E$5),4)&gt;0,INDEX('Surface DEET'!$Q$9:$W$38,COLUMN(V261)-COLUMN($E$5),4),$E268),0)</f>
        <v>0</v>
      </c>
      <c r="W268" s="281">
        <f>IF(W$6=$C268,IF(INDEX('Surface DEET'!$Q$9:$W$38,COLUMN(W261)-COLUMN($E$5),4)&gt;0,INDEX('Surface DEET'!$Q$9:$W$38,COLUMN(W261)-COLUMN($E$5),4),$E268),0)</f>
        <v>0</v>
      </c>
      <c r="X268" s="281">
        <f>IF(X$6=$C268,IF(INDEX('Surface DEET'!$Q$9:$W$38,COLUMN(X261)-COLUMN($E$5),4)&gt;0,INDEX('Surface DEET'!$Q$9:$W$38,COLUMN(X261)-COLUMN($E$5),4),$E268),0)</f>
        <v>0</v>
      </c>
      <c r="Y268" s="281">
        <f>IF(Y$6=$C268,IF(INDEX('Surface DEET'!$Q$9:$W$38,COLUMN(Y261)-COLUMN($E$5),4)&gt;0,INDEX('Surface DEET'!$Q$9:$W$38,COLUMN(Y261)-COLUMN($E$5),4),$E268),0)</f>
        <v>0</v>
      </c>
      <c r="Z268" s="281">
        <f>IF(Z$6=$C268,IF(INDEX('Surface DEET'!$Q$9:$W$38,COLUMN(Z261)-COLUMN($E$5),4)&gt;0,INDEX('Surface DEET'!$Q$9:$W$38,COLUMN(Z261)-COLUMN($E$5),4),$E268),0)</f>
        <v>0</v>
      </c>
      <c r="AA268" s="281">
        <f>IF(AA$6=$C268,IF(INDEX('Surface DEET'!$Q$9:$W$38,COLUMN(AA261)-COLUMN($E$5),4)&gt;0,INDEX('Surface DEET'!$Q$9:$W$38,COLUMN(AA261)-COLUMN($E$5),4),$E268),0)</f>
        <v>0</v>
      </c>
      <c r="AB268" s="281">
        <f>IF(AB$6=$C268,IF(INDEX('Surface DEET'!$Q$9:$W$38,COLUMN(AB261)-COLUMN($E$5),4)&gt;0,INDEX('Surface DEET'!$Q$9:$W$38,COLUMN(AB261)-COLUMN($E$5),4),$E268),0)</f>
        <v>0</v>
      </c>
      <c r="AC268" s="281">
        <f>IF(AC$6=$C268,IF(INDEX('Surface DEET'!$Q$9:$W$38,COLUMN(AC261)-COLUMN($E$5),4)&gt;0,INDEX('Surface DEET'!$Q$9:$W$38,COLUMN(AC261)-COLUMN($E$5),4),$E268),0)</f>
        <v>0</v>
      </c>
      <c r="AD268" s="281">
        <f>IF(AD$6=$C268,IF(INDEX('Surface DEET'!$Q$9:$W$38,COLUMN(AD261)-COLUMN($E$5),4)&gt;0,INDEX('Surface DEET'!$Q$9:$W$38,COLUMN(AD261)-COLUMN($E$5),4),$E268),0)</f>
        <v>0</v>
      </c>
      <c r="AE268" s="281">
        <f>IF(AE$6=$C268,IF(INDEX('Surface DEET'!$Q$9:$W$38,COLUMN(AE261)-COLUMN($E$5),4)&gt;0,INDEX('Surface DEET'!$Q$9:$W$38,COLUMN(AE261)-COLUMN($E$5),4),$E268),0)</f>
        <v>0</v>
      </c>
      <c r="AF268" s="281">
        <f>IF(AF$6=$C268,IF(INDEX('Surface DEET'!$Q$9:$W$38,COLUMN(AF261)-COLUMN($E$5),4)&gt;0,INDEX('Surface DEET'!$Q$9:$W$38,COLUMN(AF261)-COLUMN($E$5),4),$E268),0)</f>
        <v>0</v>
      </c>
      <c r="AG268" s="281">
        <f>IF(AG$6=$C268,IF(INDEX('Surface DEET'!$Q$9:$W$38,COLUMN(AG261)-COLUMN($E$5),4)&gt;0,INDEX('Surface DEET'!$Q$9:$W$38,COLUMN(AG261)-COLUMN($E$5),4),$E268),0)</f>
        <v>0</v>
      </c>
      <c r="AH268" s="281">
        <f>IF(AH$6=$C268,IF(INDEX('Surface DEET'!$Q$9:$W$38,COLUMN(AH261)-COLUMN($E$5),4)&gt;0,INDEX('Surface DEET'!$Q$9:$W$38,COLUMN(AH261)-COLUMN($E$5),4),$E268),0)</f>
        <v>0</v>
      </c>
      <c r="AI268" s="281">
        <f>IF(AI$6=$C268,IF(INDEX('Surface DEET'!$Q$9:$W$38,COLUMN(AI261)-COLUMN($E$5),4)&gt;0,INDEX('Surface DEET'!$Q$9:$W$38,COLUMN(AI261)-COLUMN($E$5),4),$E268),0)</f>
        <v>0</v>
      </c>
    </row>
    <row r="269" spans="2:35">
      <c r="B269" s="281" t="s">
        <v>548</v>
      </c>
      <c r="C269" s="281" t="s">
        <v>659</v>
      </c>
      <c r="D269" s="329" t="s">
        <v>590</v>
      </c>
      <c r="E269" s="281">
        <v>70</v>
      </c>
      <c r="F269" s="281">
        <f>IF(F$6=$C269,IF(INDEX('Surface DEET'!$Q$9:$W$38,COLUMN(F262)-COLUMN($E$5),7)&gt;0,INDEX('Surface DEET'!$Q$9:$W$38,COLUMN(F262)-COLUMN($E$5),7),$E269),0)</f>
        <v>0</v>
      </c>
      <c r="G269" s="281">
        <f>IF(G$6=$C269,IF(INDEX('Surface DEET'!$Q$9:$W$38,COLUMN(G262)-COLUMN($E$5),7)&gt;0,INDEX('Surface DEET'!$Q$9:$W$38,COLUMN(G262)-COLUMN($E$5),7),$E269),0)</f>
        <v>0</v>
      </c>
      <c r="H269" s="281">
        <f>IF(H$6=$C269,IF(INDEX('Surface DEET'!$Q$9:$W$38,COLUMN(H262)-COLUMN($E$5),7)&gt;0,INDEX('Surface DEET'!$Q$9:$W$38,COLUMN(H262)-COLUMN($E$5),7),$E269),0)</f>
        <v>0</v>
      </c>
      <c r="I269" s="281">
        <f>IF(I$6=$C269,IF(INDEX('Surface DEET'!$Q$9:$W$38,COLUMN(I262)-COLUMN($E$5),7)&gt;0,INDEX('Surface DEET'!$Q$9:$W$38,COLUMN(I262)-COLUMN($E$5),7),$E269),0)</f>
        <v>0</v>
      </c>
      <c r="J269" s="281">
        <f>IF(J$6=$C269,IF(INDEX('Surface DEET'!$Q$9:$W$38,COLUMN(J262)-COLUMN($E$5),7)&gt;0,INDEX('Surface DEET'!$Q$9:$W$38,COLUMN(J262)-COLUMN($E$5),7),$E269),0)</f>
        <v>0</v>
      </c>
      <c r="K269" s="281">
        <f>IF(K$6=$C269,IF(INDEX('Surface DEET'!$Q$9:$W$38,COLUMN(K262)-COLUMN($E$5),7)&gt;0,INDEX('Surface DEET'!$Q$9:$W$38,COLUMN(K262)-COLUMN($E$5),7),$E269),0)</f>
        <v>0</v>
      </c>
      <c r="L269" s="281">
        <f>IF(L$6=$C269,IF(INDEX('Surface DEET'!$Q$9:$W$38,COLUMN(L262)-COLUMN($E$5),7)&gt;0,INDEX('Surface DEET'!$Q$9:$W$38,COLUMN(L262)-COLUMN($E$5),7),$E269),0)</f>
        <v>0</v>
      </c>
      <c r="M269" s="281">
        <f>IF(M$6=$C269,IF(INDEX('Surface DEET'!$Q$9:$W$38,COLUMN(M262)-COLUMN($E$5),7)&gt;0,INDEX('Surface DEET'!$Q$9:$W$38,COLUMN(M262)-COLUMN($E$5),7),$E269),0)</f>
        <v>0</v>
      </c>
      <c r="N269" s="281">
        <f>IF(N$6=$C269,IF(INDEX('Surface DEET'!$Q$9:$W$38,COLUMN(N262)-COLUMN($E$5),7)&gt;0,INDEX('Surface DEET'!$Q$9:$W$38,COLUMN(N262)-COLUMN($E$5),7),$E269),0)</f>
        <v>0</v>
      </c>
      <c r="O269" s="281">
        <f>IF(O$6=$C269,IF(INDEX('Surface DEET'!$Q$9:$W$38,COLUMN(O262)-COLUMN($E$5),7)&gt;0,INDEX('Surface DEET'!$Q$9:$W$38,COLUMN(O262)-COLUMN($E$5),7),$E269),0)</f>
        <v>0</v>
      </c>
      <c r="P269" s="281">
        <f>IF(P$6=$C269,IF(INDEX('Surface DEET'!$Q$9:$W$38,COLUMN(P262)-COLUMN($E$5),7)&gt;0,INDEX('Surface DEET'!$Q$9:$W$38,COLUMN(P262)-COLUMN($E$5),7),$E269),0)</f>
        <v>0</v>
      </c>
      <c r="Q269" s="281">
        <f>IF(Q$6=$C269,IF(INDEX('Surface DEET'!$Q$9:$W$38,COLUMN(Q262)-COLUMN($E$5),7)&gt;0,INDEX('Surface DEET'!$Q$9:$W$38,COLUMN(Q262)-COLUMN($E$5),7),$E269),0)</f>
        <v>0</v>
      </c>
      <c r="R269" s="281">
        <f>IF(R$6=$C269,IF(INDEX('Surface DEET'!$Q$9:$W$38,COLUMN(R262)-COLUMN($E$5),7)&gt;0,INDEX('Surface DEET'!$Q$9:$W$38,COLUMN(R262)-COLUMN($E$5),7),$E269),0)</f>
        <v>0</v>
      </c>
      <c r="S269" s="281">
        <f>IF(S$6=$C269,IF(INDEX('Surface DEET'!$Q$9:$W$38,COLUMN(S262)-COLUMN($E$5),7)&gt;0,INDEX('Surface DEET'!$Q$9:$W$38,COLUMN(S262)-COLUMN($E$5),7),$E269),0)</f>
        <v>0</v>
      </c>
      <c r="T269" s="281">
        <f>IF(T$6=$C269,IF(INDEX('Surface DEET'!$Q$9:$W$38,COLUMN(T262)-COLUMN($E$5),7)&gt;0,INDEX('Surface DEET'!$Q$9:$W$38,COLUMN(T262)-COLUMN($E$5),7),$E269),0)</f>
        <v>0</v>
      </c>
      <c r="U269" s="281">
        <f>IF(U$6=$C269,IF(INDEX('Surface DEET'!$Q$9:$W$38,COLUMN(U262)-COLUMN($E$5),7)&gt;0,INDEX('Surface DEET'!$Q$9:$W$38,COLUMN(U262)-COLUMN($E$5),7),$E269),0)</f>
        <v>0</v>
      </c>
      <c r="V269" s="281">
        <f>IF(V$6=$C269,IF(INDEX('Surface DEET'!$Q$9:$W$38,COLUMN(V262)-COLUMN($E$5),7)&gt;0,INDEX('Surface DEET'!$Q$9:$W$38,COLUMN(V262)-COLUMN($E$5),7),$E269),0)</f>
        <v>0</v>
      </c>
      <c r="W269" s="281">
        <f>IF(W$6=$C269,IF(INDEX('Surface DEET'!$Q$9:$W$38,COLUMN(W262)-COLUMN($E$5),7)&gt;0,INDEX('Surface DEET'!$Q$9:$W$38,COLUMN(W262)-COLUMN($E$5),7),$E269),0)</f>
        <v>0</v>
      </c>
      <c r="X269" s="281">
        <f>IF(X$6=$C269,IF(INDEX('Surface DEET'!$Q$9:$W$38,COLUMN(X262)-COLUMN($E$5),7)&gt;0,INDEX('Surface DEET'!$Q$9:$W$38,COLUMN(X262)-COLUMN($E$5),7),$E269),0)</f>
        <v>0</v>
      </c>
      <c r="Y269" s="281">
        <f>IF(Y$6=$C269,IF(INDEX('Surface DEET'!$Q$9:$W$38,COLUMN(Y262)-COLUMN($E$5),7)&gt;0,INDEX('Surface DEET'!$Q$9:$W$38,COLUMN(Y262)-COLUMN($E$5),7),$E269),0)</f>
        <v>0</v>
      </c>
      <c r="Z269" s="281">
        <f>IF(Z$6=$C269,IF(INDEX('Surface DEET'!$Q$9:$W$38,COLUMN(Z262)-COLUMN($E$5),7)&gt;0,INDEX('Surface DEET'!$Q$9:$W$38,COLUMN(Z262)-COLUMN($E$5),7),$E269),0)</f>
        <v>0</v>
      </c>
      <c r="AA269" s="281">
        <f>IF(AA$6=$C269,IF(INDEX('Surface DEET'!$Q$9:$W$38,COLUMN(AA262)-COLUMN($E$5),7)&gt;0,INDEX('Surface DEET'!$Q$9:$W$38,COLUMN(AA262)-COLUMN($E$5),7),$E269),0)</f>
        <v>0</v>
      </c>
      <c r="AB269" s="281">
        <f>IF(AB$6=$C269,IF(INDEX('Surface DEET'!$Q$9:$W$38,COLUMN(AB262)-COLUMN($E$5),7)&gt;0,INDEX('Surface DEET'!$Q$9:$W$38,COLUMN(AB262)-COLUMN($E$5),7),$E269),0)</f>
        <v>0</v>
      </c>
      <c r="AC269" s="281">
        <f>IF(AC$6=$C269,IF(INDEX('Surface DEET'!$Q$9:$W$38,COLUMN(AC262)-COLUMN($E$5),7)&gt;0,INDEX('Surface DEET'!$Q$9:$W$38,COLUMN(AC262)-COLUMN($E$5),7),$E269),0)</f>
        <v>0</v>
      </c>
      <c r="AD269" s="281">
        <f>IF(AD$6=$C269,IF(INDEX('Surface DEET'!$Q$9:$W$38,COLUMN(AD262)-COLUMN($E$5),7)&gt;0,INDEX('Surface DEET'!$Q$9:$W$38,COLUMN(AD262)-COLUMN($E$5),7),$E269),0)</f>
        <v>0</v>
      </c>
      <c r="AE269" s="281">
        <f>IF(AE$6=$C269,IF(INDEX('Surface DEET'!$Q$9:$W$38,COLUMN(AE262)-COLUMN($E$5),7)&gt;0,INDEX('Surface DEET'!$Q$9:$W$38,COLUMN(AE262)-COLUMN($E$5),7),$E269),0)</f>
        <v>0</v>
      </c>
      <c r="AF269" s="281">
        <f>IF(AF$6=$C269,IF(INDEX('Surface DEET'!$Q$9:$W$38,COLUMN(AF262)-COLUMN($E$5),7)&gt;0,INDEX('Surface DEET'!$Q$9:$W$38,COLUMN(AF262)-COLUMN($E$5),7),$E269),0)</f>
        <v>0</v>
      </c>
      <c r="AG269" s="281">
        <f>IF(AG$6=$C269,IF(INDEX('Surface DEET'!$Q$9:$W$38,COLUMN(AG262)-COLUMN($E$5),7)&gt;0,INDEX('Surface DEET'!$Q$9:$W$38,COLUMN(AG262)-COLUMN($E$5),7),$E269),0)</f>
        <v>0</v>
      </c>
      <c r="AH269" s="281">
        <f>IF(AH$6=$C269,IF(INDEX('Surface DEET'!$Q$9:$W$38,COLUMN(AH262)-COLUMN($E$5),7)&gt;0,INDEX('Surface DEET'!$Q$9:$W$38,COLUMN(AH262)-COLUMN($E$5),7),$E269),0)</f>
        <v>0</v>
      </c>
      <c r="AI269" s="281">
        <f>IF(AI$6=$C269,IF(INDEX('Surface DEET'!$Q$9:$W$38,COLUMN(AI262)-COLUMN($E$5),7)&gt;0,INDEX('Surface DEET'!$Q$9:$W$38,COLUMN(AI262)-COLUMN($E$5),7),$E269),0)</f>
        <v>0</v>
      </c>
    </row>
    <row r="270" spans="2:35">
      <c r="B270" s="281" t="s">
        <v>538</v>
      </c>
      <c r="C270" s="281" t="s">
        <v>659</v>
      </c>
      <c r="D270" s="281" t="s">
        <v>538</v>
      </c>
      <c r="F270" s="281">
        <f>$E$264*(F267/$E$267)*($E$266*(F268/$E$268)*(F269/$E$269)+(1-$E$266))+0.28*$E$263*(F267-$E$267)/$E$267</f>
        <v>-14.000000000000002</v>
      </c>
      <c r="G270" s="281">
        <f t="shared" ref="G270:AI270" si="32">$E$264*(G267/$E$267)*($E$266*(G268/$E$268)*(G269/$E$269)+(1-$E$266))+0.28*$E$263*(G267-$E$267)/$E$267</f>
        <v>-14.000000000000002</v>
      </c>
      <c r="H270" s="281">
        <f t="shared" si="32"/>
        <v>-14.000000000000002</v>
      </c>
      <c r="I270" s="281">
        <f t="shared" si="32"/>
        <v>-14.000000000000002</v>
      </c>
      <c r="J270" s="281">
        <f t="shared" si="32"/>
        <v>-14.000000000000002</v>
      </c>
      <c r="K270" s="281">
        <f t="shared" si="32"/>
        <v>-14.000000000000002</v>
      </c>
      <c r="L270" s="281">
        <f t="shared" si="32"/>
        <v>-14.000000000000002</v>
      </c>
      <c r="M270" s="281">
        <f t="shared" si="32"/>
        <v>-14.000000000000002</v>
      </c>
      <c r="N270" s="281">
        <f t="shared" si="32"/>
        <v>-14.000000000000002</v>
      </c>
      <c r="O270" s="281">
        <f t="shared" si="32"/>
        <v>-14.000000000000002</v>
      </c>
      <c r="P270" s="281">
        <f t="shared" si="32"/>
        <v>-14.000000000000002</v>
      </c>
      <c r="Q270" s="281">
        <f t="shared" si="32"/>
        <v>-14.000000000000002</v>
      </c>
      <c r="R270" s="281">
        <f t="shared" si="32"/>
        <v>-14.000000000000002</v>
      </c>
      <c r="S270" s="281">
        <f t="shared" si="32"/>
        <v>-14.000000000000002</v>
      </c>
      <c r="T270" s="281">
        <f t="shared" si="32"/>
        <v>-14.000000000000002</v>
      </c>
      <c r="U270" s="281">
        <f t="shared" si="32"/>
        <v>-14.000000000000002</v>
      </c>
      <c r="V270" s="281">
        <f t="shared" si="32"/>
        <v>-14.000000000000002</v>
      </c>
      <c r="W270" s="281">
        <f t="shared" si="32"/>
        <v>-14.000000000000002</v>
      </c>
      <c r="X270" s="281">
        <f t="shared" si="32"/>
        <v>-14.000000000000002</v>
      </c>
      <c r="Y270" s="281">
        <f t="shared" si="32"/>
        <v>-14.000000000000002</v>
      </c>
      <c r="Z270" s="281">
        <f t="shared" si="32"/>
        <v>-14.000000000000002</v>
      </c>
      <c r="AA270" s="281">
        <f t="shared" si="32"/>
        <v>-14.000000000000002</v>
      </c>
      <c r="AB270" s="281">
        <f t="shared" si="32"/>
        <v>-14.000000000000002</v>
      </c>
      <c r="AC270" s="281">
        <f t="shared" si="32"/>
        <v>-14.000000000000002</v>
      </c>
      <c r="AD270" s="281">
        <f t="shared" si="32"/>
        <v>-14.000000000000002</v>
      </c>
      <c r="AE270" s="281">
        <f t="shared" si="32"/>
        <v>-14.000000000000002</v>
      </c>
      <c r="AF270" s="281">
        <f t="shared" si="32"/>
        <v>-14.000000000000002</v>
      </c>
      <c r="AG270" s="281">
        <f t="shared" si="32"/>
        <v>-14.000000000000002</v>
      </c>
      <c r="AH270" s="281">
        <f t="shared" si="32"/>
        <v>-14.000000000000002</v>
      </c>
      <c r="AI270" s="281">
        <f t="shared" si="32"/>
        <v>-14.000000000000002</v>
      </c>
    </row>
    <row r="271" spans="2:35">
      <c r="B271" s="92" t="s">
        <v>298</v>
      </c>
      <c r="C271" s="281" t="s">
        <v>661</v>
      </c>
      <c r="D271" s="92" t="s">
        <v>298</v>
      </c>
      <c r="E271" s="281">
        <f t="array" ref="E271">INDEX(CABS_CVC!$C$3:$O$894,MATCH(1, (CABS_CVC!$A$3:$A$894=Calculs_CABS!C271)*(CABS_CVC!$B$3:$B$894=Calculs_CABS!$D$2),0),MATCH(Calculs_CABS!$D$1,Liste_CABS!$B$3:$B$15,0))</f>
        <v>50</v>
      </c>
    </row>
    <row r="272" spans="2:35">
      <c r="B272" s="281" t="s">
        <v>539</v>
      </c>
      <c r="C272" s="281" t="s">
        <v>661</v>
      </c>
      <c r="D272" s="281" t="s">
        <v>539</v>
      </c>
      <c r="E272" s="281">
        <v>5</v>
      </c>
    </row>
    <row r="273" spans="2:35">
      <c r="B273" s="281" t="s">
        <v>540</v>
      </c>
      <c r="C273" s="281" t="s">
        <v>661</v>
      </c>
      <c r="D273" s="281" t="s">
        <v>540</v>
      </c>
      <c r="E273" s="281">
        <f>E271+E272</f>
        <v>55</v>
      </c>
    </row>
    <row r="274" spans="2:35">
      <c r="B274" s="281" t="s">
        <v>541</v>
      </c>
      <c r="C274" s="281" t="s">
        <v>661</v>
      </c>
      <c r="D274" s="281" t="s">
        <v>541</v>
      </c>
      <c r="E274" s="281">
        <v>0.95</v>
      </c>
    </row>
    <row r="275" spans="2:35">
      <c r="B275" s="281" t="s">
        <v>542</v>
      </c>
      <c r="C275" s="281" t="s">
        <v>661</v>
      </c>
      <c r="D275" s="329" t="s">
        <v>588</v>
      </c>
      <c r="E275" s="281">
        <v>3120</v>
      </c>
      <c r="F275" s="281">
        <f>IF(F$6=$C275,IF(INDEX('Surface DEET'!$Q$9:$W$38,COLUMN(F268)-COLUMN($E$5),1)&gt;0,INDEX('Surface DEET'!$Q$9:$W$38,COLUMN(F268)-COLUMN($E$5),1),$E275),0)</f>
        <v>0</v>
      </c>
      <c r="G275" s="281">
        <f>IF(G$6=$C275,IF(INDEX('Surface DEET'!$Q$9:$W$38,COLUMN(G268)-COLUMN($E$5),1)&gt;0,INDEX('Surface DEET'!$Q$9:$W$38,COLUMN(G268)-COLUMN($E$5),1),$E275),0)</f>
        <v>0</v>
      </c>
      <c r="H275" s="281">
        <f>IF(H$6=$C275,IF(INDEX('Surface DEET'!$Q$9:$W$38,COLUMN(H268)-COLUMN($E$5),1)&gt;0,INDEX('Surface DEET'!$Q$9:$W$38,COLUMN(H268)-COLUMN($E$5),1),$E275),0)</f>
        <v>0</v>
      </c>
      <c r="I275" s="281">
        <f>IF(I$6=$C275,IF(INDEX('Surface DEET'!$Q$9:$W$38,COLUMN(I268)-COLUMN($E$5),1)&gt;0,INDEX('Surface DEET'!$Q$9:$W$38,COLUMN(I268)-COLUMN($E$5),1),$E275),0)</f>
        <v>0</v>
      </c>
      <c r="J275" s="281">
        <f>IF(J$6=$C275,IF(INDEX('Surface DEET'!$Q$9:$W$38,COLUMN(J268)-COLUMN($E$5),1)&gt;0,INDEX('Surface DEET'!$Q$9:$W$38,COLUMN(J268)-COLUMN($E$5),1),$E275),0)</f>
        <v>0</v>
      </c>
      <c r="K275" s="281">
        <f>IF(K$6=$C275,IF(INDEX('Surface DEET'!$Q$9:$W$38,COLUMN(K268)-COLUMN($E$5),1)&gt;0,INDEX('Surface DEET'!$Q$9:$W$38,COLUMN(K268)-COLUMN($E$5),1),$E275),0)</f>
        <v>0</v>
      </c>
      <c r="L275" s="281">
        <f>IF(L$6=$C275,IF(INDEX('Surface DEET'!$Q$9:$W$38,COLUMN(L268)-COLUMN($E$5),1)&gt;0,INDEX('Surface DEET'!$Q$9:$W$38,COLUMN(L268)-COLUMN($E$5),1),$E275),0)</f>
        <v>0</v>
      </c>
      <c r="M275" s="281">
        <f>IF(M$6=$C275,IF(INDEX('Surface DEET'!$Q$9:$W$38,COLUMN(M268)-COLUMN($E$5),1)&gt;0,INDEX('Surface DEET'!$Q$9:$W$38,COLUMN(M268)-COLUMN($E$5),1),$E275),0)</f>
        <v>0</v>
      </c>
      <c r="N275" s="281">
        <f>IF(N$6=$C275,IF(INDEX('Surface DEET'!$Q$9:$W$38,COLUMN(N268)-COLUMN($E$5),1)&gt;0,INDEX('Surface DEET'!$Q$9:$W$38,COLUMN(N268)-COLUMN($E$5),1),$E275),0)</f>
        <v>0</v>
      </c>
      <c r="O275" s="281">
        <f>IF(O$6=$C275,IF(INDEX('Surface DEET'!$Q$9:$W$38,COLUMN(O268)-COLUMN($E$5),1)&gt;0,INDEX('Surface DEET'!$Q$9:$W$38,COLUMN(O268)-COLUMN($E$5),1),$E275),0)</f>
        <v>0</v>
      </c>
      <c r="P275" s="281">
        <f>IF(P$6=$C275,IF(INDEX('Surface DEET'!$Q$9:$W$38,COLUMN(P268)-COLUMN($E$5),1)&gt;0,INDEX('Surface DEET'!$Q$9:$W$38,COLUMN(P268)-COLUMN($E$5),1),$E275),0)</f>
        <v>0</v>
      </c>
      <c r="Q275" s="281">
        <f>IF(Q$6=$C275,IF(INDEX('Surface DEET'!$Q$9:$W$38,COLUMN(Q268)-COLUMN($E$5),1)&gt;0,INDEX('Surface DEET'!$Q$9:$W$38,COLUMN(Q268)-COLUMN($E$5),1),$E275),0)</f>
        <v>0</v>
      </c>
      <c r="R275" s="281">
        <f>IF(R$6=$C275,IF(INDEX('Surface DEET'!$Q$9:$W$38,COLUMN(R268)-COLUMN($E$5),1)&gt;0,INDEX('Surface DEET'!$Q$9:$W$38,COLUMN(R268)-COLUMN($E$5),1),$E275),0)</f>
        <v>0</v>
      </c>
      <c r="S275" s="281">
        <f>IF(S$6=$C275,IF(INDEX('Surface DEET'!$Q$9:$W$38,COLUMN(S268)-COLUMN($E$5),1)&gt;0,INDEX('Surface DEET'!$Q$9:$W$38,COLUMN(S268)-COLUMN($E$5),1),$E275),0)</f>
        <v>0</v>
      </c>
      <c r="T275" s="281">
        <f>IF(T$6=$C275,IF(INDEX('Surface DEET'!$Q$9:$W$38,COLUMN(T268)-COLUMN($E$5),1)&gt;0,INDEX('Surface DEET'!$Q$9:$W$38,COLUMN(T268)-COLUMN($E$5),1),$E275),0)</f>
        <v>0</v>
      </c>
      <c r="U275" s="281">
        <f>IF(U$6=$C275,IF(INDEX('Surface DEET'!$Q$9:$W$38,COLUMN(U268)-COLUMN($E$5),1)&gt;0,INDEX('Surface DEET'!$Q$9:$W$38,COLUMN(U268)-COLUMN($E$5),1),$E275),0)</f>
        <v>0</v>
      </c>
      <c r="V275" s="281">
        <f>IF(V$6=$C275,IF(INDEX('Surface DEET'!$Q$9:$W$38,COLUMN(V268)-COLUMN($E$5),1)&gt;0,INDEX('Surface DEET'!$Q$9:$W$38,COLUMN(V268)-COLUMN($E$5),1),$E275),0)</f>
        <v>0</v>
      </c>
      <c r="W275" s="281">
        <f>IF(W$6=$C275,IF(INDEX('Surface DEET'!$Q$9:$W$38,COLUMN(W268)-COLUMN($E$5),1)&gt;0,INDEX('Surface DEET'!$Q$9:$W$38,COLUMN(W268)-COLUMN($E$5),1),$E275),0)</f>
        <v>0</v>
      </c>
      <c r="X275" s="281">
        <f>IF(X$6=$C275,IF(INDEX('Surface DEET'!$Q$9:$W$38,COLUMN(X268)-COLUMN($E$5),1)&gt;0,INDEX('Surface DEET'!$Q$9:$W$38,COLUMN(X268)-COLUMN($E$5),1),$E275),0)</f>
        <v>0</v>
      </c>
      <c r="Y275" s="281">
        <f>IF(Y$6=$C275,IF(INDEX('Surface DEET'!$Q$9:$W$38,COLUMN(Y268)-COLUMN($E$5),1)&gt;0,INDEX('Surface DEET'!$Q$9:$W$38,COLUMN(Y268)-COLUMN($E$5),1),$E275),0)</f>
        <v>0</v>
      </c>
      <c r="Z275" s="281">
        <f>IF(Z$6=$C275,IF(INDEX('Surface DEET'!$Q$9:$W$38,COLUMN(Z268)-COLUMN($E$5),1)&gt;0,INDEX('Surface DEET'!$Q$9:$W$38,COLUMN(Z268)-COLUMN($E$5),1),$E275),0)</f>
        <v>0</v>
      </c>
      <c r="AA275" s="281">
        <f>IF(AA$6=$C275,IF(INDEX('Surface DEET'!$Q$9:$W$38,COLUMN(AA268)-COLUMN($E$5),1)&gt;0,INDEX('Surface DEET'!$Q$9:$W$38,COLUMN(AA268)-COLUMN($E$5),1),$E275),0)</f>
        <v>0</v>
      </c>
      <c r="AB275" s="281">
        <f>IF(AB$6=$C275,IF(INDEX('Surface DEET'!$Q$9:$W$38,COLUMN(AB268)-COLUMN($E$5),1)&gt;0,INDEX('Surface DEET'!$Q$9:$W$38,COLUMN(AB268)-COLUMN($E$5),1),$E275),0)</f>
        <v>0</v>
      </c>
      <c r="AC275" s="281">
        <f>IF(AC$6=$C275,IF(INDEX('Surface DEET'!$Q$9:$W$38,COLUMN(AC268)-COLUMN($E$5),1)&gt;0,INDEX('Surface DEET'!$Q$9:$W$38,COLUMN(AC268)-COLUMN($E$5),1),$E275),0)</f>
        <v>0</v>
      </c>
      <c r="AD275" s="281">
        <f>IF(AD$6=$C275,IF(INDEX('Surface DEET'!$Q$9:$W$38,COLUMN(AD268)-COLUMN($E$5),1)&gt;0,INDEX('Surface DEET'!$Q$9:$W$38,COLUMN(AD268)-COLUMN($E$5),1),$E275),0)</f>
        <v>0</v>
      </c>
      <c r="AE275" s="281">
        <f>IF(AE$6=$C275,IF(INDEX('Surface DEET'!$Q$9:$W$38,COLUMN(AE268)-COLUMN($E$5),1)&gt;0,INDEX('Surface DEET'!$Q$9:$W$38,COLUMN(AE268)-COLUMN($E$5),1),$E275),0)</f>
        <v>0</v>
      </c>
      <c r="AF275" s="281">
        <f>IF(AF$6=$C275,IF(INDEX('Surface DEET'!$Q$9:$W$38,COLUMN(AF268)-COLUMN($E$5),1)&gt;0,INDEX('Surface DEET'!$Q$9:$W$38,COLUMN(AF268)-COLUMN($E$5),1),$E275),0)</f>
        <v>0</v>
      </c>
      <c r="AG275" s="281">
        <f>IF(AG$6=$C275,IF(INDEX('Surface DEET'!$Q$9:$W$38,COLUMN(AG268)-COLUMN($E$5),1)&gt;0,INDEX('Surface DEET'!$Q$9:$W$38,COLUMN(AG268)-COLUMN($E$5),1),$E275),0)</f>
        <v>0</v>
      </c>
      <c r="AH275" s="281">
        <f>IF(AH$6=$C275,IF(INDEX('Surface DEET'!$Q$9:$W$38,COLUMN(AH268)-COLUMN($E$5),1)&gt;0,INDEX('Surface DEET'!$Q$9:$W$38,COLUMN(AH268)-COLUMN($E$5),1),$E275),0)</f>
        <v>0</v>
      </c>
      <c r="AI275" s="281">
        <f>IF(AI$6=$C275,IF(INDEX('Surface DEET'!$Q$9:$W$38,COLUMN(AI268)-COLUMN($E$5),1)&gt;0,INDEX('Surface DEET'!$Q$9:$W$38,COLUMN(AI268)-COLUMN($E$5),1),$E275),0)</f>
        <v>0</v>
      </c>
    </row>
    <row r="276" spans="2:35">
      <c r="B276" s="281" t="s">
        <v>545</v>
      </c>
      <c r="C276" s="281" t="s">
        <v>661</v>
      </c>
      <c r="D276" s="329" t="s">
        <v>662</v>
      </c>
      <c r="E276" s="281">
        <v>5</v>
      </c>
      <c r="F276" s="281">
        <f>IF(F$6=$C276,IF(INDEX('Surface DEET'!$Q$9:$W$38,COLUMN(F269)-COLUMN($E$5),4)&gt;0,INDEX('Surface DEET'!$Q$9:$W$38,COLUMN(F269)-COLUMN($E$5),4),$E276),0)</f>
        <v>0</v>
      </c>
      <c r="G276" s="281">
        <f>IF(G$6=$C276,IF(INDEX('Surface DEET'!$Q$9:$W$38,COLUMN(G269)-COLUMN($E$5),4)&gt;0,INDEX('Surface DEET'!$Q$9:$W$38,COLUMN(G269)-COLUMN($E$5),4),$E276),0)</f>
        <v>0</v>
      </c>
      <c r="H276" s="281">
        <f>IF(H$6=$C276,IF(INDEX('Surface DEET'!$Q$9:$W$38,COLUMN(H269)-COLUMN($E$5),4)&gt;0,INDEX('Surface DEET'!$Q$9:$W$38,COLUMN(H269)-COLUMN($E$5),4),$E276),0)</f>
        <v>0</v>
      </c>
      <c r="I276" s="281">
        <f>IF(I$6=$C276,IF(INDEX('Surface DEET'!$Q$9:$W$38,COLUMN(I269)-COLUMN($E$5),4)&gt;0,INDEX('Surface DEET'!$Q$9:$W$38,COLUMN(I269)-COLUMN($E$5),4),$E276),0)</f>
        <v>0</v>
      </c>
      <c r="J276" s="281">
        <f>IF(J$6=$C276,IF(INDEX('Surface DEET'!$Q$9:$W$38,COLUMN(J269)-COLUMN($E$5),4)&gt;0,INDEX('Surface DEET'!$Q$9:$W$38,COLUMN(J269)-COLUMN($E$5),4),$E276),0)</f>
        <v>0</v>
      </c>
      <c r="K276" s="281">
        <f>IF(K$6=$C276,IF(INDEX('Surface DEET'!$Q$9:$W$38,COLUMN(K269)-COLUMN($E$5),4)&gt;0,INDEX('Surface DEET'!$Q$9:$W$38,COLUMN(K269)-COLUMN($E$5),4),$E276),0)</f>
        <v>0</v>
      </c>
      <c r="L276" s="281">
        <f>IF(L$6=$C276,IF(INDEX('Surface DEET'!$Q$9:$W$38,COLUMN(L269)-COLUMN($E$5),4)&gt;0,INDEX('Surface DEET'!$Q$9:$W$38,COLUMN(L269)-COLUMN($E$5),4),$E276),0)</f>
        <v>0</v>
      </c>
      <c r="M276" s="281">
        <f>IF(M$6=$C276,IF(INDEX('Surface DEET'!$Q$9:$W$38,COLUMN(M269)-COLUMN($E$5),4)&gt;0,INDEX('Surface DEET'!$Q$9:$W$38,COLUMN(M269)-COLUMN($E$5),4),$E276),0)</f>
        <v>0</v>
      </c>
      <c r="N276" s="281">
        <f>IF(N$6=$C276,IF(INDEX('Surface DEET'!$Q$9:$W$38,COLUMN(N269)-COLUMN($E$5),4)&gt;0,INDEX('Surface DEET'!$Q$9:$W$38,COLUMN(N269)-COLUMN($E$5),4),$E276),0)</f>
        <v>0</v>
      </c>
      <c r="O276" s="281">
        <f>IF(O$6=$C276,IF(INDEX('Surface DEET'!$Q$9:$W$38,COLUMN(O269)-COLUMN($E$5),4)&gt;0,INDEX('Surface DEET'!$Q$9:$W$38,COLUMN(O269)-COLUMN($E$5),4),$E276),0)</f>
        <v>0</v>
      </c>
      <c r="P276" s="281">
        <f>IF(P$6=$C276,IF(INDEX('Surface DEET'!$Q$9:$W$38,COLUMN(P269)-COLUMN($E$5),4)&gt;0,INDEX('Surface DEET'!$Q$9:$W$38,COLUMN(P269)-COLUMN($E$5),4),$E276),0)</f>
        <v>0</v>
      </c>
      <c r="Q276" s="281">
        <f>IF(Q$6=$C276,IF(INDEX('Surface DEET'!$Q$9:$W$38,COLUMN(Q269)-COLUMN($E$5),4)&gt;0,INDEX('Surface DEET'!$Q$9:$W$38,COLUMN(Q269)-COLUMN($E$5),4),$E276),0)</f>
        <v>0</v>
      </c>
      <c r="R276" s="281">
        <f>IF(R$6=$C276,IF(INDEX('Surface DEET'!$Q$9:$W$38,COLUMN(R269)-COLUMN($E$5),4)&gt;0,INDEX('Surface DEET'!$Q$9:$W$38,COLUMN(R269)-COLUMN($E$5),4),$E276),0)</f>
        <v>0</v>
      </c>
      <c r="S276" s="281">
        <f>IF(S$6=$C276,IF(INDEX('Surface DEET'!$Q$9:$W$38,COLUMN(S269)-COLUMN($E$5),4)&gt;0,INDEX('Surface DEET'!$Q$9:$W$38,COLUMN(S269)-COLUMN($E$5),4),$E276),0)</f>
        <v>0</v>
      </c>
      <c r="T276" s="281">
        <f>IF(T$6=$C276,IF(INDEX('Surface DEET'!$Q$9:$W$38,COLUMN(T269)-COLUMN($E$5),4)&gt;0,INDEX('Surface DEET'!$Q$9:$W$38,COLUMN(T269)-COLUMN($E$5),4),$E276),0)</f>
        <v>0</v>
      </c>
      <c r="U276" s="281">
        <f>IF(U$6=$C276,IF(INDEX('Surface DEET'!$Q$9:$W$38,COLUMN(U269)-COLUMN($E$5),4)&gt;0,INDEX('Surface DEET'!$Q$9:$W$38,COLUMN(U269)-COLUMN($E$5),4),$E276),0)</f>
        <v>0</v>
      </c>
      <c r="V276" s="281">
        <f>IF(V$6=$C276,IF(INDEX('Surface DEET'!$Q$9:$W$38,COLUMN(V269)-COLUMN($E$5),4)&gt;0,INDEX('Surface DEET'!$Q$9:$W$38,COLUMN(V269)-COLUMN($E$5),4),$E276),0)</f>
        <v>0</v>
      </c>
      <c r="W276" s="281">
        <f>IF(W$6=$C276,IF(INDEX('Surface DEET'!$Q$9:$W$38,COLUMN(W269)-COLUMN($E$5),4)&gt;0,INDEX('Surface DEET'!$Q$9:$W$38,COLUMN(W269)-COLUMN($E$5),4),$E276),0)</f>
        <v>0</v>
      </c>
      <c r="X276" s="281">
        <f>IF(X$6=$C276,IF(INDEX('Surface DEET'!$Q$9:$W$38,COLUMN(X269)-COLUMN($E$5),4)&gt;0,INDEX('Surface DEET'!$Q$9:$W$38,COLUMN(X269)-COLUMN($E$5),4),$E276),0)</f>
        <v>0</v>
      </c>
      <c r="Y276" s="281">
        <f>IF(Y$6=$C276,IF(INDEX('Surface DEET'!$Q$9:$W$38,COLUMN(Y269)-COLUMN($E$5),4)&gt;0,INDEX('Surface DEET'!$Q$9:$W$38,COLUMN(Y269)-COLUMN($E$5),4),$E276),0)</f>
        <v>0</v>
      </c>
      <c r="Z276" s="281">
        <f>IF(Z$6=$C276,IF(INDEX('Surface DEET'!$Q$9:$W$38,COLUMN(Z269)-COLUMN($E$5),4)&gt;0,INDEX('Surface DEET'!$Q$9:$W$38,COLUMN(Z269)-COLUMN($E$5),4),$E276),0)</f>
        <v>0</v>
      </c>
      <c r="AA276" s="281">
        <f>IF(AA$6=$C276,IF(INDEX('Surface DEET'!$Q$9:$W$38,COLUMN(AA269)-COLUMN($E$5),4)&gt;0,INDEX('Surface DEET'!$Q$9:$W$38,COLUMN(AA269)-COLUMN($E$5),4),$E276),0)</f>
        <v>0</v>
      </c>
      <c r="AB276" s="281">
        <f>IF(AB$6=$C276,IF(INDEX('Surface DEET'!$Q$9:$W$38,COLUMN(AB269)-COLUMN($E$5),4)&gt;0,INDEX('Surface DEET'!$Q$9:$W$38,COLUMN(AB269)-COLUMN($E$5),4),$E276),0)</f>
        <v>0</v>
      </c>
      <c r="AC276" s="281">
        <f>IF(AC$6=$C276,IF(INDEX('Surface DEET'!$Q$9:$W$38,COLUMN(AC269)-COLUMN($E$5),4)&gt;0,INDEX('Surface DEET'!$Q$9:$W$38,COLUMN(AC269)-COLUMN($E$5),4),$E276),0)</f>
        <v>0</v>
      </c>
      <c r="AD276" s="281">
        <f>IF(AD$6=$C276,IF(INDEX('Surface DEET'!$Q$9:$W$38,COLUMN(AD269)-COLUMN($E$5),4)&gt;0,INDEX('Surface DEET'!$Q$9:$W$38,COLUMN(AD269)-COLUMN($E$5),4),$E276),0)</f>
        <v>0</v>
      </c>
      <c r="AE276" s="281">
        <f>IF(AE$6=$C276,IF(INDEX('Surface DEET'!$Q$9:$W$38,COLUMN(AE269)-COLUMN($E$5),4)&gt;0,INDEX('Surface DEET'!$Q$9:$W$38,COLUMN(AE269)-COLUMN($E$5),4),$E276),0)</f>
        <v>0</v>
      </c>
      <c r="AF276" s="281">
        <f>IF(AF$6=$C276,IF(INDEX('Surface DEET'!$Q$9:$W$38,COLUMN(AF269)-COLUMN($E$5),4)&gt;0,INDEX('Surface DEET'!$Q$9:$W$38,COLUMN(AF269)-COLUMN($E$5),4),$E276),0)</f>
        <v>0</v>
      </c>
      <c r="AG276" s="281">
        <f>IF(AG$6=$C276,IF(INDEX('Surface DEET'!$Q$9:$W$38,COLUMN(AG269)-COLUMN($E$5),4)&gt;0,INDEX('Surface DEET'!$Q$9:$W$38,COLUMN(AG269)-COLUMN($E$5),4),$E276),0)</f>
        <v>0</v>
      </c>
      <c r="AH276" s="281">
        <f>IF(AH$6=$C276,IF(INDEX('Surface DEET'!$Q$9:$W$38,COLUMN(AH269)-COLUMN($E$5),4)&gt;0,INDEX('Surface DEET'!$Q$9:$W$38,COLUMN(AH269)-COLUMN($E$5),4),$E276),0)</f>
        <v>0</v>
      </c>
      <c r="AI276" s="281">
        <f>IF(AI$6=$C276,IF(INDEX('Surface DEET'!$Q$9:$W$38,COLUMN(AI269)-COLUMN($E$5),4)&gt;0,INDEX('Surface DEET'!$Q$9:$W$38,COLUMN(AI269)-COLUMN($E$5),4),$E276),0)</f>
        <v>0</v>
      </c>
    </row>
    <row r="277" spans="2:35">
      <c r="B277" s="281" t="s">
        <v>548</v>
      </c>
      <c r="C277" s="281" t="s">
        <v>661</v>
      </c>
      <c r="D277" s="329" t="s">
        <v>590</v>
      </c>
      <c r="E277" s="281">
        <v>70</v>
      </c>
      <c r="F277" s="281">
        <f>IF(F$6=$C277,IF(INDEX('Surface DEET'!$Q$9:$W$38,COLUMN(F270)-COLUMN($E$5),7)&gt;0,INDEX('Surface DEET'!$Q$9:$W$38,COLUMN(F270)-COLUMN($E$5),7),$E277),0)</f>
        <v>0</v>
      </c>
      <c r="G277" s="281">
        <f>IF(G$6=$C277,IF(INDEX('Surface DEET'!$Q$9:$W$38,COLUMN(G270)-COLUMN($E$5),7)&gt;0,INDEX('Surface DEET'!$Q$9:$W$38,COLUMN(G270)-COLUMN($E$5),7),$E277),0)</f>
        <v>0</v>
      </c>
      <c r="H277" s="281">
        <f>IF(H$6=$C277,IF(INDEX('Surface DEET'!$Q$9:$W$38,COLUMN(H270)-COLUMN($E$5),7)&gt;0,INDEX('Surface DEET'!$Q$9:$W$38,COLUMN(H270)-COLUMN($E$5),7),$E277),0)</f>
        <v>0</v>
      </c>
      <c r="I277" s="281">
        <f>IF(I$6=$C277,IF(INDEX('Surface DEET'!$Q$9:$W$38,COLUMN(I270)-COLUMN($E$5),7)&gt;0,INDEX('Surface DEET'!$Q$9:$W$38,COLUMN(I270)-COLUMN($E$5),7),$E277),0)</f>
        <v>0</v>
      </c>
      <c r="J277" s="281">
        <f>IF(J$6=$C277,IF(INDEX('Surface DEET'!$Q$9:$W$38,COLUMN(J270)-COLUMN($E$5),7)&gt;0,INDEX('Surface DEET'!$Q$9:$W$38,COLUMN(J270)-COLUMN($E$5),7),$E277),0)</f>
        <v>0</v>
      </c>
      <c r="K277" s="281">
        <f>IF(K$6=$C277,IF(INDEX('Surface DEET'!$Q$9:$W$38,COLUMN(K270)-COLUMN($E$5),7)&gt;0,INDEX('Surface DEET'!$Q$9:$W$38,COLUMN(K270)-COLUMN($E$5),7),$E277),0)</f>
        <v>0</v>
      </c>
      <c r="L277" s="281">
        <f>IF(L$6=$C277,IF(INDEX('Surface DEET'!$Q$9:$W$38,COLUMN(L270)-COLUMN($E$5),7)&gt;0,INDEX('Surface DEET'!$Q$9:$W$38,COLUMN(L270)-COLUMN($E$5),7),$E277),0)</f>
        <v>0</v>
      </c>
      <c r="M277" s="281">
        <f>IF(M$6=$C277,IF(INDEX('Surface DEET'!$Q$9:$W$38,COLUMN(M270)-COLUMN($E$5),7)&gt;0,INDEX('Surface DEET'!$Q$9:$W$38,COLUMN(M270)-COLUMN($E$5),7),$E277),0)</f>
        <v>0</v>
      </c>
      <c r="N277" s="281">
        <f>IF(N$6=$C277,IF(INDEX('Surface DEET'!$Q$9:$W$38,COLUMN(N270)-COLUMN($E$5),7)&gt;0,INDEX('Surface DEET'!$Q$9:$W$38,COLUMN(N270)-COLUMN($E$5),7),$E277),0)</f>
        <v>0</v>
      </c>
      <c r="O277" s="281">
        <f>IF(O$6=$C277,IF(INDEX('Surface DEET'!$Q$9:$W$38,COLUMN(O270)-COLUMN($E$5),7)&gt;0,INDEX('Surface DEET'!$Q$9:$W$38,COLUMN(O270)-COLUMN($E$5),7),$E277),0)</f>
        <v>0</v>
      </c>
      <c r="P277" s="281">
        <f>IF(P$6=$C277,IF(INDEX('Surface DEET'!$Q$9:$W$38,COLUMN(P270)-COLUMN($E$5),7)&gt;0,INDEX('Surface DEET'!$Q$9:$W$38,COLUMN(P270)-COLUMN($E$5),7),$E277),0)</f>
        <v>0</v>
      </c>
      <c r="Q277" s="281">
        <f>IF(Q$6=$C277,IF(INDEX('Surface DEET'!$Q$9:$W$38,COLUMN(Q270)-COLUMN($E$5),7)&gt;0,INDEX('Surface DEET'!$Q$9:$W$38,COLUMN(Q270)-COLUMN($E$5),7),$E277),0)</f>
        <v>0</v>
      </c>
      <c r="R277" s="281">
        <f>IF(R$6=$C277,IF(INDEX('Surface DEET'!$Q$9:$W$38,COLUMN(R270)-COLUMN($E$5),7)&gt;0,INDEX('Surface DEET'!$Q$9:$W$38,COLUMN(R270)-COLUMN($E$5),7),$E277),0)</f>
        <v>0</v>
      </c>
      <c r="S277" s="281">
        <f>IF(S$6=$C277,IF(INDEX('Surface DEET'!$Q$9:$W$38,COLUMN(S270)-COLUMN($E$5),7)&gt;0,INDEX('Surface DEET'!$Q$9:$W$38,COLUMN(S270)-COLUMN($E$5),7),$E277),0)</f>
        <v>0</v>
      </c>
      <c r="T277" s="281">
        <f>IF(T$6=$C277,IF(INDEX('Surface DEET'!$Q$9:$W$38,COLUMN(T270)-COLUMN($E$5),7)&gt;0,INDEX('Surface DEET'!$Q$9:$W$38,COLUMN(T270)-COLUMN($E$5),7),$E277),0)</f>
        <v>0</v>
      </c>
      <c r="U277" s="281">
        <f>IF(U$6=$C277,IF(INDEX('Surface DEET'!$Q$9:$W$38,COLUMN(U270)-COLUMN($E$5),7)&gt;0,INDEX('Surface DEET'!$Q$9:$W$38,COLUMN(U270)-COLUMN($E$5),7),$E277),0)</f>
        <v>0</v>
      </c>
      <c r="V277" s="281">
        <f>IF(V$6=$C277,IF(INDEX('Surface DEET'!$Q$9:$W$38,COLUMN(V270)-COLUMN($E$5),7)&gt;0,INDEX('Surface DEET'!$Q$9:$W$38,COLUMN(V270)-COLUMN($E$5),7),$E277),0)</f>
        <v>0</v>
      </c>
      <c r="W277" s="281">
        <f>IF(W$6=$C277,IF(INDEX('Surface DEET'!$Q$9:$W$38,COLUMN(W270)-COLUMN($E$5),7)&gt;0,INDEX('Surface DEET'!$Q$9:$W$38,COLUMN(W270)-COLUMN($E$5),7),$E277),0)</f>
        <v>0</v>
      </c>
      <c r="X277" s="281">
        <f>IF(X$6=$C277,IF(INDEX('Surface DEET'!$Q$9:$W$38,COLUMN(X270)-COLUMN($E$5),7)&gt;0,INDEX('Surface DEET'!$Q$9:$W$38,COLUMN(X270)-COLUMN($E$5),7),$E277),0)</f>
        <v>0</v>
      </c>
      <c r="Y277" s="281">
        <f>IF(Y$6=$C277,IF(INDEX('Surface DEET'!$Q$9:$W$38,COLUMN(Y270)-COLUMN($E$5),7)&gt;0,INDEX('Surface DEET'!$Q$9:$W$38,COLUMN(Y270)-COLUMN($E$5),7),$E277),0)</f>
        <v>0</v>
      </c>
      <c r="Z277" s="281">
        <f>IF(Z$6=$C277,IF(INDEX('Surface DEET'!$Q$9:$W$38,COLUMN(Z270)-COLUMN($E$5),7)&gt;0,INDEX('Surface DEET'!$Q$9:$W$38,COLUMN(Z270)-COLUMN($E$5),7),$E277),0)</f>
        <v>0</v>
      </c>
      <c r="AA277" s="281">
        <f>IF(AA$6=$C277,IF(INDEX('Surface DEET'!$Q$9:$W$38,COLUMN(AA270)-COLUMN($E$5),7)&gt;0,INDEX('Surface DEET'!$Q$9:$W$38,COLUMN(AA270)-COLUMN($E$5),7),$E277),0)</f>
        <v>0</v>
      </c>
      <c r="AB277" s="281">
        <f>IF(AB$6=$C277,IF(INDEX('Surface DEET'!$Q$9:$W$38,COLUMN(AB270)-COLUMN($E$5),7)&gt;0,INDEX('Surface DEET'!$Q$9:$W$38,COLUMN(AB270)-COLUMN($E$5),7),$E277),0)</f>
        <v>0</v>
      </c>
      <c r="AC277" s="281">
        <f>IF(AC$6=$C277,IF(INDEX('Surface DEET'!$Q$9:$W$38,COLUMN(AC270)-COLUMN($E$5),7)&gt;0,INDEX('Surface DEET'!$Q$9:$W$38,COLUMN(AC270)-COLUMN($E$5),7),$E277),0)</f>
        <v>0</v>
      </c>
      <c r="AD277" s="281">
        <f>IF(AD$6=$C277,IF(INDEX('Surface DEET'!$Q$9:$W$38,COLUMN(AD270)-COLUMN($E$5),7)&gt;0,INDEX('Surface DEET'!$Q$9:$W$38,COLUMN(AD270)-COLUMN($E$5),7),$E277),0)</f>
        <v>0</v>
      </c>
      <c r="AE277" s="281">
        <f>IF(AE$6=$C277,IF(INDEX('Surface DEET'!$Q$9:$W$38,COLUMN(AE270)-COLUMN($E$5),7)&gt;0,INDEX('Surface DEET'!$Q$9:$W$38,COLUMN(AE270)-COLUMN($E$5),7),$E277),0)</f>
        <v>0</v>
      </c>
      <c r="AF277" s="281">
        <f>IF(AF$6=$C277,IF(INDEX('Surface DEET'!$Q$9:$W$38,COLUMN(AF270)-COLUMN($E$5),7)&gt;0,INDEX('Surface DEET'!$Q$9:$W$38,COLUMN(AF270)-COLUMN($E$5),7),$E277),0)</f>
        <v>0</v>
      </c>
      <c r="AG277" s="281">
        <f>IF(AG$6=$C277,IF(INDEX('Surface DEET'!$Q$9:$W$38,COLUMN(AG270)-COLUMN($E$5),7)&gt;0,INDEX('Surface DEET'!$Q$9:$W$38,COLUMN(AG270)-COLUMN($E$5),7),$E277),0)</f>
        <v>0</v>
      </c>
      <c r="AH277" s="281">
        <f>IF(AH$6=$C277,IF(INDEX('Surface DEET'!$Q$9:$W$38,COLUMN(AH270)-COLUMN($E$5),7)&gt;0,INDEX('Surface DEET'!$Q$9:$W$38,COLUMN(AH270)-COLUMN($E$5),7),$E277),0)</f>
        <v>0</v>
      </c>
      <c r="AI277" s="281">
        <f>IF(AI$6=$C277,IF(INDEX('Surface DEET'!$Q$9:$W$38,COLUMN(AI270)-COLUMN($E$5),7)&gt;0,INDEX('Surface DEET'!$Q$9:$W$38,COLUMN(AI270)-COLUMN($E$5),7),$E277),0)</f>
        <v>0</v>
      </c>
    </row>
    <row r="278" spans="2:35">
      <c r="B278" s="281" t="s">
        <v>538</v>
      </c>
      <c r="C278" s="281" t="s">
        <v>661</v>
      </c>
      <c r="D278" s="281" t="s">
        <v>538</v>
      </c>
      <c r="F278" s="281">
        <f>$E$272*(F275/$E$275)*($E$274*(F276/$E$276)*(F277/$E$277)+(1-$E$274))+0.28*$E$271*(F275-$E$275)/$E$275</f>
        <v>-14.000000000000002</v>
      </c>
      <c r="G278" s="281">
        <f t="shared" ref="G278:AI278" si="33">$E$272*(G275/$E$275)*($E$274*(G276/$E$276)*(G277/$E$277)+(1-$E$274))+0.28*$E$271*(G275-$E$275)/$E$275</f>
        <v>-14.000000000000002</v>
      </c>
      <c r="H278" s="281">
        <f t="shared" si="33"/>
        <v>-14.000000000000002</v>
      </c>
      <c r="I278" s="281">
        <f t="shared" si="33"/>
        <v>-14.000000000000002</v>
      </c>
      <c r="J278" s="281">
        <f t="shared" si="33"/>
        <v>-14.000000000000002</v>
      </c>
      <c r="K278" s="281">
        <f t="shared" si="33"/>
        <v>-14.000000000000002</v>
      </c>
      <c r="L278" s="281">
        <f t="shared" si="33"/>
        <v>-14.000000000000002</v>
      </c>
      <c r="M278" s="281">
        <f t="shared" si="33"/>
        <v>-14.000000000000002</v>
      </c>
      <c r="N278" s="281">
        <f t="shared" si="33"/>
        <v>-14.000000000000002</v>
      </c>
      <c r="O278" s="281">
        <f t="shared" si="33"/>
        <v>-14.000000000000002</v>
      </c>
      <c r="P278" s="281">
        <f t="shared" si="33"/>
        <v>-14.000000000000002</v>
      </c>
      <c r="Q278" s="281">
        <f t="shared" si="33"/>
        <v>-14.000000000000002</v>
      </c>
      <c r="R278" s="281">
        <f t="shared" si="33"/>
        <v>-14.000000000000002</v>
      </c>
      <c r="S278" s="281">
        <f t="shared" si="33"/>
        <v>-14.000000000000002</v>
      </c>
      <c r="T278" s="281">
        <f t="shared" si="33"/>
        <v>-14.000000000000002</v>
      </c>
      <c r="U278" s="281">
        <f t="shared" si="33"/>
        <v>-14.000000000000002</v>
      </c>
      <c r="V278" s="281">
        <f t="shared" si="33"/>
        <v>-14.000000000000002</v>
      </c>
      <c r="W278" s="281">
        <f t="shared" si="33"/>
        <v>-14.000000000000002</v>
      </c>
      <c r="X278" s="281">
        <f t="shared" si="33"/>
        <v>-14.000000000000002</v>
      </c>
      <c r="Y278" s="281">
        <f t="shared" si="33"/>
        <v>-14.000000000000002</v>
      </c>
      <c r="Z278" s="281">
        <f t="shared" si="33"/>
        <v>-14.000000000000002</v>
      </c>
      <c r="AA278" s="281">
        <f t="shared" si="33"/>
        <v>-14.000000000000002</v>
      </c>
      <c r="AB278" s="281">
        <f t="shared" si="33"/>
        <v>-14.000000000000002</v>
      </c>
      <c r="AC278" s="281">
        <f t="shared" si="33"/>
        <v>-14.000000000000002</v>
      </c>
      <c r="AD278" s="281">
        <f t="shared" si="33"/>
        <v>-14.000000000000002</v>
      </c>
      <c r="AE278" s="281">
        <f t="shared" si="33"/>
        <v>-14.000000000000002</v>
      </c>
      <c r="AF278" s="281">
        <f t="shared" si="33"/>
        <v>-14.000000000000002</v>
      </c>
      <c r="AG278" s="281">
        <f t="shared" si="33"/>
        <v>-14.000000000000002</v>
      </c>
      <c r="AH278" s="281">
        <f t="shared" si="33"/>
        <v>-14.000000000000002</v>
      </c>
      <c r="AI278" s="281">
        <f t="shared" si="33"/>
        <v>-14.000000000000002</v>
      </c>
    </row>
    <row r="279" spans="2:35">
      <c r="B279" s="92" t="s">
        <v>298</v>
      </c>
      <c r="C279" s="281" t="s">
        <v>663</v>
      </c>
      <c r="D279" s="92" t="s">
        <v>298</v>
      </c>
      <c r="E279" s="281">
        <f t="array" ref="E279">INDEX(CABS_CVC!$C$3:$O$894,MATCH(1, (CABS_CVC!$A$3:$A$894=Calculs_CABS!C279)*(CABS_CVC!$B$3:$B$894=Calculs_CABS!$D$2),0),MATCH(Calculs_CABS!$D$1,Liste_CABS!$B$3:$B$15,0))</f>
        <v>60</v>
      </c>
    </row>
    <row r="280" spans="2:35">
      <c r="B280" s="281" t="s">
        <v>539</v>
      </c>
      <c r="C280" s="281" t="s">
        <v>663</v>
      </c>
      <c r="D280" s="281" t="s">
        <v>539</v>
      </c>
      <c r="E280" s="281">
        <v>15</v>
      </c>
    </row>
    <row r="281" spans="2:35">
      <c r="B281" s="281" t="s">
        <v>540</v>
      </c>
      <c r="C281" s="281" t="s">
        <v>663</v>
      </c>
      <c r="D281" s="281" t="s">
        <v>540</v>
      </c>
      <c r="E281" s="281">
        <f>E279+E280</f>
        <v>75</v>
      </c>
    </row>
    <row r="282" spans="2:35">
      <c r="B282" s="281" t="s">
        <v>541</v>
      </c>
      <c r="C282" s="281" t="s">
        <v>663</v>
      </c>
      <c r="D282" s="281" t="s">
        <v>541</v>
      </c>
      <c r="E282" s="281">
        <v>0</v>
      </c>
    </row>
    <row r="283" spans="2:35">
      <c r="B283" s="281" t="s">
        <v>542</v>
      </c>
      <c r="C283" s="281" t="s">
        <v>663</v>
      </c>
      <c r="D283" s="281" t="s">
        <v>664</v>
      </c>
      <c r="E283" s="281">
        <v>1900</v>
      </c>
      <c r="F283" s="281">
        <f>IF(F$6=$C283,IF(INDEX('Surface DEET'!$Q$9:$W$38,COLUMN(F276)-COLUMN($E$5),1)&gt;0,INDEX('Surface DEET'!$Q$9:$W$38,COLUMN(F276)-COLUMN($E$5),1),0),0)</f>
        <v>0</v>
      </c>
      <c r="G283" s="281">
        <f>IF(G$6=$C283,IF(INDEX('Surface DEET'!$Q$9:$W$38,COLUMN(G276)-COLUMN($E$5),1)&gt;0,INDEX('Surface DEET'!$Q$9:$W$38,COLUMN(G276)-COLUMN($E$5),1),0),0)</f>
        <v>0</v>
      </c>
      <c r="H283" s="281">
        <f>IF(H$6=$C283,IF(INDEX('Surface DEET'!$Q$9:$W$38,COLUMN(H276)-COLUMN($E$5),1)&gt;0,INDEX('Surface DEET'!$Q$9:$W$38,COLUMN(H276)-COLUMN($E$5),1),0),0)</f>
        <v>0</v>
      </c>
      <c r="I283" s="281">
        <f>IF(I$6=$C283,IF(INDEX('Surface DEET'!$Q$9:$W$38,COLUMN(I276)-COLUMN($E$5),1)&gt;0,INDEX('Surface DEET'!$Q$9:$W$38,COLUMN(I276)-COLUMN($E$5),1),0),0)</f>
        <v>0</v>
      </c>
      <c r="J283" s="281">
        <f>IF(J$6=$C283,IF(INDEX('Surface DEET'!$Q$9:$W$38,COLUMN(J276)-COLUMN($E$5),1)&gt;0,INDEX('Surface DEET'!$Q$9:$W$38,COLUMN(J276)-COLUMN($E$5),1),0),0)</f>
        <v>0</v>
      </c>
      <c r="K283" s="281">
        <f>IF(K$6=$C283,IF(INDEX('Surface DEET'!$Q$9:$W$38,COLUMN(K276)-COLUMN($E$5),1)&gt;0,INDEX('Surface DEET'!$Q$9:$W$38,COLUMN(K276)-COLUMN($E$5),1),0),0)</f>
        <v>0</v>
      </c>
      <c r="L283" s="281">
        <f>IF(L$6=$C283,IF(INDEX('Surface DEET'!$Q$9:$W$38,COLUMN(L276)-COLUMN($E$5),1)&gt;0,INDEX('Surface DEET'!$Q$9:$W$38,COLUMN(L276)-COLUMN($E$5),1),0),0)</f>
        <v>0</v>
      </c>
      <c r="M283" s="281">
        <f>IF(M$6=$C283,IF(INDEX('Surface DEET'!$Q$9:$W$38,COLUMN(M276)-COLUMN($E$5),1)&gt;0,INDEX('Surface DEET'!$Q$9:$W$38,COLUMN(M276)-COLUMN($E$5),1),0),0)</f>
        <v>0</v>
      </c>
      <c r="N283" s="281">
        <f>IF(N$6=$C283,IF(INDEX('Surface DEET'!$Q$9:$W$38,COLUMN(N276)-COLUMN($E$5),1)&gt;0,INDEX('Surface DEET'!$Q$9:$W$38,COLUMN(N276)-COLUMN($E$5),1),0),0)</f>
        <v>0</v>
      </c>
      <c r="O283" s="281">
        <f>IF(O$6=$C283,IF(INDEX('Surface DEET'!$Q$9:$W$38,COLUMN(O276)-COLUMN($E$5),1)&gt;0,INDEX('Surface DEET'!$Q$9:$W$38,COLUMN(O276)-COLUMN($E$5),1),0),0)</f>
        <v>0</v>
      </c>
      <c r="P283" s="281">
        <f>IF(P$6=$C283,IF(INDEX('Surface DEET'!$Q$9:$W$38,COLUMN(P276)-COLUMN($E$5),1)&gt;0,INDEX('Surface DEET'!$Q$9:$W$38,COLUMN(P276)-COLUMN($E$5),1),0),0)</f>
        <v>0</v>
      </c>
      <c r="Q283" s="281">
        <f>IF(Q$6=$C283,IF(INDEX('Surface DEET'!$Q$9:$W$38,COLUMN(Q276)-COLUMN($E$5),1)&gt;0,INDEX('Surface DEET'!$Q$9:$W$38,COLUMN(Q276)-COLUMN($E$5),1),0),0)</f>
        <v>0</v>
      </c>
      <c r="R283" s="281">
        <f>IF(R$6=$C283,IF(INDEX('Surface DEET'!$Q$9:$W$38,COLUMN(R276)-COLUMN($E$5),1)&gt;0,INDEX('Surface DEET'!$Q$9:$W$38,COLUMN(R276)-COLUMN($E$5),1),0),0)</f>
        <v>0</v>
      </c>
      <c r="S283" s="281">
        <f>IF(S$6=$C283,IF(INDEX('Surface DEET'!$Q$9:$W$38,COLUMN(S276)-COLUMN($E$5),1)&gt;0,INDEX('Surface DEET'!$Q$9:$W$38,COLUMN(S276)-COLUMN($E$5),1),0),0)</f>
        <v>0</v>
      </c>
      <c r="T283" s="281">
        <f>IF(T$6=$C283,IF(INDEX('Surface DEET'!$Q$9:$W$38,COLUMN(T276)-COLUMN($E$5),1)&gt;0,INDEX('Surface DEET'!$Q$9:$W$38,COLUMN(T276)-COLUMN($E$5),1),0),0)</f>
        <v>0</v>
      </c>
      <c r="U283" s="281">
        <f>IF(U$6=$C283,IF(INDEX('Surface DEET'!$Q$9:$W$38,COLUMN(U276)-COLUMN($E$5),1)&gt;0,INDEX('Surface DEET'!$Q$9:$W$38,COLUMN(U276)-COLUMN($E$5),1),0),0)</f>
        <v>0</v>
      </c>
      <c r="V283" s="281">
        <f>IF(V$6=$C283,IF(INDEX('Surface DEET'!$Q$9:$W$38,COLUMN(V276)-COLUMN($E$5),1)&gt;0,INDEX('Surface DEET'!$Q$9:$W$38,COLUMN(V276)-COLUMN($E$5),1),0),0)</f>
        <v>0</v>
      </c>
      <c r="W283" s="281">
        <f>IF(W$6=$C283,IF(INDEX('Surface DEET'!$Q$9:$W$38,COLUMN(W276)-COLUMN($E$5),1)&gt;0,INDEX('Surface DEET'!$Q$9:$W$38,COLUMN(W276)-COLUMN($E$5),1),0),0)</f>
        <v>0</v>
      </c>
      <c r="X283" s="281">
        <f>IF(X$6=$C283,IF(INDEX('Surface DEET'!$Q$9:$W$38,COLUMN(X276)-COLUMN($E$5),1)&gt;0,INDEX('Surface DEET'!$Q$9:$W$38,COLUMN(X276)-COLUMN($E$5),1),0),0)</f>
        <v>0</v>
      </c>
      <c r="Y283" s="281">
        <f>IF(Y$6=$C283,IF(INDEX('Surface DEET'!$Q$9:$W$38,COLUMN(Y276)-COLUMN($E$5),1)&gt;0,INDEX('Surface DEET'!$Q$9:$W$38,COLUMN(Y276)-COLUMN($E$5),1),0),0)</f>
        <v>0</v>
      </c>
      <c r="Z283" s="281">
        <f>IF(Z$6=$C283,IF(INDEX('Surface DEET'!$Q$9:$W$38,COLUMN(Z276)-COLUMN($E$5),1)&gt;0,INDEX('Surface DEET'!$Q$9:$W$38,COLUMN(Z276)-COLUMN($E$5),1),0),0)</f>
        <v>0</v>
      </c>
      <c r="AA283" s="281">
        <f>IF(AA$6=$C283,IF(INDEX('Surface DEET'!$Q$9:$W$38,COLUMN(AA276)-COLUMN($E$5),1)&gt;0,INDEX('Surface DEET'!$Q$9:$W$38,COLUMN(AA276)-COLUMN($E$5),1),0),0)</f>
        <v>0</v>
      </c>
      <c r="AB283" s="281">
        <f>IF(AB$6=$C283,IF(INDEX('Surface DEET'!$Q$9:$W$38,COLUMN(AB276)-COLUMN($E$5),1)&gt;0,INDEX('Surface DEET'!$Q$9:$W$38,COLUMN(AB276)-COLUMN($E$5),1),0),0)</f>
        <v>0</v>
      </c>
      <c r="AC283" s="281">
        <f>IF(AC$6=$C283,IF(INDEX('Surface DEET'!$Q$9:$W$38,COLUMN(AC276)-COLUMN($E$5),1)&gt;0,INDEX('Surface DEET'!$Q$9:$W$38,COLUMN(AC276)-COLUMN($E$5),1),0),0)</f>
        <v>0</v>
      </c>
      <c r="AD283" s="281">
        <f>IF(AD$6=$C283,IF(INDEX('Surface DEET'!$Q$9:$W$38,COLUMN(AD276)-COLUMN($E$5),1)&gt;0,INDEX('Surface DEET'!$Q$9:$W$38,COLUMN(AD276)-COLUMN($E$5),1),0),0)</f>
        <v>0</v>
      </c>
      <c r="AE283" s="281">
        <f>IF(AE$6=$C283,IF(INDEX('Surface DEET'!$Q$9:$W$38,COLUMN(AE276)-COLUMN($E$5),1)&gt;0,INDEX('Surface DEET'!$Q$9:$W$38,COLUMN(AE276)-COLUMN($E$5),1),0),0)</f>
        <v>0</v>
      </c>
      <c r="AF283" s="281">
        <f>IF(AF$6=$C283,IF(INDEX('Surface DEET'!$Q$9:$W$38,COLUMN(AF276)-COLUMN($E$5),1)&gt;0,INDEX('Surface DEET'!$Q$9:$W$38,COLUMN(AF276)-COLUMN($E$5),1),0),0)</f>
        <v>0</v>
      </c>
      <c r="AG283" s="281">
        <f>IF(AG$6=$C283,IF(INDEX('Surface DEET'!$Q$9:$W$38,COLUMN(AG276)-COLUMN($E$5),1)&gt;0,INDEX('Surface DEET'!$Q$9:$W$38,COLUMN(AG276)-COLUMN($E$5),1),0),0)</f>
        <v>0</v>
      </c>
      <c r="AH283" s="281">
        <f>IF(AH$6=$C283,IF(INDEX('Surface DEET'!$Q$9:$W$38,COLUMN(AH276)-COLUMN($E$5),1)&gt;0,INDEX('Surface DEET'!$Q$9:$W$38,COLUMN(AH276)-COLUMN($E$5),1),0),0)</f>
        <v>0</v>
      </c>
      <c r="AI283" s="281">
        <f>IF(AI$6=$C283,IF(INDEX('Surface DEET'!$Q$9:$W$38,COLUMN(AI276)-COLUMN($E$5),1)&gt;0,INDEX('Surface DEET'!$Q$9:$W$38,COLUMN(AI276)-COLUMN($E$5),1),0),0)</f>
        <v>0</v>
      </c>
    </row>
    <row r="284" spans="2:35">
      <c r="B284" s="281" t="s">
        <v>545</v>
      </c>
      <c r="C284" s="281" t="s">
        <v>663</v>
      </c>
      <c r="D284" s="281" t="s">
        <v>665</v>
      </c>
      <c r="E284" s="281">
        <v>1900</v>
      </c>
      <c r="F284" s="281">
        <f>IF(F$6=$C284,IF(INDEX('Surface DEET'!$Q$9:$W$38,COLUMN(F277)-COLUMN($E$5),4)&gt;0,INDEX('Surface DEET'!$Q$9:$W$38,COLUMN(F277)-COLUMN($E$5),4),0),0)</f>
        <v>0</v>
      </c>
      <c r="G284" s="281">
        <f>IF(G$6=$C284,IF(INDEX('Surface DEET'!$Q$9:$W$38,COLUMN(G277)-COLUMN($E$5),4)&gt;0,INDEX('Surface DEET'!$Q$9:$W$38,COLUMN(G277)-COLUMN($E$5),4),0),0)</f>
        <v>0</v>
      </c>
      <c r="H284" s="281">
        <f>IF(H$6=$C284,IF(INDEX('Surface DEET'!$Q$9:$W$38,COLUMN(H277)-COLUMN($E$5),4)&gt;0,INDEX('Surface DEET'!$Q$9:$W$38,COLUMN(H277)-COLUMN($E$5),4),0),0)</f>
        <v>0</v>
      </c>
      <c r="I284" s="281">
        <f>IF(I$6=$C284,IF(INDEX('Surface DEET'!$Q$9:$W$38,COLUMN(I277)-COLUMN($E$5),4)&gt;0,INDEX('Surface DEET'!$Q$9:$W$38,COLUMN(I277)-COLUMN($E$5),4),0),0)</f>
        <v>0</v>
      </c>
      <c r="J284" s="281">
        <f>IF(J$6=$C284,IF(INDEX('Surface DEET'!$Q$9:$W$38,COLUMN(J277)-COLUMN($E$5),4)&gt;0,INDEX('Surface DEET'!$Q$9:$W$38,COLUMN(J277)-COLUMN($E$5),4),0),0)</f>
        <v>0</v>
      </c>
      <c r="K284" s="281">
        <f>IF(K$6=$C284,IF(INDEX('Surface DEET'!$Q$9:$W$38,COLUMN(K277)-COLUMN($E$5),4)&gt;0,INDEX('Surface DEET'!$Q$9:$W$38,COLUMN(K277)-COLUMN($E$5),4),0),0)</f>
        <v>0</v>
      </c>
      <c r="L284" s="281">
        <f>IF(L$6=$C284,IF(INDEX('Surface DEET'!$Q$9:$W$38,COLUMN(L277)-COLUMN($E$5),4)&gt;0,INDEX('Surface DEET'!$Q$9:$W$38,COLUMN(L277)-COLUMN($E$5),4),0),0)</f>
        <v>0</v>
      </c>
      <c r="M284" s="281">
        <f>IF(M$6=$C284,IF(INDEX('Surface DEET'!$Q$9:$W$38,COLUMN(M277)-COLUMN($E$5),4)&gt;0,INDEX('Surface DEET'!$Q$9:$W$38,COLUMN(M277)-COLUMN($E$5),4),0),0)</f>
        <v>0</v>
      </c>
      <c r="N284" s="281">
        <f>IF(N$6=$C284,IF(INDEX('Surface DEET'!$Q$9:$W$38,COLUMN(N277)-COLUMN($E$5),4)&gt;0,INDEX('Surface DEET'!$Q$9:$W$38,COLUMN(N277)-COLUMN($E$5),4),0),0)</f>
        <v>0</v>
      </c>
      <c r="O284" s="281">
        <f>IF(O$6=$C284,IF(INDEX('Surface DEET'!$Q$9:$W$38,COLUMN(O277)-COLUMN($E$5),4)&gt;0,INDEX('Surface DEET'!$Q$9:$W$38,COLUMN(O277)-COLUMN($E$5),4),0),0)</f>
        <v>0</v>
      </c>
      <c r="P284" s="281">
        <f>IF(P$6=$C284,IF(INDEX('Surface DEET'!$Q$9:$W$38,COLUMN(P277)-COLUMN($E$5),4)&gt;0,INDEX('Surface DEET'!$Q$9:$W$38,COLUMN(P277)-COLUMN($E$5),4),0),0)</f>
        <v>0</v>
      </c>
      <c r="Q284" s="281">
        <f>IF(Q$6=$C284,IF(INDEX('Surface DEET'!$Q$9:$W$38,COLUMN(Q277)-COLUMN($E$5),4)&gt;0,INDEX('Surface DEET'!$Q$9:$W$38,COLUMN(Q277)-COLUMN($E$5),4),0),0)</f>
        <v>0</v>
      </c>
      <c r="R284" s="281">
        <f>IF(R$6=$C284,IF(INDEX('Surface DEET'!$Q$9:$W$38,COLUMN(R277)-COLUMN($E$5),4)&gt;0,INDEX('Surface DEET'!$Q$9:$W$38,COLUMN(R277)-COLUMN($E$5),4),0),0)</f>
        <v>0</v>
      </c>
      <c r="S284" s="281">
        <f>IF(S$6=$C284,IF(INDEX('Surface DEET'!$Q$9:$W$38,COLUMN(S277)-COLUMN($E$5),4)&gt;0,INDEX('Surface DEET'!$Q$9:$W$38,COLUMN(S277)-COLUMN($E$5),4),0),0)</f>
        <v>0</v>
      </c>
      <c r="T284" s="281">
        <f>IF(T$6=$C284,IF(INDEX('Surface DEET'!$Q$9:$W$38,COLUMN(T277)-COLUMN($E$5),4)&gt;0,INDEX('Surface DEET'!$Q$9:$W$38,COLUMN(T277)-COLUMN($E$5),4),0),0)</f>
        <v>0</v>
      </c>
      <c r="U284" s="281">
        <f>IF(U$6=$C284,IF(INDEX('Surface DEET'!$Q$9:$W$38,COLUMN(U277)-COLUMN($E$5),4)&gt;0,INDEX('Surface DEET'!$Q$9:$W$38,COLUMN(U277)-COLUMN($E$5),4),0),0)</f>
        <v>0</v>
      </c>
      <c r="V284" s="281">
        <f>IF(V$6=$C284,IF(INDEX('Surface DEET'!$Q$9:$W$38,COLUMN(V277)-COLUMN($E$5),4)&gt;0,INDEX('Surface DEET'!$Q$9:$W$38,COLUMN(V277)-COLUMN($E$5),4),0),0)</f>
        <v>0</v>
      </c>
      <c r="W284" s="281">
        <f>IF(W$6=$C284,IF(INDEX('Surface DEET'!$Q$9:$W$38,COLUMN(W277)-COLUMN($E$5),4)&gt;0,INDEX('Surface DEET'!$Q$9:$W$38,COLUMN(W277)-COLUMN($E$5),4),0),0)</f>
        <v>0</v>
      </c>
      <c r="X284" s="281">
        <f>IF(X$6=$C284,IF(INDEX('Surface DEET'!$Q$9:$W$38,COLUMN(X277)-COLUMN($E$5),4)&gt;0,INDEX('Surface DEET'!$Q$9:$W$38,COLUMN(X277)-COLUMN($E$5),4),0),0)</f>
        <v>0</v>
      </c>
      <c r="Y284" s="281">
        <f>IF(Y$6=$C284,IF(INDEX('Surface DEET'!$Q$9:$W$38,COLUMN(Y277)-COLUMN($E$5),4)&gt;0,INDEX('Surface DEET'!$Q$9:$W$38,COLUMN(Y277)-COLUMN($E$5),4),0),0)</f>
        <v>0</v>
      </c>
      <c r="Z284" s="281">
        <f>IF(Z$6=$C284,IF(INDEX('Surface DEET'!$Q$9:$W$38,COLUMN(Z277)-COLUMN($E$5),4)&gt;0,INDEX('Surface DEET'!$Q$9:$W$38,COLUMN(Z277)-COLUMN($E$5),4),0),0)</f>
        <v>0</v>
      </c>
      <c r="AA284" s="281">
        <f>IF(AA$6=$C284,IF(INDEX('Surface DEET'!$Q$9:$W$38,COLUMN(AA277)-COLUMN($E$5),4)&gt;0,INDEX('Surface DEET'!$Q$9:$W$38,COLUMN(AA277)-COLUMN($E$5),4),0),0)</f>
        <v>0</v>
      </c>
      <c r="AB284" s="281">
        <f>IF(AB$6=$C284,IF(INDEX('Surface DEET'!$Q$9:$W$38,COLUMN(AB277)-COLUMN($E$5),4)&gt;0,INDEX('Surface DEET'!$Q$9:$W$38,COLUMN(AB277)-COLUMN($E$5),4),0),0)</f>
        <v>0</v>
      </c>
      <c r="AC284" s="281">
        <f>IF(AC$6=$C284,IF(INDEX('Surface DEET'!$Q$9:$W$38,COLUMN(AC277)-COLUMN($E$5),4)&gt;0,INDEX('Surface DEET'!$Q$9:$W$38,COLUMN(AC277)-COLUMN($E$5),4),0),0)</f>
        <v>0</v>
      </c>
      <c r="AD284" s="281">
        <f>IF(AD$6=$C284,IF(INDEX('Surface DEET'!$Q$9:$W$38,COLUMN(AD277)-COLUMN($E$5),4)&gt;0,INDEX('Surface DEET'!$Q$9:$W$38,COLUMN(AD277)-COLUMN($E$5),4),0),0)</f>
        <v>0</v>
      </c>
      <c r="AE284" s="281">
        <f>IF(AE$6=$C284,IF(INDEX('Surface DEET'!$Q$9:$W$38,COLUMN(AE277)-COLUMN($E$5),4)&gt;0,INDEX('Surface DEET'!$Q$9:$W$38,COLUMN(AE277)-COLUMN($E$5),4),0),0)</f>
        <v>0</v>
      </c>
      <c r="AF284" s="281">
        <f>IF(AF$6=$C284,IF(INDEX('Surface DEET'!$Q$9:$W$38,COLUMN(AF277)-COLUMN($E$5),4)&gt;0,INDEX('Surface DEET'!$Q$9:$W$38,COLUMN(AF277)-COLUMN($E$5),4),0),0)</f>
        <v>0</v>
      </c>
      <c r="AG284" s="281">
        <f>IF(AG$6=$C284,IF(INDEX('Surface DEET'!$Q$9:$W$38,COLUMN(AG277)-COLUMN($E$5),4)&gt;0,INDEX('Surface DEET'!$Q$9:$W$38,COLUMN(AG277)-COLUMN($E$5),4),0),0)</f>
        <v>0</v>
      </c>
      <c r="AH284" s="281">
        <f>IF(AH$6=$C284,IF(INDEX('Surface DEET'!$Q$9:$W$38,COLUMN(AH277)-COLUMN($E$5),4)&gt;0,INDEX('Surface DEET'!$Q$9:$W$38,COLUMN(AH277)-COLUMN($E$5),4),0),0)</f>
        <v>0</v>
      </c>
      <c r="AI284" s="281">
        <f>IF(AI$6=$C284,IF(INDEX('Surface DEET'!$Q$9:$W$38,COLUMN(AI277)-COLUMN($E$5),4)&gt;0,INDEX('Surface DEET'!$Q$9:$W$38,COLUMN(AI277)-COLUMN($E$5),4),0),0)</f>
        <v>0</v>
      </c>
    </row>
    <row r="285" spans="2:35">
      <c r="B285" s="281" t="s">
        <v>548</v>
      </c>
      <c r="C285" s="281" t="s">
        <v>663</v>
      </c>
    </row>
    <row r="286" spans="2:35">
      <c r="B286" s="281" t="s">
        <v>538</v>
      </c>
      <c r="C286" s="281" t="s">
        <v>663</v>
      </c>
      <c r="D286" s="281" t="s">
        <v>538</v>
      </c>
      <c r="F286" s="281">
        <f>$E$280*(1+2*F283/$E$283+F284/$E$284)</f>
        <v>15</v>
      </c>
      <c r="G286" s="281">
        <f t="shared" ref="G286:AI286" si="34">$E$280*(1+2*G283/$E$283+G284/$E$284)</f>
        <v>15</v>
      </c>
      <c r="H286" s="281">
        <f t="shared" si="34"/>
        <v>15</v>
      </c>
      <c r="I286" s="281">
        <f t="shared" si="34"/>
        <v>15</v>
      </c>
      <c r="J286" s="281">
        <f t="shared" si="34"/>
        <v>15</v>
      </c>
      <c r="K286" s="281">
        <f t="shared" si="34"/>
        <v>15</v>
      </c>
      <c r="L286" s="281">
        <f t="shared" si="34"/>
        <v>15</v>
      </c>
      <c r="M286" s="281">
        <f t="shared" si="34"/>
        <v>15</v>
      </c>
      <c r="N286" s="281">
        <f t="shared" si="34"/>
        <v>15</v>
      </c>
      <c r="O286" s="281">
        <f t="shared" si="34"/>
        <v>15</v>
      </c>
      <c r="P286" s="281">
        <f t="shared" si="34"/>
        <v>15</v>
      </c>
      <c r="Q286" s="281">
        <f t="shared" si="34"/>
        <v>15</v>
      </c>
      <c r="R286" s="281">
        <f t="shared" si="34"/>
        <v>15</v>
      </c>
      <c r="S286" s="281">
        <f t="shared" si="34"/>
        <v>15</v>
      </c>
      <c r="T286" s="281">
        <f t="shared" si="34"/>
        <v>15</v>
      </c>
      <c r="U286" s="281">
        <f t="shared" si="34"/>
        <v>15</v>
      </c>
      <c r="V286" s="281">
        <f t="shared" si="34"/>
        <v>15</v>
      </c>
      <c r="W286" s="281">
        <f t="shared" si="34"/>
        <v>15</v>
      </c>
      <c r="X286" s="281">
        <f t="shared" si="34"/>
        <v>15</v>
      </c>
      <c r="Y286" s="281">
        <f t="shared" si="34"/>
        <v>15</v>
      </c>
      <c r="Z286" s="281">
        <f t="shared" si="34"/>
        <v>15</v>
      </c>
      <c r="AA286" s="281">
        <f t="shared" si="34"/>
        <v>15</v>
      </c>
      <c r="AB286" s="281">
        <f t="shared" si="34"/>
        <v>15</v>
      </c>
      <c r="AC286" s="281">
        <f t="shared" si="34"/>
        <v>15</v>
      </c>
      <c r="AD286" s="281">
        <f t="shared" si="34"/>
        <v>15</v>
      </c>
      <c r="AE286" s="281">
        <f t="shared" si="34"/>
        <v>15</v>
      </c>
      <c r="AF286" s="281">
        <f t="shared" si="34"/>
        <v>15</v>
      </c>
      <c r="AG286" s="281">
        <f t="shared" si="34"/>
        <v>15</v>
      </c>
      <c r="AH286" s="281">
        <f t="shared" si="34"/>
        <v>15</v>
      </c>
      <c r="AI286" s="281">
        <f t="shared" si="34"/>
        <v>15</v>
      </c>
    </row>
    <row r="287" spans="2:35">
      <c r="B287" s="92" t="s">
        <v>298</v>
      </c>
      <c r="C287" s="281" t="s">
        <v>666</v>
      </c>
      <c r="D287" s="92" t="s">
        <v>298</v>
      </c>
      <c r="E287" s="281">
        <f t="array" ref="E287">INDEX(CABS_CVC!$C$3:$O$894,MATCH(1, (CABS_CVC!$A$3:$A$894=Calculs_CABS!C287)*(CABS_CVC!$B$3:$B$894=Calculs_CABS!$D$2),0),MATCH(Calculs_CABS!$D$1,Liste_CABS!$B$3:$B$15,0))</f>
        <v>60</v>
      </c>
    </row>
    <row r="288" spans="2:35">
      <c r="B288" s="281" t="s">
        <v>539</v>
      </c>
      <c r="C288" s="281" t="s">
        <v>666</v>
      </c>
      <c r="D288" s="281" t="s">
        <v>539</v>
      </c>
      <c r="E288" s="281">
        <v>20</v>
      </c>
    </row>
    <row r="289" spans="2:35">
      <c r="B289" s="281" t="s">
        <v>540</v>
      </c>
      <c r="C289" s="281" t="s">
        <v>666</v>
      </c>
      <c r="D289" s="281" t="s">
        <v>540</v>
      </c>
      <c r="E289" s="281">
        <f>E287+E288</f>
        <v>80</v>
      </c>
    </row>
    <row r="290" spans="2:35">
      <c r="B290" s="281" t="s">
        <v>541</v>
      </c>
      <c r="C290" s="281" t="s">
        <v>666</v>
      </c>
      <c r="D290" s="281" t="s">
        <v>541</v>
      </c>
      <c r="E290" s="281">
        <v>0</v>
      </c>
    </row>
    <row r="291" spans="2:35">
      <c r="B291" s="281" t="s">
        <v>542</v>
      </c>
      <c r="C291" s="281" t="s">
        <v>666</v>
      </c>
      <c r="D291" s="281" t="s">
        <v>664</v>
      </c>
      <c r="E291" s="281">
        <v>1900</v>
      </c>
      <c r="F291" s="281">
        <f>IF(F$6=$C291,IF(INDEX('Surface DEET'!$Q$9:$W$38,COLUMN(F284)-COLUMN($E$5),1)&gt;0,INDEX('Surface DEET'!$Q$9:$W$38,COLUMN(F284)-COLUMN($E$5),1),0),0)</f>
        <v>0</v>
      </c>
      <c r="G291" s="281">
        <f>IF(G$6=$C291,IF(INDEX('Surface DEET'!$Q$9:$W$38,COLUMN(G284)-COLUMN($E$5),1)&gt;0,INDEX('Surface DEET'!$Q$9:$W$38,COLUMN(G284)-COLUMN($E$5),1),0),0)</f>
        <v>0</v>
      </c>
      <c r="H291" s="281">
        <f>IF(H$6=$C291,IF(INDEX('Surface DEET'!$Q$9:$W$38,COLUMN(H284)-COLUMN($E$5),1)&gt;0,INDEX('Surface DEET'!$Q$9:$W$38,COLUMN(H284)-COLUMN($E$5),1),0),0)</f>
        <v>0</v>
      </c>
      <c r="I291" s="281">
        <f>IF(I$6=$C291,IF(INDEX('Surface DEET'!$Q$9:$W$38,COLUMN(I284)-COLUMN($E$5),1)&gt;0,INDEX('Surface DEET'!$Q$9:$W$38,COLUMN(I284)-COLUMN($E$5),1),0),0)</f>
        <v>0</v>
      </c>
      <c r="J291" s="281">
        <f>IF(J$6=$C291,IF(INDEX('Surface DEET'!$Q$9:$W$38,COLUMN(J284)-COLUMN($E$5),1)&gt;0,INDEX('Surface DEET'!$Q$9:$W$38,COLUMN(J284)-COLUMN($E$5),1),0),0)</f>
        <v>0</v>
      </c>
      <c r="K291" s="281">
        <f>IF(K$6=$C291,IF(INDEX('Surface DEET'!$Q$9:$W$38,COLUMN(K284)-COLUMN($E$5),1)&gt;0,INDEX('Surface DEET'!$Q$9:$W$38,COLUMN(K284)-COLUMN($E$5),1),0),0)</f>
        <v>0</v>
      </c>
      <c r="L291" s="281">
        <f>IF(L$6=$C291,IF(INDEX('Surface DEET'!$Q$9:$W$38,COLUMN(L284)-COLUMN($E$5),1)&gt;0,INDEX('Surface DEET'!$Q$9:$W$38,COLUMN(L284)-COLUMN($E$5),1),0),0)</f>
        <v>0</v>
      </c>
      <c r="M291" s="281">
        <f>IF(M$6=$C291,IF(INDEX('Surface DEET'!$Q$9:$W$38,COLUMN(M284)-COLUMN($E$5),1)&gt;0,INDEX('Surface DEET'!$Q$9:$W$38,COLUMN(M284)-COLUMN($E$5),1),0),0)</f>
        <v>0</v>
      </c>
      <c r="N291" s="281">
        <f>IF(N$6=$C291,IF(INDEX('Surface DEET'!$Q$9:$W$38,COLUMN(N284)-COLUMN($E$5),1)&gt;0,INDEX('Surface DEET'!$Q$9:$W$38,COLUMN(N284)-COLUMN($E$5),1),0),0)</f>
        <v>0</v>
      </c>
      <c r="O291" s="281">
        <f>IF(O$6=$C291,IF(INDEX('Surface DEET'!$Q$9:$W$38,COLUMN(O284)-COLUMN($E$5),1)&gt;0,INDEX('Surface DEET'!$Q$9:$W$38,COLUMN(O284)-COLUMN($E$5),1),0),0)</f>
        <v>0</v>
      </c>
      <c r="P291" s="281">
        <f>IF(P$6=$C291,IF(INDEX('Surface DEET'!$Q$9:$W$38,COLUMN(P284)-COLUMN($E$5),1)&gt;0,INDEX('Surface DEET'!$Q$9:$W$38,COLUMN(P284)-COLUMN($E$5),1),0),0)</f>
        <v>0</v>
      </c>
      <c r="Q291" s="281">
        <f>IF(Q$6=$C291,IF(INDEX('Surface DEET'!$Q$9:$W$38,COLUMN(Q284)-COLUMN($E$5),1)&gt;0,INDEX('Surface DEET'!$Q$9:$W$38,COLUMN(Q284)-COLUMN($E$5),1),0),0)</f>
        <v>0</v>
      </c>
      <c r="R291" s="281">
        <f>IF(R$6=$C291,IF(INDEX('Surface DEET'!$Q$9:$W$38,COLUMN(R284)-COLUMN($E$5),1)&gt;0,INDEX('Surface DEET'!$Q$9:$W$38,COLUMN(R284)-COLUMN($E$5),1),0),0)</f>
        <v>0</v>
      </c>
      <c r="S291" s="281">
        <f>IF(S$6=$C291,IF(INDEX('Surface DEET'!$Q$9:$W$38,COLUMN(S284)-COLUMN($E$5),1)&gt;0,INDEX('Surface DEET'!$Q$9:$W$38,COLUMN(S284)-COLUMN($E$5),1),0),0)</f>
        <v>0</v>
      </c>
      <c r="T291" s="281">
        <f>IF(T$6=$C291,IF(INDEX('Surface DEET'!$Q$9:$W$38,COLUMN(T284)-COLUMN($E$5),1)&gt;0,INDEX('Surface DEET'!$Q$9:$W$38,COLUMN(T284)-COLUMN($E$5),1),0),0)</f>
        <v>0</v>
      </c>
      <c r="U291" s="281">
        <f>IF(U$6=$C291,IF(INDEX('Surface DEET'!$Q$9:$W$38,COLUMN(U284)-COLUMN($E$5),1)&gt;0,INDEX('Surface DEET'!$Q$9:$W$38,COLUMN(U284)-COLUMN($E$5),1),0),0)</f>
        <v>0</v>
      </c>
      <c r="V291" s="281">
        <f>IF(V$6=$C291,IF(INDEX('Surface DEET'!$Q$9:$W$38,COLUMN(V284)-COLUMN($E$5),1)&gt;0,INDEX('Surface DEET'!$Q$9:$W$38,COLUMN(V284)-COLUMN($E$5),1),0),0)</f>
        <v>0</v>
      </c>
      <c r="W291" s="281">
        <f>IF(W$6=$C291,IF(INDEX('Surface DEET'!$Q$9:$W$38,COLUMN(W284)-COLUMN($E$5),1)&gt;0,INDEX('Surface DEET'!$Q$9:$W$38,COLUMN(W284)-COLUMN($E$5),1),0),0)</f>
        <v>0</v>
      </c>
      <c r="X291" s="281">
        <f>IF(X$6=$C291,IF(INDEX('Surface DEET'!$Q$9:$W$38,COLUMN(X284)-COLUMN($E$5),1)&gt;0,INDEX('Surface DEET'!$Q$9:$W$38,COLUMN(X284)-COLUMN($E$5),1),0),0)</f>
        <v>0</v>
      </c>
      <c r="Y291" s="281">
        <f>IF(Y$6=$C291,IF(INDEX('Surface DEET'!$Q$9:$W$38,COLUMN(Y284)-COLUMN($E$5),1)&gt;0,INDEX('Surface DEET'!$Q$9:$W$38,COLUMN(Y284)-COLUMN($E$5),1),0),0)</f>
        <v>0</v>
      </c>
      <c r="Z291" s="281">
        <f>IF(Z$6=$C291,IF(INDEX('Surface DEET'!$Q$9:$W$38,COLUMN(Z284)-COLUMN($E$5),1)&gt;0,INDEX('Surface DEET'!$Q$9:$W$38,COLUMN(Z284)-COLUMN($E$5),1),0),0)</f>
        <v>0</v>
      </c>
      <c r="AA291" s="281">
        <f>IF(AA$6=$C291,IF(INDEX('Surface DEET'!$Q$9:$W$38,COLUMN(AA284)-COLUMN($E$5),1)&gt;0,INDEX('Surface DEET'!$Q$9:$W$38,COLUMN(AA284)-COLUMN($E$5),1),0),0)</f>
        <v>0</v>
      </c>
      <c r="AB291" s="281">
        <f>IF(AB$6=$C291,IF(INDEX('Surface DEET'!$Q$9:$W$38,COLUMN(AB284)-COLUMN($E$5),1)&gt;0,INDEX('Surface DEET'!$Q$9:$W$38,COLUMN(AB284)-COLUMN($E$5),1),0),0)</f>
        <v>0</v>
      </c>
      <c r="AC291" s="281">
        <f>IF(AC$6=$C291,IF(INDEX('Surface DEET'!$Q$9:$W$38,COLUMN(AC284)-COLUMN($E$5),1)&gt;0,INDEX('Surface DEET'!$Q$9:$W$38,COLUMN(AC284)-COLUMN($E$5),1),0),0)</f>
        <v>0</v>
      </c>
      <c r="AD291" s="281">
        <f>IF(AD$6=$C291,IF(INDEX('Surface DEET'!$Q$9:$W$38,COLUMN(AD284)-COLUMN($E$5),1)&gt;0,INDEX('Surface DEET'!$Q$9:$W$38,COLUMN(AD284)-COLUMN($E$5),1),0),0)</f>
        <v>0</v>
      </c>
      <c r="AE291" s="281">
        <f>IF(AE$6=$C291,IF(INDEX('Surface DEET'!$Q$9:$W$38,COLUMN(AE284)-COLUMN($E$5),1)&gt;0,INDEX('Surface DEET'!$Q$9:$W$38,COLUMN(AE284)-COLUMN($E$5),1),0),0)</f>
        <v>0</v>
      </c>
      <c r="AF291" s="281">
        <f>IF(AF$6=$C291,IF(INDEX('Surface DEET'!$Q$9:$W$38,COLUMN(AF284)-COLUMN($E$5),1)&gt;0,INDEX('Surface DEET'!$Q$9:$W$38,COLUMN(AF284)-COLUMN($E$5),1),0),0)</f>
        <v>0</v>
      </c>
      <c r="AG291" s="281">
        <f>IF(AG$6=$C291,IF(INDEX('Surface DEET'!$Q$9:$W$38,COLUMN(AG284)-COLUMN($E$5),1)&gt;0,INDEX('Surface DEET'!$Q$9:$W$38,COLUMN(AG284)-COLUMN($E$5),1),0),0)</f>
        <v>0</v>
      </c>
      <c r="AH291" s="281">
        <f>IF(AH$6=$C291,IF(INDEX('Surface DEET'!$Q$9:$W$38,COLUMN(AH284)-COLUMN($E$5),1)&gt;0,INDEX('Surface DEET'!$Q$9:$W$38,COLUMN(AH284)-COLUMN($E$5),1),0),0)</f>
        <v>0</v>
      </c>
      <c r="AI291" s="281">
        <f>IF(AI$6=$C291,IF(INDEX('Surface DEET'!$Q$9:$W$38,COLUMN(AI284)-COLUMN($E$5),1)&gt;0,INDEX('Surface DEET'!$Q$9:$W$38,COLUMN(AI284)-COLUMN($E$5),1),0),0)</f>
        <v>0</v>
      </c>
    </row>
    <row r="292" spans="2:35">
      <c r="B292" s="281" t="s">
        <v>545</v>
      </c>
      <c r="C292" s="281" t="s">
        <v>666</v>
      </c>
      <c r="D292" s="281" t="s">
        <v>665</v>
      </c>
      <c r="E292" s="281">
        <v>1900</v>
      </c>
      <c r="F292" s="281">
        <f>IF(F$6=$C292,IF(INDEX('Surface DEET'!$Q$9:$W$38,COLUMN(F285)-COLUMN($E$5),4)&gt;0,INDEX('Surface DEET'!$Q$9:$W$38,COLUMN(F285)-COLUMN($E$5),4),0),0)</f>
        <v>0</v>
      </c>
      <c r="G292" s="281">
        <f>IF(G$6=$C292,IF(INDEX('Surface DEET'!$Q$9:$W$38,COLUMN(G285)-COLUMN($E$5),4)&gt;0,INDEX('Surface DEET'!$Q$9:$W$38,COLUMN(G285)-COLUMN($E$5),4),0),0)</f>
        <v>0</v>
      </c>
      <c r="H292" s="281">
        <f>IF(H$6=$C292,IF(INDEX('Surface DEET'!$Q$9:$W$38,COLUMN(H285)-COLUMN($E$5),4)&gt;0,INDEX('Surface DEET'!$Q$9:$W$38,COLUMN(H285)-COLUMN($E$5),4),0),0)</f>
        <v>0</v>
      </c>
      <c r="I292" s="281">
        <f>IF(I$6=$C292,IF(INDEX('Surface DEET'!$Q$9:$W$38,COLUMN(I285)-COLUMN($E$5),4)&gt;0,INDEX('Surface DEET'!$Q$9:$W$38,COLUMN(I285)-COLUMN($E$5),4),0),0)</f>
        <v>0</v>
      </c>
      <c r="J292" s="281">
        <f>IF(J$6=$C292,IF(INDEX('Surface DEET'!$Q$9:$W$38,COLUMN(J285)-COLUMN($E$5),4)&gt;0,INDEX('Surface DEET'!$Q$9:$W$38,COLUMN(J285)-COLUMN($E$5),4),0),0)</f>
        <v>0</v>
      </c>
      <c r="K292" s="281">
        <f>IF(K$6=$C292,IF(INDEX('Surface DEET'!$Q$9:$W$38,COLUMN(K285)-COLUMN($E$5),4)&gt;0,INDEX('Surface DEET'!$Q$9:$W$38,COLUMN(K285)-COLUMN($E$5),4),0),0)</f>
        <v>0</v>
      </c>
      <c r="L292" s="281">
        <f>IF(L$6=$C292,IF(INDEX('Surface DEET'!$Q$9:$W$38,COLUMN(L285)-COLUMN($E$5),4)&gt;0,INDEX('Surface DEET'!$Q$9:$W$38,COLUMN(L285)-COLUMN($E$5),4),0),0)</f>
        <v>0</v>
      </c>
      <c r="M292" s="281">
        <f>IF(M$6=$C292,IF(INDEX('Surface DEET'!$Q$9:$W$38,COLUMN(M285)-COLUMN($E$5),4)&gt;0,INDEX('Surface DEET'!$Q$9:$W$38,COLUMN(M285)-COLUMN($E$5),4),0),0)</f>
        <v>0</v>
      </c>
      <c r="N292" s="281">
        <f>IF(N$6=$C292,IF(INDEX('Surface DEET'!$Q$9:$W$38,COLUMN(N285)-COLUMN($E$5),4)&gt;0,INDEX('Surface DEET'!$Q$9:$W$38,COLUMN(N285)-COLUMN($E$5),4),0),0)</f>
        <v>0</v>
      </c>
      <c r="O292" s="281">
        <f>IF(O$6=$C292,IF(INDEX('Surface DEET'!$Q$9:$W$38,COLUMN(O285)-COLUMN($E$5),4)&gt;0,INDEX('Surface DEET'!$Q$9:$W$38,COLUMN(O285)-COLUMN($E$5),4),0),0)</f>
        <v>0</v>
      </c>
      <c r="P292" s="281">
        <f>IF(P$6=$C292,IF(INDEX('Surface DEET'!$Q$9:$W$38,COLUMN(P285)-COLUMN($E$5),4)&gt;0,INDEX('Surface DEET'!$Q$9:$W$38,COLUMN(P285)-COLUMN($E$5),4),0),0)</f>
        <v>0</v>
      </c>
      <c r="Q292" s="281">
        <f>IF(Q$6=$C292,IF(INDEX('Surface DEET'!$Q$9:$W$38,COLUMN(Q285)-COLUMN($E$5),4)&gt;0,INDEX('Surface DEET'!$Q$9:$W$38,COLUMN(Q285)-COLUMN($E$5),4),0),0)</f>
        <v>0</v>
      </c>
      <c r="R292" s="281">
        <f>IF(R$6=$C292,IF(INDEX('Surface DEET'!$Q$9:$W$38,COLUMN(R285)-COLUMN($E$5),4)&gt;0,INDEX('Surface DEET'!$Q$9:$W$38,COLUMN(R285)-COLUMN($E$5),4),0),0)</f>
        <v>0</v>
      </c>
      <c r="S292" s="281">
        <f>IF(S$6=$C292,IF(INDEX('Surface DEET'!$Q$9:$W$38,COLUMN(S285)-COLUMN($E$5),4)&gt;0,INDEX('Surface DEET'!$Q$9:$W$38,COLUMN(S285)-COLUMN($E$5),4),0),0)</f>
        <v>0</v>
      </c>
      <c r="T292" s="281">
        <f>IF(T$6=$C292,IF(INDEX('Surface DEET'!$Q$9:$W$38,COLUMN(T285)-COLUMN($E$5),4)&gt;0,INDEX('Surface DEET'!$Q$9:$W$38,COLUMN(T285)-COLUMN($E$5),4),0),0)</f>
        <v>0</v>
      </c>
      <c r="U292" s="281">
        <f>IF(U$6=$C292,IF(INDEX('Surface DEET'!$Q$9:$W$38,COLUMN(U285)-COLUMN($E$5),4)&gt;0,INDEX('Surface DEET'!$Q$9:$W$38,COLUMN(U285)-COLUMN($E$5),4),0),0)</f>
        <v>0</v>
      </c>
      <c r="V292" s="281">
        <f>IF(V$6=$C292,IF(INDEX('Surface DEET'!$Q$9:$W$38,COLUMN(V285)-COLUMN($E$5),4)&gt;0,INDEX('Surface DEET'!$Q$9:$W$38,COLUMN(V285)-COLUMN($E$5),4),0),0)</f>
        <v>0</v>
      </c>
      <c r="W292" s="281">
        <f>IF(W$6=$C292,IF(INDEX('Surface DEET'!$Q$9:$W$38,COLUMN(W285)-COLUMN($E$5),4)&gt;0,INDEX('Surface DEET'!$Q$9:$W$38,COLUMN(W285)-COLUMN($E$5),4),0),0)</f>
        <v>0</v>
      </c>
      <c r="X292" s="281">
        <f>IF(X$6=$C292,IF(INDEX('Surface DEET'!$Q$9:$W$38,COLUMN(X285)-COLUMN($E$5),4)&gt;0,INDEX('Surface DEET'!$Q$9:$W$38,COLUMN(X285)-COLUMN($E$5),4),0),0)</f>
        <v>0</v>
      </c>
      <c r="Y292" s="281">
        <f>IF(Y$6=$C292,IF(INDEX('Surface DEET'!$Q$9:$W$38,COLUMN(Y285)-COLUMN($E$5),4)&gt;0,INDEX('Surface DEET'!$Q$9:$W$38,COLUMN(Y285)-COLUMN($E$5),4),0),0)</f>
        <v>0</v>
      </c>
      <c r="Z292" s="281">
        <f>IF(Z$6=$C292,IF(INDEX('Surface DEET'!$Q$9:$W$38,COLUMN(Z285)-COLUMN($E$5),4)&gt;0,INDEX('Surface DEET'!$Q$9:$W$38,COLUMN(Z285)-COLUMN($E$5),4),0),0)</f>
        <v>0</v>
      </c>
      <c r="AA292" s="281">
        <f>IF(AA$6=$C292,IF(INDEX('Surface DEET'!$Q$9:$W$38,COLUMN(AA285)-COLUMN($E$5),4)&gt;0,INDEX('Surface DEET'!$Q$9:$W$38,COLUMN(AA285)-COLUMN($E$5),4),0),0)</f>
        <v>0</v>
      </c>
      <c r="AB292" s="281">
        <f>IF(AB$6=$C292,IF(INDEX('Surface DEET'!$Q$9:$W$38,COLUMN(AB285)-COLUMN($E$5),4)&gt;0,INDEX('Surface DEET'!$Q$9:$W$38,COLUMN(AB285)-COLUMN($E$5),4),0),0)</f>
        <v>0</v>
      </c>
      <c r="AC292" s="281">
        <f>IF(AC$6=$C292,IF(INDEX('Surface DEET'!$Q$9:$W$38,COLUMN(AC285)-COLUMN($E$5),4)&gt;0,INDEX('Surface DEET'!$Q$9:$W$38,COLUMN(AC285)-COLUMN($E$5),4),0),0)</f>
        <v>0</v>
      </c>
      <c r="AD292" s="281">
        <f>IF(AD$6=$C292,IF(INDEX('Surface DEET'!$Q$9:$W$38,COLUMN(AD285)-COLUMN($E$5),4)&gt;0,INDEX('Surface DEET'!$Q$9:$W$38,COLUMN(AD285)-COLUMN($E$5),4),0),0)</f>
        <v>0</v>
      </c>
      <c r="AE292" s="281">
        <f>IF(AE$6=$C292,IF(INDEX('Surface DEET'!$Q$9:$W$38,COLUMN(AE285)-COLUMN($E$5),4)&gt;0,INDEX('Surface DEET'!$Q$9:$W$38,COLUMN(AE285)-COLUMN($E$5),4),0),0)</f>
        <v>0</v>
      </c>
      <c r="AF292" s="281">
        <f>IF(AF$6=$C292,IF(INDEX('Surface DEET'!$Q$9:$W$38,COLUMN(AF285)-COLUMN($E$5),4)&gt;0,INDEX('Surface DEET'!$Q$9:$W$38,COLUMN(AF285)-COLUMN($E$5),4),0),0)</f>
        <v>0</v>
      </c>
      <c r="AG292" s="281">
        <f>IF(AG$6=$C292,IF(INDEX('Surface DEET'!$Q$9:$W$38,COLUMN(AG285)-COLUMN($E$5),4)&gt;0,INDEX('Surface DEET'!$Q$9:$W$38,COLUMN(AG285)-COLUMN($E$5),4),0),0)</f>
        <v>0</v>
      </c>
      <c r="AH292" s="281">
        <f>IF(AH$6=$C292,IF(INDEX('Surface DEET'!$Q$9:$W$38,COLUMN(AH285)-COLUMN($E$5),4)&gt;0,INDEX('Surface DEET'!$Q$9:$W$38,COLUMN(AH285)-COLUMN($E$5),4),0),0)</f>
        <v>0</v>
      </c>
      <c r="AI292" s="281">
        <f>IF(AI$6=$C292,IF(INDEX('Surface DEET'!$Q$9:$W$38,COLUMN(AI285)-COLUMN($E$5),4)&gt;0,INDEX('Surface DEET'!$Q$9:$W$38,COLUMN(AI285)-COLUMN($E$5),4),0),0)</f>
        <v>0</v>
      </c>
    </row>
    <row r="293" spans="2:35">
      <c r="B293" s="281" t="s">
        <v>548</v>
      </c>
      <c r="C293" s="281" t="s">
        <v>666</v>
      </c>
    </row>
    <row r="294" spans="2:35">
      <c r="B294" s="281" t="s">
        <v>538</v>
      </c>
      <c r="C294" s="281" t="s">
        <v>666</v>
      </c>
      <c r="D294" s="281" t="s">
        <v>538</v>
      </c>
      <c r="F294" s="281">
        <f>$E$288*(1+2*F291/$E$291+F292/$E$292)</f>
        <v>20</v>
      </c>
      <c r="G294" s="281">
        <f t="shared" ref="G294:AI294" si="35">$E$288*(1+2*G291/$E$291+G292/$E$292)</f>
        <v>20</v>
      </c>
      <c r="H294" s="281">
        <f t="shared" si="35"/>
        <v>20</v>
      </c>
      <c r="I294" s="281">
        <f t="shared" si="35"/>
        <v>20</v>
      </c>
      <c r="J294" s="281">
        <f t="shared" si="35"/>
        <v>20</v>
      </c>
      <c r="K294" s="281">
        <f t="shared" si="35"/>
        <v>20</v>
      </c>
      <c r="L294" s="281">
        <f t="shared" si="35"/>
        <v>20</v>
      </c>
      <c r="M294" s="281">
        <f t="shared" si="35"/>
        <v>20</v>
      </c>
      <c r="N294" s="281">
        <f t="shared" si="35"/>
        <v>20</v>
      </c>
      <c r="O294" s="281">
        <f t="shared" si="35"/>
        <v>20</v>
      </c>
      <c r="P294" s="281">
        <f t="shared" si="35"/>
        <v>20</v>
      </c>
      <c r="Q294" s="281">
        <f t="shared" si="35"/>
        <v>20</v>
      </c>
      <c r="R294" s="281">
        <f t="shared" si="35"/>
        <v>20</v>
      </c>
      <c r="S294" s="281">
        <f t="shared" si="35"/>
        <v>20</v>
      </c>
      <c r="T294" s="281">
        <f t="shared" si="35"/>
        <v>20</v>
      </c>
      <c r="U294" s="281">
        <f t="shared" si="35"/>
        <v>20</v>
      </c>
      <c r="V294" s="281">
        <f t="shared" si="35"/>
        <v>20</v>
      </c>
      <c r="W294" s="281">
        <f t="shared" si="35"/>
        <v>20</v>
      </c>
      <c r="X294" s="281">
        <f t="shared" si="35"/>
        <v>20</v>
      </c>
      <c r="Y294" s="281">
        <f t="shared" si="35"/>
        <v>20</v>
      </c>
      <c r="Z294" s="281">
        <f t="shared" si="35"/>
        <v>20</v>
      </c>
      <c r="AA294" s="281">
        <f t="shared" si="35"/>
        <v>20</v>
      </c>
      <c r="AB294" s="281">
        <f t="shared" si="35"/>
        <v>20</v>
      </c>
      <c r="AC294" s="281">
        <f t="shared" si="35"/>
        <v>20</v>
      </c>
      <c r="AD294" s="281">
        <f t="shared" si="35"/>
        <v>20</v>
      </c>
      <c r="AE294" s="281">
        <f t="shared" si="35"/>
        <v>20</v>
      </c>
      <c r="AF294" s="281">
        <f t="shared" si="35"/>
        <v>20</v>
      </c>
      <c r="AG294" s="281">
        <f t="shared" si="35"/>
        <v>20</v>
      </c>
      <c r="AH294" s="281">
        <f t="shared" si="35"/>
        <v>20</v>
      </c>
      <c r="AI294" s="281">
        <f t="shared" si="35"/>
        <v>20</v>
      </c>
    </row>
    <row r="295" spans="2:35">
      <c r="B295" s="92" t="s">
        <v>298</v>
      </c>
      <c r="C295" s="281" t="s">
        <v>667</v>
      </c>
      <c r="D295" s="92" t="s">
        <v>298</v>
      </c>
      <c r="E295" s="281">
        <f t="array" ref="E295">INDEX(CABS_CVC!$C$3:$O$894,MATCH(1, (CABS_CVC!$A$3:$A$894=Calculs_CABS!C295)*(CABS_CVC!$B$3:$B$894=Calculs_CABS!$D$2),0),MATCH(Calculs_CABS!$D$1,Liste_CABS!$B$3:$B$15,0))</f>
        <v>60</v>
      </c>
    </row>
    <row r="296" spans="2:35">
      <c r="B296" s="281" t="s">
        <v>539</v>
      </c>
      <c r="C296" s="281" t="s">
        <v>667</v>
      </c>
      <c r="D296" s="281" t="s">
        <v>539</v>
      </c>
      <c r="E296" s="281">
        <v>15</v>
      </c>
    </row>
    <row r="297" spans="2:35">
      <c r="B297" s="281" t="s">
        <v>540</v>
      </c>
      <c r="C297" s="281" t="s">
        <v>667</v>
      </c>
      <c r="D297" s="281" t="s">
        <v>540</v>
      </c>
      <c r="E297" s="281">
        <f>E295+E296</f>
        <v>75</v>
      </c>
    </row>
    <row r="298" spans="2:35">
      <c r="B298" s="281" t="s">
        <v>541</v>
      </c>
      <c r="C298" s="281" t="s">
        <v>667</v>
      </c>
      <c r="D298" s="281" t="s">
        <v>541</v>
      </c>
      <c r="E298" s="281">
        <v>0</v>
      </c>
    </row>
    <row r="299" spans="2:35">
      <c r="B299" s="281" t="s">
        <v>542</v>
      </c>
      <c r="C299" s="281" t="s">
        <v>667</v>
      </c>
      <c r="D299" s="281" t="s">
        <v>664</v>
      </c>
      <c r="E299" s="281">
        <v>1900</v>
      </c>
      <c r="F299" s="281">
        <f>IF(F$6=$C299,IF(INDEX('Surface DEET'!$Q$9:$W$38,COLUMN(F292)-COLUMN($E$5),1)&gt;0,INDEX('Surface DEET'!$Q$9:$W$38,COLUMN(F292)-COLUMN($E$5),1),0),0)</f>
        <v>0</v>
      </c>
      <c r="G299" s="281">
        <f>IF(G$6=$C299,IF(INDEX('Surface DEET'!$Q$9:$W$38,COLUMN(G292)-COLUMN($E$5),1)&gt;0,INDEX('Surface DEET'!$Q$9:$W$38,COLUMN(G292)-COLUMN($E$5),1),0),0)</f>
        <v>0</v>
      </c>
      <c r="H299" s="281">
        <f>IF(H$6=$C299,IF(INDEX('Surface DEET'!$Q$9:$W$38,COLUMN(H292)-COLUMN($E$5),1)&gt;0,INDEX('Surface DEET'!$Q$9:$W$38,COLUMN(H292)-COLUMN($E$5),1),0),0)</f>
        <v>0</v>
      </c>
      <c r="I299" s="281">
        <f>IF(I$6=$C299,IF(INDEX('Surface DEET'!$Q$9:$W$38,COLUMN(I292)-COLUMN($E$5),1)&gt;0,INDEX('Surface DEET'!$Q$9:$W$38,COLUMN(I292)-COLUMN($E$5),1),0),0)</f>
        <v>0</v>
      </c>
      <c r="J299" s="281">
        <f>IF(J$6=$C299,IF(INDEX('Surface DEET'!$Q$9:$W$38,COLUMN(J292)-COLUMN($E$5),1)&gt;0,INDEX('Surface DEET'!$Q$9:$W$38,COLUMN(J292)-COLUMN($E$5),1),0),0)</f>
        <v>0</v>
      </c>
      <c r="K299" s="281">
        <f>IF(K$6=$C299,IF(INDEX('Surface DEET'!$Q$9:$W$38,COLUMN(K292)-COLUMN($E$5),1)&gt;0,INDEX('Surface DEET'!$Q$9:$W$38,COLUMN(K292)-COLUMN($E$5),1),0),0)</f>
        <v>0</v>
      </c>
      <c r="L299" s="281">
        <f>IF(L$6=$C299,IF(INDEX('Surface DEET'!$Q$9:$W$38,COLUMN(L292)-COLUMN($E$5),1)&gt;0,INDEX('Surface DEET'!$Q$9:$W$38,COLUMN(L292)-COLUMN($E$5),1),0),0)</f>
        <v>0</v>
      </c>
      <c r="M299" s="281">
        <f>IF(M$6=$C299,IF(INDEX('Surface DEET'!$Q$9:$W$38,COLUMN(M292)-COLUMN($E$5),1)&gt;0,INDEX('Surface DEET'!$Q$9:$W$38,COLUMN(M292)-COLUMN($E$5),1),0),0)</f>
        <v>0</v>
      </c>
      <c r="N299" s="281">
        <f>IF(N$6=$C299,IF(INDEX('Surface DEET'!$Q$9:$W$38,COLUMN(N292)-COLUMN($E$5),1)&gt;0,INDEX('Surface DEET'!$Q$9:$W$38,COLUMN(N292)-COLUMN($E$5),1),0),0)</f>
        <v>0</v>
      </c>
      <c r="O299" s="281">
        <f>IF(O$6=$C299,IF(INDEX('Surface DEET'!$Q$9:$W$38,COLUMN(O292)-COLUMN($E$5),1)&gt;0,INDEX('Surface DEET'!$Q$9:$W$38,COLUMN(O292)-COLUMN($E$5),1),0),0)</f>
        <v>0</v>
      </c>
      <c r="P299" s="281">
        <f>IF(P$6=$C299,IF(INDEX('Surface DEET'!$Q$9:$W$38,COLUMN(P292)-COLUMN($E$5),1)&gt;0,INDEX('Surface DEET'!$Q$9:$W$38,COLUMN(P292)-COLUMN($E$5),1),0),0)</f>
        <v>0</v>
      </c>
      <c r="Q299" s="281">
        <f>IF(Q$6=$C299,IF(INDEX('Surface DEET'!$Q$9:$W$38,COLUMN(Q292)-COLUMN($E$5),1)&gt;0,INDEX('Surface DEET'!$Q$9:$W$38,COLUMN(Q292)-COLUMN($E$5),1),0),0)</f>
        <v>0</v>
      </c>
      <c r="R299" s="281">
        <f>IF(R$6=$C299,IF(INDEX('Surface DEET'!$Q$9:$W$38,COLUMN(R292)-COLUMN($E$5),1)&gt;0,INDEX('Surface DEET'!$Q$9:$W$38,COLUMN(R292)-COLUMN($E$5),1),0),0)</f>
        <v>0</v>
      </c>
      <c r="S299" s="281">
        <f>IF(S$6=$C299,IF(INDEX('Surface DEET'!$Q$9:$W$38,COLUMN(S292)-COLUMN($E$5),1)&gt;0,INDEX('Surface DEET'!$Q$9:$W$38,COLUMN(S292)-COLUMN($E$5),1),0),0)</f>
        <v>0</v>
      </c>
      <c r="T299" s="281">
        <f>IF(T$6=$C299,IF(INDEX('Surface DEET'!$Q$9:$W$38,COLUMN(T292)-COLUMN($E$5),1)&gt;0,INDEX('Surface DEET'!$Q$9:$W$38,COLUMN(T292)-COLUMN($E$5),1),0),0)</f>
        <v>0</v>
      </c>
      <c r="U299" s="281">
        <f>IF(U$6=$C299,IF(INDEX('Surface DEET'!$Q$9:$W$38,COLUMN(U292)-COLUMN($E$5),1)&gt;0,INDEX('Surface DEET'!$Q$9:$W$38,COLUMN(U292)-COLUMN($E$5),1),0),0)</f>
        <v>0</v>
      </c>
      <c r="V299" s="281">
        <f>IF(V$6=$C299,IF(INDEX('Surface DEET'!$Q$9:$W$38,COLUMN(V292)-COLUMN($E$5),1)&gt;0,INDEX('Surface DEET'!$Q$9:$W$38,COLUMN(V292)-COLUMN($E$5),1),0),0)</f>
        <v>0</v>
      </c>
      <c r="W299" s="281">
        <f>IF(W$6=$C299,IF(INDEX('Surface DEET'!$Q$9:$W$38,COLUMN(W292)-COLUMN($E$5),1)&gt;0,INDEX('Surface DEET'!$Q$9:$W$38,COLUMN(W292)-COLUMN($E$5),1),0),0)</f>
        <v>0</v>
      </c>
      <c r="X299" s="281">
        <f>IF(X$6=$C299,IF(INDEX('Surface DEET'!$Q$9:$W$38,COLUMN(X292)-COLUMN($E$5),1)&gt;0,INDEX('Surface DEET'!$Q$9:$W$38,COLUMN(X292)-COLUMN($E$5),1),0),0)</f>
        <v>0</v>
      </c>
      <c r="Y299" s="281">
        <f>IF(Y$6=$C299,IF(INDEX('Surface DEET'!$Q$9:$W$38,COLUMN(Y292)-COLUMN($E$5),1)&gt;0,INDEX('Surface DEET'!$Q$9:$W$38,COLUMN(Y292)-COLUMN($E$5),1),0),0)</f>
        <v>0</v>
      </c>
      <c r="Z299" s="281">
        <f>IF(Z$6=$C299,IF(INDEX('Surface DEET'!$Q$9:$W$38,COLUMN(Z292)-COLUMN($E$5),1)&gt;0,INDEX('Surface DEET'!$Q$9:$W$38,COLUMN(Z292)-COLUMN($E$5),1),0),0)</f>
        <v>0</v>
      </c>
      <c r="AA299" s="281">
        <f>IF(AA$6=$C299,IF(INDEX('Surface DEET'!$Q$9:$W$38,COLUMN(AA292)-COLUMN($E$5),1)&gt;0,INDEX('Surface DEET'!$Q$9:$W$38,COLUMN(AA292)-COLUMN($E$5),1),0),0)</f>
        <v>0</v>
      </c>
      <c r="AB299" s="281">
        <f>IF(AB$6=$C299,IF(INDEX('Surface DEET'!$Q$9:$W$38,COLUMN(AB292)-COLUMN($E$5),1)&gt;0,INDEX('Surface DEET'!$Q$9:$W$38,COLUMN(AB292)-COLUMN($E$5),1),0),0)</f>
        <v>0</v>
      </c>
      <c r="AC299" s="281">
        <f>IF(AC$6=$C299,IF(INDEX('Surface DEET'!$Q$9:$W$38,COLUMN(AC292)-COLUMN($E$5),1)&gt;0,INDEX('Surface DEET'!$Q$9:$W$38,COLUMN(AC292)-COLUMN($E$5),1),0),0)</f>
        <v>0</v>
      </c>
      <c r="AD299" s="281">
        <f>IF(AD$6=$C299,IF(INDEX('Surface DEET'!$Q$9:$W$38,COLUMN(AD292)-COLUMN($E$5),1)&gt;0,INDEX('Surface DEET'!$Q$9:$W$38,COLUMN(AD292)-COLUMN($E$5),1),0),0)</f>
        <v>0</v>
      </c>
      <c r="AE299" s="281">
        <f>IF(AE$6=$C299,IF(INDEX('Surface DEET'!$Q$9:$W$38,COLUMN(AE292)-COLUMN($E$5),1)&gt;0,INDEX('Surface DEET'!$Q$9:$W$38,COLUMN(AE292)-COLUMN($E$5),1),0),0)</f>
        <v>0</v>
      </c>
      <c r="AF299" s="281">
        <f>IF(AF$6=$C299,IF(INDEX('Surface DEET'!$Q$9:$W$38,COLUMN(AF292)-COLUMN($E$5),1)&gt;0,INDEX('Surface DEET'!$Q$9:$W$38,COLUMN(AF292)-COLUMN($E$5),1),0),0)</f>
        <v>0</v>
      </c>
      <c r="AG299" s="281">
        <f>IF(AG$6=$C299,IF(INDEX('Surface DEET'!$Q$9:$W$38,COLUMN(AG292)-COLUMN($E$5),1)&gt;0,INDEX('Surface DEET'!$Q$9:$W$38,COLUMN(AG292)-COLUMN($E$5),1),0),0)</f>
        <v>0</v>
      </c>
      <c r="AH299" s="281">
        <f>IF(AH$6=$C299,IF(INDEX('Surface DEET'!$Q$9:$W$38,COLUMN(AH292)-COLUMN($E$5),1)&gt;0,INDEX('Surface DEET'!$Q$9:$W$38,COLUMN(AH292)-COLUMN($E$5),1),0),0)</f>
        <v>0</v>
      </c>
      <c r="AI299" s="281">
        <f>IF(AI$6=$C299,IF(INDEX('Surface DEET'!$Q$9:$W$38,COLUMN(AI292)-COLUMN($E$5),1)&gt;0,INDEX('Surface DEET'!$Q$9:$W$38,COLUMN(AI292)-COLUMN($E$5),1),0),0)</f>
        <v>0</v>
      </c>
    </row>
    <row r="300" spans="2:35">
      <c r="B300" s="281" t="s">
        <v>545</v>
      </c>
      <c r="C300" s="281" t="s">
        <v>667</v>
      </c>
      <c r="D300" s="281" t="s">
        <v>665</v>
      </c>
      <c r="E300" s="281">
        <v>1900</v>
      </c>
      <c r="F300" s="281">
        <f>IF(F$6=$C300,IF(INDEX('Surface DEET'!$Q$9:$W$38,COLUMN(F293)-COLUMN($E$5),4)&gt;0,INDEX('Surface DEET'!$Q$9:$W$38,COLUMN(F293)-COLUMN($E$5),4),0),0)</f>
        <v>0</v>
      </c>
      <c r="G300" s="281">
        <f>IF(G$6=$C300,IF(INDEX('Surface DEET'!$Q$9:$W$38,COLUMN(G293)-COLUMN($E$5),4)&gt;0,INDEX('Surface DEET'!$Q$9:$W$38,COLUMN(G293)-COLUMN($E$5),4),0),0)</f>
        <v>0</v>
      </c>
      <c r="H300" s="281">
        <f>IF(H$6=$C300,IF(INDEX('Surface DEET'!$Q$9:$W$38,COLUMN(H293)-COLUMN($E$5),4)&gt;0,INDEX('Surface DEET'!$Q$9:$W$38,COLUMN(H293)-COLUMN($E$5),4),0),0)</f>
        <v>0</v>
      </c>
      <c r="I300" s="281">
        <f>IF(I$6=$C300,IF(INDEX('Surface DEET'!$Q$9:$W$38,COLUMN(I293)-COLUMN($E$5),4)&gt;0,INDEX('Surface DEET'!$Q$9:$W$38,COLUMN(I293)-COLUMN($E$5),4),0),0)</f>
        <v>0</v>
      </c>
      <c r="J300" s="281">
        <f>IF(J$6=$C300,IF(INDEX('Surface DEET'!$Q$9:$W$38,COLUMN(J293)-COLUMN($E$5),4)&gt;0,INDEX('Surface DEET'!$Q$9:$W$38,COLUMN(J293)-COLUMN($E$5),4),0),0)</f>
        <v>0</v>
      </c>
      <c r="K300" s="281">
        <f>IF(K$6=$C300,IF(INDEX('Surface DEET'!$Q$9:$W$38,COLUMN(K293)-COLUMN($E$5),4)&gt;0,INDEX('Surface DEET'!$Q$9:$W$38,COLUMN(K293)-COLUMN($E$5),4),0),0)</f>
        <v>0</v>
      </c>
      <c r="L300" s="281">
        <f>IF(L$6=$C300,IF(INDEX('Surface DEET'!$Q$9:$W$38,COLUMN(L293)-COLUMN($E$5),4)&gt;0,INDEX('Surface DEET'!$Q$9:$W$38,COLUMN(L293)-COLUMN($E$5),4),0),0)</f>
        <v>0</v>
      </c>
      <c r="M300" s="281">
        <f>IF(M$6=$C300,IF(INDEX('Surface DEET'!$Q$9:$W$38,COLUMN(M293)-COLUMN($E$5),4)&gt;0,INDEX('Surface DEET'!$Q$9:$W$38,COLUMN(M293)-COLUMN($E$5),4),0),0)</f>
        <v>0</v>
      </c>
      <c r="N300" s="281">
        <f>IF(N$6=$C300,IF(INDEX('Surface DEET'!$Q$9:$W$38,COLUMN(N293)-COLUMN($E$5),4)&gt;0,INDEX('Surface DEET'!$Q$9:$W$38,COLUMN(N293)-COLUMN($E$5),4),0),0)</f>
        <v>0</v>
      </c>
      <c r="O300" s="281">
        <f>IF(O$6=$C300,IF(INDEX('Surface DEET'!$Q$9:$W$38,COLUMN(O293)-COLUMN($E$5),4)&gt;0,INDEX('Surface DEET'!$Q$9:$W$38,COLUMN(O293)-COLUMN($E$5),4),0),0)</f>
        <v>0</v>
      </c>
      <c r="P300" s="281">
        <f>IF(P$6=$C300,IF(INDEX('Surface DEET'!$Q$9:$W$38,COLUMN(P293)-COLUMN($E$5),4)&gt;0,INDEX('Surface DEET'!$Q$9:$W$38,COLUMN(P293)-COLUMN($E$5),4),0),0)</f>
        <v>0</v>
      </c>
      <c r="Q300" s="281">
        <f>IF(Q$6=$C300,IF(INDEX('Surface DEET'!$Q$9:$W$38,COLUMN(Q293)-COLUMN($E$5),4)&gt;0,INDEX('Surface DEET'!$Q$9:$W$38,COLUMN(Q293)-COLUMN($E$5),4),0),0)</f>
        <v>0</v>
      </c>
      <c r="R300" s="281">
        <f>IF(R$6=$C300,IF(INDEX('Surface DEET'!$Q$9:$W$38,COLUMN(R293)-COLUMN($E$5),4)&gt;0,INDEX('Surface DEET'!$Q$9:$W$38,COLUMN(R293)-COLUMN($E$5),4),0),0)</f>
        <v>0</v>
      </c>
      <c r="S300" s="281">
        <f>IF(S$6=$C300,IF(INDEX('Surface DEET'!$Q$9:$W$38,COLUMN(S293)-COLUMN($E$5),4)&gt;0,INDEX('Surface DEET'!$Q$9:$W$38,COLUMN(S293)-COLUMN($E$5),4),0),0)</f>
        <v>0</v>
      </c>
      <c r="T300" s="281">
        <f>IF(T$6=$C300,IF(INDEX('Surface DEET'!$Q$9:$W$38,COLUMN(T293)-COLUMN($E$5),4)&gt;0,INDEX('Surface DEET'!$Q$9:$W$38,COLUMN(T293)-COLUMN($E$5),4),0),0)</f>
        <v>0</v>
      </c>
      <c r="U300" s="281">
        <f>IF(U$6=$C300,IF(INDEX('Surface DEET'!$Q$9:$W$38,COLUMN(U293)-COLUMN($E$5),4)&gt;0,INDEX('Surface DEET'!$Q$9:$W$38,COLUMN(U293)-COLUMN($E$5),4),0),0)</f>
        <v>0</v>
      </c>
      <c r="V300" s="281">
        <f>IF(V$6=$C300,IF(INDEX('Surface DEET'!$Q$9:$W$38,COLUMN(V293)-COLUMN($E$5),4)&gt;0,INDEX('Surface DEET'!$Q$9:$W$38,COLUMN(V293)-COLUMN($E$5),4),0),0)</f>
        <v>0</v>
      </c>
      <c r="W300" s="281">
        <f>IF(W$6=$C300,IF(INDEX('Surface DEET'!$Q$9:$W$38,COLUMN(W293)-COLUMN($E$5),4)&gt;0,INDEX('Surface DEET'!$Q$9:$W$38,COLUMN(W293)-COLUMN($E$5),4),0),0)</f>
        <v>0</v>
      </c>
      <c r="X300" s="281">
        <f>IF(X$6=$C300,IF(INDEX('Surface DEET'!$Q$9:$W$38,COLUMN(X293)-COLUMN($E$5),4)&gt;0,INDEX('Surface DEET'!$Q$9:$W$38,COLUMN(X293)-COLUMN($E$5),4),0),0)</f>
        <v>0</v>
      </c>
      <c r="Y300" s="281">
        <f>IF(Y$6=$C300,IF(INDEX('Surface DEET'!$Q$9:$W$38,COLUMN(Y293)-COLUMN($E$5),4)&gt;0,INDEX('Surface DEET'!$Q$9:$W$38,COLUMN(Y293)-COLUMN($E$5),4),0),0)</f>
        <v>0</v>
      </c>
      <c r="Z300" s="281">
        <f>IF(Z$6=$C300,IF(INDEX('Surface DEET'!$Q$9:$W$38,COLUMN(Z293)-COLUMN($E$5),4)&gt;0,INDEX('Surface DEET'!$Q$9:$W$38,COLUMN(Z293)-COLUMN($E$5),4),0),0)</f>
        <v>0</v>
      </c>
      <c r="AA300" s="281">
        <f>IF(AA$6=$C300,IF(INDEX('Surface DEET'!$Q$9:$W$38,COLUMN(AA293)-COLUMN($E$5),4)&gt;0,INDEX('Surface DEET'!$Q$9:$W$38,COLUMN(AA293)-COLUMN($E$5),4),0),0)</f>
        <v>0</v>
      </c>
      <c r="AB300" s="281">
        <f>IF(AB$6=$C300,IF(INDEX('Surface DEET'!$Q$9:$W$38,COLUMN(AB293)-COLUMN($E$5),4)&gt;0,INDEX('Surface DEET'!$Q$9:$W$38,COLUMN(AB293)-COLUMN($E$5),4),0),0)</f>
        <v>0</v>
      </c>
      <c r="AC300" s="281">
        <f>IF(AC$6=$C300,IF(INDEX('Surface DEET'!$Q$9:$W$38,COLUMN(AC293)-COLUMN($E$5),4)&gt;0,INDEX('Surface DEET'!$Q$9:$W$38,COLUMN(AC293)-COLUMN($E$5),4),0),0)</f>
        <v>0</v>
      </c>
      <c r="AD300" s="281">
        <f>IF(AD$6=$C300,IF(INDEX('Surface DEET'!$Q$9:$W$38,COLUMN(AD293)-COLUMN($E$5),4)&gt;0,INDEX('Surface DEET'!$Q$9:$W$38,COLUMN(AD293)-COLUMN($E$5),4),0),0)</f>
        <v>0</v>
      </c>
      <c r="AE300" s="281">
        <f>IF(AE$6=$C300,IF(INDEX('Surface DEET'!$Q$9:$W$38,COLUMN(AE293)-COLUMN($E$5),4)&gt;0,INDEX('Surface DEET'!$Q$9:$W$38,COLUMN(AE293)-COLUMN($E$5),4),0),0)</f>
        <v>0</v>
      </c>
      <c r="AF300" s="281">
        <f>IF(AF$6=$C300,IF(INDEX('Surface DEET'!$Q$9:$W$38,COLUMN(AF293)-COLUMN($E$5),4)&gt;0,INDEX('Surface DEET'!$Q$9:$W$38,COLUMN(AF293)-COLUMN($E$5),4),0),0)</f>
        <v>0</v>
      </c>
      <c r="AG300" s="281">
        <f>IF(AG$6=$C300,IF(INDEX('Surface DEET'!$Q$9:$W$38,COLUMN(AG293)-COLUMN($E$5),4)&gt;0,INDEX('Surface DEET'!$Q$9:$W$38,COLUMN(AG293)-COLUMN($E$5),4),0),0)</f>
        <v>0</v>
      </c>
      <c r="AH300" s="281">
        <f>IF(AH$6=$C300,IF(INDEX('Surface DEET'!$Q$9:$W$38,COLUMN(AH293)-COLUMN($E$5),4)&gt;0,INDEX('Surface DEET'!$Q$9:$W$38,COLUMN(AH293)-COLUMN($E$5),4),0),0)</f>
        <v>0</v>
      </c>
      <c r="AI300" s="281">
        <f>IF(AI$6=$C300,IF(INDEX('Surface DEET'!$Q$9:$W$38,COLUMN(AI293)-COLUMN($E$5),4)&gt;0,INDEX('Surface DEET'!$Q$9:$W$38,COLUMN(AI293)-COLUMN($E$5),4),0),0)</f>
        <v>0</v>
      </c>
    </row>
    <row r="301" spans="2:35">
      <c r="B301" s="281" t="s">
        <v>548</v>
      </c>
      <c r="C301" s="281" t="s">
        <v>667</v>
      </c>
    </row>
    <row r="302" spans="2:35">
      <c r="B302" s="281" t="s">
        <v>538</v>
      </c>
      <c r="C302" s="281" t="s">
        <v>667</v>
      </c>
      <c r="D302" s="281" t="s">
        <v>538</v>
      </c>
      <c r="F302" s="281">
        <f>$E$296*(1+2*F299/$E$299+F300/$E$300)</f>
        <v>15</v>
      </c>
      <c r="G302" s="281">
        <f t="shared" ref="G302:AI302" si="36">$E$296*(1+2*G299/$E$299+G300/$E$300)</f>
        <v>15</v>
      </c>
      <c r="H302" s="281">
        <f t="shared" si="36"/>
        <v>15</v>
      </c>
      <c r="I302" s="281">
        <f t="shared" si="36"/>
        <v>15</v>
      </c>
      <c r="J302" s="281">
        <f t="shared" si="36"/>
        <v>15</v>
      </c>
      <c r="K302" s="281">
        <f t="shared" si="36"/>
        <v>15</v>
      </c>
      <c r="L302" s="281">
        <f t="shared" si="36"/>
        <v>15</v>
      </c>
      <c r="M302" s="281">
        <f t="shared" si="36"/>
        <v>15</v>
      </c>
      <c r="N302" s="281">
        <f t="shared" si="36"/>
        <v>15</v>
      </c>
      <c r="O302" s="281">
        <f t="shared" si="36"/>
        <v>15</v>
      </c>
      <c r="P302" s="281">
        <f t="shared" si="36"/>
        <v>15</v>
      </c>
      <c r="Q302" s="281">
        <f t="shared" si="36"/>
        <v>15</v>
      </c>
      <c r="R302" s="281">
        <f t="shared" si="36"/>
        <v>15</v>
      </c>
      <c r="S302" s="281">
        <f t="shared" si="36"/>
        <v>15</v>
      </c>
      <c r="T302" s="281">
        <f t="shared" si="36"/>
        <v>15</v>
      </c>
      <c r="U302" s="281">
        <f t="shared" si="36"/>
        <v>15</v>
      </c>
      <c r="V302" s="281">
        <f t="shared" si="36"/>
        <v>15</v>
      </c>
      <c r="W302" s="281">
        <f t="shared" si="36"/>
        <v>15</v>
      </c>
      <c r="X302" s="281">
        <f t="shared" si="36"/>
        <v>15</v>
      </c>
      <c r="Y302" s="281">
        <f t="shared" si="36"/>
        <v>15</v>
      </c>
      <c r="Z302" s="281">
        <f t="shared" si="36"/>
        <v>15</v>
      </c>
      <c r="AA302" s="281">
        <f t="shared" si="36"/>
        <v>15</v>
      </c>
      <c r="AB302" s="281">
        <f t="shared" si="36"/>
        <v>15</v>
      </c>
      <c r="AC302" s="281">
        <f t="shared" si="36"/>
        <v>15</v>
      </c>
      <c r="AD302" s="281">
        <f t="shared" si="36"/>
        <v>15</v>
      </c>
      <c r="AE302" s="281">
        <f t="shared" si="36"/>
        <v>15</v>
      </c>
      <c r="AF302" s="281">
        <f t="shared" si="36"/>
        <v>15</v>
      </c>
      <c r="AG302" s="281">
        <f t="shared" si="36"/>
        <v>15</v>
      </c>
      <c r="AH302" s="281">
        <f t="shared" si="36"/>
        <v>15</v>
      </c>
      <c r="AI302" s="281">
        <f t="shared" si="36"/>
        <v>15</v>
      </c>
    </row>
    <row r="303" spans="2:35">
      <c r="B303" s="92" t="s">
        <v>298</v>
      </c>
      <c r="C303" s="281" t="s">
        <v>668</v>
      </c>
      <c r="D303" s="92" t="s">
        <v>298</v>
      </c>
      <c r="E303" s="281">
        <f t="array" ref="E303">INDEX(CABS_CVC!$C$3:$O$894,MATCH(1, (CABS_CVC!$A$3:$A$894=Calculs_CABS!C303)*(CABS_CVC!$B$3:$B$894=Calculs_CABS!$D$2),0),MATCH(Calculs_CABS!$D$1,Liste_CABS!$B$3:$B$15,0))</f>
        <v>60</v>
      </c>
    </row>
    <row r="304" spans="2:35">
      <c r="B304" s="281" t="s">
        <v>539</v>
      </c>
      <c r="C304" s="281" t="s">
        <v>668</v>
      </c>
      <c r="D304" s="281" t="s">
        <v>539</v>
      </c>
      <c r="E304" s="281">
        <v>20</v>
      </c>
    </row>
    <row r="305" spans="2:35">
      <c r="B305" s="281" t="s">
        <v>540</v>
      </c>
      <c r="C305" s="281" t="s">
        <v>668</v>
      </c>
      <c r="D305" s="281" t="s">
        <v>540</v>
      </c>
      <c r="E305" s="281">
        <f>E303+E304</f>
        <v>80</v>
      </c>
    </row>
    <row r="306" spans="2:35">
      <c r="B306" s="281" t="s">
        <v>541</v>
      </c>
      <c r="C306" s="281" t="s">
        <v>668</v>
      </c>
      <c r="D306" s="281" t="s">
        <v>541</v>
      </c>
      <c r="E306" s="281">
        <v>0</v>
      </c>
    </row>
    <row r="307" spans="2:35">
      <c r="B307" s="281" t="s">
        <v>542</v>
      </c>
      <c r="C307" s="281" t="s">
        <v>668</v>
      </c>
      <c r="D307" s="281" t="s">
        <v>664</v>
      </c>
      <c r="E307" s="281">
        <v>4560</v>
      </c>
      <c r="F307" s="281">
        <f>IF(F$6=$C307,IF(INDEX('Surface DEET'!$Q$9:$W$38,COLUMN(F300)-COLUMN($E$5),1)&gt;0,INDEX('Surface DEET'!$Q$9:$W$38,COLUMN(F300)-COLUMN($E$5),1),0),0)</f>
        <v>0</v>
      </c>
      <c r="G307" s="281">
        <f>IF(G$6=$C307,IF(INDEX('Surface DEET'!$Q$9:$W$38,COLUMN(G300)-COLUMN($E$5),1)&gt;0,INDEX('Surface DEET'!$Q$9:$W$38,COLUMN(G300)-COLUMN($E$5),1),0),0)</f>
        <v>0</v>
      </c>
      <c r="H307" s="281">
        <f>IF(H$6=$C307,IF(INDEX('Surface DEET'!$Q$9:$W$38,COLUMN(H300)-COLUMN($E$5),1)&gt;0,INDEX('Surface DEET'!$Q$9:$W$38,COLUMN(H300)-COLUMN($E$5),1),0),0)</f>
        <v>0</v>
      </c>
      <c r="I307" s="281">
        <f>IF(I$6=$C307,IF(INDEX('Surface DEET'!$Q$9:$W$38,COLUMN(I300)-COLUMN($E$5),1)&gt;0,INDEX('Surface DEET'!$Q$9:$W$38,COLUMN(I300)-COLUMN($E$5),1),0),0)</f>
        <v>0</v>
      </c>
      <c r="J307" s="281">
        <f>IF(J$6=$C307,IF(INDEX('Surface DEET'!$Q$9:$W$38,COLUMN(J300)-COLUMN($E$5),1)&gt;0,INDEX('Surface DEET'!$Q$9:$W$38,COLUMN(J300)-COLUMN($E$5),1),0),0)</f>
        <v>0</v>
      </c>
      <c r="K307" s="281">
        <f>IF(K$6=$C307,IF(INDEX('Surface DEET'!$Q$9:$W$38,COLUMN(K300)-COLUMN($E$5),1)&gt;0,INDEX('Surface DEET'!$Q$9:$W$38,COLUMN(K300)-COLUMN($E$5),1),0),0)</f>
        <v>0</v>
      </c>
      <c r="L307" s="281">
        <f>IF(L$6=$C307,IF(INDEX('Surface DEET'!$Q$9:$W$38,COLUMN(L300)-COLUMN($E$5),1)&gt;0,INDEX('Surface DEET'!$Q$9:$W$38,COLUMN(L300)-COLUMN($E$5),1),0),0)</f>
        <v>0</v>
      </c>
      <c r="M307" s="281">
        <f>IF(M$6=$C307,IF(INDEX('Surface DEET'!$Q$9:$W$38,COLUMN(M300)-COLUMN($E$5),1)&gt;0,INDEX('Surface DEET'!$Q$9:$W$38,COLUMN(M300)-COLUMN($E$5),1),0),0)</f>
        <v>0</v>
      </c>
      <c r="N307" s="281">
        <f>IF(N$6=$C307,IF(INDEX('Surface DEET'!$Q$9:$W$38,COLUMN(N300)-COLUMN($E$5),1)&gt;0,INDEX('Surface DEET'!$Q$9:$W$38,COLUMN(N300)-COLUMN($E$5),1),0),0)</f>
        <v>0</v>
      </c>
      <c r="O307" s="281">
        <f>IF(O$6=$C307,IF(INDEX('Surface DEET'!$Q$9:$W$38,COLUMN(O300)-COLUMN($E$5),1)&gt;0,INDEX('Surface DEET'!$Q$9:$W$38,COLUMN(O300)-COLUMN($E$5),1),0),0)</f>
        <v>0</v>
      </c>
      <c r="P307" s="281">
        <f>IF(P$6=$C307,IF(INDEX('Surface DEET'!$Q$9:$W$38,COLUMN(P300)-COLUMN($E$5),1)&gt;0,INDEX('Surface DEET'!$Q$9:$W$38,COLUMN(P300)-COLUMN($E$5),1),0),0)</f>
        <v>0</v>
      </c>
      <c r="Q307" s="281">
        <f>IF(Q$6=$C307,IF(INDEX('Surface DEET'!$Q$9:$W$38,COLUMN(Q300)-COLUMN($E$5),1)&gt;0,INDEX('Surface DEET'!$Q$9:$W$38,COLUMN(Q300)-COLUMN($E$5),1),0),0)</f>
        <v>0</v>
      </c>
      <c r="R307" s="281">
        <f>IF(R$6=$C307,IF(INDEX('Surface DEET'!$Q$9:$W$38,COLUMN(R300)-COLUMN($E$5),1)&gt;0,INDEX('Surface DEET'!$Q$9:$W$38,COLUMN(R300)-COLUMN($E$5),1),0),0)</f>
        <v>0</v>
      </c>
      <c r="S307" s="281">
        <f>IF(S$6=$C307,IF(INDEX('Surface DEET'!$Q$9:$W$38,COLUMN(S300)-COLUMN($E$5),1)&gt;0,INDEX('Surface DEET'!$Q$9:$W$38,COLUMN(S300)-COLUMN($E$5),1),0),0)</f>
        <v>0</v>
      </c>
      <c r="T307" s="281">
        <f>IF(T$6=$C307,IF(INDEX('Surface DEET'!$Q$9:$W$38,COLUMN(T300)-COLUMN($E$5),1)&gt;0,INDEX('Surface DEET'!$Q$9:$W$38,COLUMN(T300)-COLUMN($E$5),1),0),0)</f>
        <v>0</v>
      </c>
      <c r="U307" s="281">
        <f>IF(U$6=$C307,IF(INDEX('Surface DEET'!$Q$9:$W$38,COLUMN(U300)-COLUMN($E$5),1)&gt;0,INDEX('Surface DEET'!$Q$9:$W$38,COLUMN(U300)-COLUMN($E$5),1),0),0)</f>
        <v>0</v>
      </c>
      <c r="V307" s="281">
        <f>IF(V$6=$C307,IF(INDEX('Surface DEET'!$Q$9:$W$38,COLUMN(V300)-COLUMN($E$5),1)&gt;0,INDEX('Surface DEET'!$Q$9:$W$38,COLUMN(V300)-COLUMN($E$5),1),0),0)</f>
        <v>0</v>
      </c>
      <c r="W307" s="281">
        <f>IF(W$6=$C307,IF(INDEX('Surface DEET'!$Q$9:$W$38,COLUMN(W300)-COLUMN($E$5),1)&gt;0,INDEX('Surface DEET'!$Q$9:$W$38,COLUMN(W300)-COLUMN($E$5),1),0),0)</f>
        <v>0</v>
      </c>
      <c r="X307" s="281">
        <f>IF(X$6=$C307,IF(INDEX('Surface DEET'!$Q$9:$W$38,COLUMN(X300)-COLUMN($E$5),1)&gt;0,INDEX('Surface DEET'!$Q$9:$W$38,COLUMN(X300)-COLUMN($E$5),1),0),0)</f>
        <v>0</v>
      </c>
      <c r="Y307" s="281">
        <f>IF(Y$6=$C307,IF(INDEX('Surface DEET'!$Q$9:$W$38,COLUMN(Y300)-COLUMN($E$5),1)&gt;0,INDEX('Surface DEET'!$Q$9:$W$38,COLUMN(Y300)-COLUMN($E$5),1),0),0)</f>
        <v>0</v>
      </c>
      <c r="Z307" s="281">
        <f>IF(Z$6=$C307,IF(INDEX('Surface DEET'!$Q$9:$W$38,COLUMN(Z300)-COLUMN($E$5),1)&gt;0,INDEX('Surface DEET'!$Q$9:$W$38,COLUMN(Z300)-COLUMN($E$5),1),0),0)</f>
        <v>0</v>
      </c>
      <c r="AA307" s="281">
        <f>IF(AA$6=$C307,IF(INDEX('Surface DEET'!$Q$9:$W$38,COLUMN(AA300)-COLUMN($E$5),1)&gt;0,INDEX('Surface DEET'!$Q$9:$W$38,COLUMN(AA300)-COLUMN($E$5),1),0),0)</f>
        <v>0</v>
      </c>
      <c r="AB307" s="281">
        <f>IF(AB$6=$C307,IF(INDEX('Surface DEET'!$Q$9:$W$38,COLUMN(AB300)-COLUMN($E$5),1)&gt;0,INDEX('Surface DEET'!$Q$9:$W$38,COLUMN(AB300)-COLUMN($E$5),1),0),0)</f>
        <v>0</v>
      </c>
      <c r="AC307" s="281">
        <f>IF(AC$6=$C307,IF(INDEX('Surface DEET'!$Q$9:$W$38,COLUMN(AC300)-COLUMN($E$5),1)&gt;0,INDEX('Surface DEET'!$Q$9:$W$38,COLUMN(AC300)-COLUMN($E$5),1),0),0)</f>
        <v>0</v>
      </c>
      <c r="AD307" s="281">
        <f>IF(AD$6=$C307,IF(INDEX('Surface DEET'!$Q$9:$W$38,COLUMN(AD300)-COLUMN($E$5),1)&gt;0,INDEX('Surface DEET'!$Q$9:$W$38,COLUMN(AD300)-COLUMN($E$5),1),0),0)</f>
        <v>0</v>
      </c>
      <c r="AE307" s="281">
        <f>IF(AE$6=$C307,IF(INDEX('Surface DEET'!$Q$9:$W$38,COLUMN(AE300)-COLUMN($E$5),1)&gt;0,INDEX('Surface DEET'!$Q$9:$W$38,COLUMN(AE300)-COLUMN($E$5),1),0),0)</f>
        <v>0</v>
      </c>
      <c r="AF307" s="281">
        <f>IF(AF$6=$C307,IF(INDEX('Surface DEET'!$Q$9:$W$38,COLUMN(AF300)-COLUMN($E$5),1)&gt;0,INDEX('Surface DEET'!$Q$9:$W$38,COLUMN(AF300)-COLUMN($E$5),1),0),0)</f>
        <v>0</v>
      </c>
      <c r="AG307" s="281">
        <f>IF(AG$6=$C307,IF(INDEX('Surface DEET'!$Q$9:$W$38,COLUMN(AG300)-COLUMN($E$5),1)&gt;0,INDEX('Surface DEET'!$Q$9:$W$38,COLUMN(AG300)-COLUMN($E$5),1),0),0)</f>
        <v>0</v>
      </c>
      <c r="AH307" s="281">
        <f>IF(AH$6=$C307,IF(INDEX('Surface DEET'!$Q$9:$W$38,COLUMN(AH300)-COLUMN($E$5),1)&gt;0,INDEX('Surface DEET'!$Q$9:$W$38,COLUMN(AH300)-COLUMN($E$5),1),0),0)</f>
        <v>0</v>
      </c>
      <c r="AI307" s="281">
        <f>IF(AI$6=$C307,IF(INDEX('Surface DEET'!$Q$9:$W$38,COLUMN(AI300)-COLUMN($E$5),1)&gt;0,INDEX('Surface DEET'!$Q$9:$W$38,COLUMN(AI300)-COLUMN($E$5),1),0),0)</f>
        <v>0</v>
      </c>
    </row>
    <row r="308" spans="2:35">
      <c r="B308" s="281" t="s">
        <v>545</v>
      </c>
      <c r="C308" s="281" t="s">
        <v>668</v>
      </c>
      <c r="D308" s="281" t="s">
        <v>665</v>
      </c>
      <c r="E308" s="281">
        <v>4560</v>
      </c>
      <c r="F308" s="281">
        <f>IF(F$6=$C308,IF(INDEX('Surface DEET'!$Q$9:$W$38,COLUMN(F301)-COLUMN($E$5),4)&gt;0,INDEX('Surface DEET'!$Q$9:$W$38,COLUMN(F301)-COLUMN($E$5),4),0),0)</f>
        <v>0</v>
      </c>
      <c r="G308" s="281">
        <f>IF(G$6=$C308,IF(INDEX('Surface DEET'!$Q$9:$W$38,COLUMN(G301)-COLUMN($E$5),4)&gt;0,INDEX('Surface DEET'!$Q$9:$W$38,COLUMN(G301)-COLUMN($E$5),4),0),0)</f>
        <v>0</v>
      </c>
      <c r="H308" s="281">
        <f>IF(H$6=$C308,IF(INDEX('Surface DEET'!$Q$9:$W$38,COLUMN(H301)-COLUMN($E$5),4)&gt;0,INDEX('Surface DEET'!$Q$9:$W$38,COLUMN(H301)-COLUMN($E$5),4),0),0)</f>
        <v>0</v>
      </c>
      <c r="I308" s="281">
        <f>IF(I$6=$C308,IF(INDEX('Surface DEET'!$Q$9:$W$38,COLUMN(I301)-COLUMN($E$5),4)&gt;0,INDEX('Surface DEET'!$Q$9:$W$38,COLUMN(I301)-COLUMN($E$5),4),0),0)</f>
        <v>0</v>
      </c>
      <c r="J308" s="281">
        <f>IF(J$6=$C308,IF(INDEX('Surface DEET'!$Q$9:$W$38,COLUMN(J301)-COLUMN($E$5),4)&gt;0,INDEX('Surface DEET'!$Q$9:$W$38,COLUMN(J301)-COLUMN($E$5),4),0),0)</f>
        <v>0</v>
      </c>
      <c r="K308" s="281">
        <f>IF(K$6=$C308,IF(INDEX('Surface DEET'!$Q$9:$W$38,COLUMN(K301)-COLUMN($E$5),4)&gt;0,INDEX('Surface DEET'!$Q$9:$W$38,COLUMN(K301)-COLUMN($E$5),4),0),0)</f>
        <v>0</v>
      </c>
      <c r="L308" s="281">
        <f>IF(L$6=$C308,IF(INDEX('Surface DEET'!$Q$9:$W$38,COLUMN(L301)-COLUMN($E$5),4)&gt;0,INDEX('Surface DEET'!$Q$9:$W$38,COLUMN(L301)-COLUMN($E$5),4),0),0)</f>
        <v>0</v>
      </c>
      <c r="M308" s="281">
        <f>IF(M$6=$C308,IF(INDEX('Surface DEET'!$Q$9:$W$38,COLUMN(M301)-COLUMN($E$5),4)&gt;0,INDEX('Surface DEET'!$Q$9:$W$38,COLUMN(M301)-COLUMN($E$5),4),0),0)</f>
        <v>0</v>
      </c>
      <c r="N308" s="281">
        <f>IF(N$6=$C308,IF(INDEX('Surface DEET'!$Q$9:$W$38,COLUMN(N301)-COLUMN($E$5),4)&gt;0,INDEX('Surface DEET'!$Q$9:$W$38,COLUMN(N301)-COLUMN($E$5),4),0),0)</f>
        <v>0</v>
      </c>
      <c r="O308" s="281">
        <f>IF(O$6=$C308,IF(INDEX('Surface DEET'!$Q$9:$W$38,COLUMN(O301)-COLUMN($E$5),4)&gt;0,INDEX('Surface DEET'!$Q$9:$W$38,COLUMN(O301)-COLUMN($E$5),4),0),0)</f>
        <v>0</v>
      </c>
      <c r="P308" s="281">
        <f>IF(P$6=$C308,IF(INDEX('Surface DEET'!$Q$9:$W$38,COLUMN(P301)-COLUMN($E$5),4)&gt;0,INDEX('Surface DEET'!$Q$9:$W$38,COLUMN(P301)-COLUMN($E$5),4),0),0)</f>
        <v>0</v>
      </c>
      <c r="Q308" s="281">
        <f>IF(Q$6=$C308,IF(INDEX('Surface DEET'!$Q$9:$W$38,COLUMN(Q301)-COLUMN($E$5),4)&gt;0,INDEX('Surface DEET'!$Q$9:$W$38,COLUMN(Q301)-COLUMN($E$5),4),0),0)</f>
        <v>0</v>
      </c>
      <c r="R308" s="281">
        <f>IF(R$6=$C308,IF(INDEX('Surface DEET'!$Q$9:$W$38,COLUMN(R301)-COLUMN($E$5),4)&gt;0,INDEX('Surface DEET'!$Q$9:$W$38,COLUMN(R301)-COLUMN($E$5),4),0),0)</f>
        <v>0</v>
      </c>
      <c r="S308" s="281">
        <f>IF(S$6=$C308,IF(INDEX('Surface DEET'!$Q$9:$W$38,COLUMN(S301)-COLUMN($E$5),4)&gt;0,INDEX('Surface DEET'!$Q$9:$W$38,COLUMN(S301)-COLUMN($E$5),4),0),0)</f>
        <v>0</v>
      </c>
      <c r="T308" s="281">
        <f>IF(T$6=$C308,IF(INDEX('Surface DEET'!$Q$9:$W$38,COLUMN(T301)-COLUMN($E$5),4)&gt;0,INDEX('Surface DEET'!$Q$9:$W$38,COLUMN(T301)-COLUMN($E$5),4),0),0)</f>
        <v>0</v>
      </c>
      <c r="U308" s="281">
        <f>IF(U$6=$C308,IF(INDEX('Surface DEET'!$Q$9:$W$38,COLUMN(U301)-COLUMN($E$5),4)&gt;0,INDEX('Surface DEET'!$Q$9:$W$38,COLUMN(U301)-COLUMN($E$5),4),0),0)</f>
        <v>0</v>
      </c>
      <c r="V308" s="281">
        <f>IF(V$6=$C308,IF(INDEX('Surface DEET'!$Q$9:$W$38,COLUMN(V301)-COLUMN($E$5),4)&gt;0,INDEX('Surface DEET'!$Q$9:$W$38,COLUMN(V301)-COLUMN($E$5),4),0),0)</f>
        <v>0</v>
      </c>
      <c r="W308" s="281">
        <f>IF(W$6=$C308,IF(INDEX('Surface DEET'!$Q$9:$W$38,COLUMN(W301)-COLUMN($E$5),4)&gt;0,INDEX('Surface DEET'!$Q$9:$W$38,COLUMN(W301)-COLUMN($E$5),4),0),0)</f>
        <v>0</v>
      </c>
      <c r="X308" s="281">
        <f>IF(X$6=$C308,IF(INDEX('Surface DEET'!$Q$9:$W$38,COLUMN(X301)-COLUMN($E$5),4)&gt;0,INDEX('Surface DEET'!$Q$9:$W$38,COLUMN(X301)-COLUMN($E$5),4),0),0)</f>
        <v>0</v>
      </c>
      <c r="Y308" s="281">
        <f>IF(Y$6=$C308,IF(INDEX('Surface DEET'!$Q$9:$W$38,COLUMN(Y301)-COLUMN($E$5),4)&gt;0,INDEX('Surface DEET'!$Q$9:$W$38,COLUMN(Y301)-COLUMN($E$5),4),0),0)</f>
        <v>0</v>
      </c>
      <c r="Z308" s="281">
        <f>IF(Z$6=$C308,IF(INDEX('Surface DEET'!$Q$9:$W$38,COLUMN(Z301)-COLUMN($E$5),4)&gt;0,INDEX('Surface DEET'!$Q$9:$W$38,COLUMN(Z301)-COLUMN($E$5),4),0),0)</f>
        <v>0</v>
      </c>
      <c r="AA308" s="281">
        <f>IF(AA$6=$C308,IF(INDEX('Surface DEET'!$Q$9:$W$38,COLUMN(AA301)-COLUMN($E$5),4)&gt;0,INDEX('Surface DEET'!$Q$9:$W$38,COLUMN(AA301)-COLUMN($E$5),4),0),0)</f>
        <v>0</v>
      </c>
      <c r="AB308" s="281">
        <f>IF(AB$6=$C308,IF(INDEX('Surface DEET'!$Q$9:$W$38,COLUMN(AB301)-COLUMN($E$5),4)&gt;0,INDEX('Surface DEET'!$Q$9:$W$38,COLUMN(AB301)-COLUMN($E$5),4),0),0)</f>
        <v>0</v>
      </c>
      <c r="AC308" s="281">
        <f>IF(AC$6=$C308,IF(INDEX('Surface DEET'!$Q$9:$W$38,COLUMN(AC301)-COLUMN($E$5),4)&gt;0,INDEX('Surface DEET'!$Q$9:$W$38,COLUMN(AC301)-COLUMN($E$5),4),0),0)</f>
        <v>0</v>
      </c>
      <c r="AD308" s="281">
        <f>IF(AD$6=$C308,IF(INDEX('Surface DEET'!$Q$9:$W$38,COLUMN(AD301)-COLUMN($E$5),4)&gt;0,INDEX('Surface DEET'!$Q$9:$W$38,COLUMN(AD301)-COLUMN($E$5),4),0),0)</f>
        <v>0</v>
      </c>
      <c r="AE308" s="281">
        <f>IF(AE$6=$C308,IF(INDEX('Surface DEET'!$Q$9:$W$38,COLUMN(AE301)-COLUMN($E$5),4)&gt;0,INDEX('Surface DEET'!$Q$9:$W$38,COLUMN(AE301)-COLUMN($E$5),4),0),0)</f>
        <v>0</v>
      </c>
      <c r="AF308" s="281">
        <f>IF(AF$6=$C308,IF(INDEX('Surface DEET'!$Q$9:$W$38,COLUMN(AF301)-COLUMN($E$5),4)&gt;0,INDEX('Surface DEET'!$Q$9:$W$38,COLUMN(AF301)-COLUMN($E$5),4),0),0)</f>
        <v>0</v>
      </c>
      <c r="AG308" s="281">
        <f>IF(AG$6=$C308,IF(INDEX('Surface DEET'!$Q$9:$W$38,COLUMN(AG301)-COLUMN($E$5),4)&gt;0,INDEX('Surface DEET'!$Q$9:$W$38,COLUMN(AG301)-COLUMN($E$5),4),0),0)</f>
        <v>0</v>
      </c>
      <c r="AH308" s="281">
        <f>IF(AH$6=$C308,IF(INDEX('Surface DEET'!$Q$9:$W$38,COLUMN(AH301)-COLUMN($E$5),4)&gt;0,INDEX('Surface DEET'!$Q$9:$W$38,COLUMN(AH301)-COLUMN($E$5),4),0),0)</f>
        <v>0</v>
      </c>
      <c r="AI308" s="281">
        <f>IF(AI$6=$C308,IF(INDEX('Surface DEET'!$Q$9:$W$38,COLUMN(AI301)-COLUMN($E$5),4)&gt;0,INDEX('Surface DEET'!$Q$9:$W$38,COLUMN(AI301)-COLUMN($E$5),4),0),0)</f>
        <v>0</v>
      </c>
    </row>
    <row r="309" spans="2:35">
      <c r="B309" s="281" t="s">
        <v>548</v>
      </c>
      <c r="C309" s="281" t="s">
        <v>668</v>
      </c>
    </row>
    <row r="310" spans="2:35">
      <c r="B310" s="281" t="s">
        <v>538</v>
      </c>
      <c r="C310" s="281" t="s">
        <v>668</v>
      </c>
      <c r="D310" s="281" t="s">
        <v>538</v>
      </c>
      <c r="F310" s="281">
        <f>$E$304*(1+2*F307/$E$307+F308/$E$308)</f>
        <v>20</v>
      </c>
      <c r="G310" s="281">
        <f t="shared" ref="G310:AI310" si="37">$E$304*(1+2*G307/$E$307+G308/$E$308)</f>
        <v>20</v>
      </c>
      <c r="H310" s="281">
        <f t="shared" si="37"/>
        <v>20</v>
      </c>
      <c r="I310" s="281">
        <f t="shared" si="37"/>
        <v>20</v>
      </c>
      <c r="J310" s="281">
        <f t="shared" si="37"/>
        <v>20</v>
      </c>
      <c r="K310" s="281">
        <f t="shared" si="37"/>
        <v>20</v>
      </c>
      <c r="L310" s="281">
        <f t="shared" si="37"/>
        <v>20</v>
      </c>
      <c r="M310" s="281">
        <f t="shared" si="37"/>
        <v>20</v>
      </c>
      <c r="N310" s="281">
        <f t="shared" si="37"/>
        <v>20</v>
      </c>
      <c r="O310" s="281">
        <f t="shared" si="37"/>
        <v>20</v>
      </c>
      <c r="P310" s="281">
        <f t="shared" si="37"/>
        <v>20</v>
      </c>
      <c r="Q310" s="281">
        <f t="shared" si="37"/>
        <v>20</v>
      </c>
      <c r="R310" s="281">
        <f t="shared" si="37"/>
        <v>20</v>
      </c>
      <c r="S310" s="281">
        <f t="shared" si="37"/>
        <v>20</v>
      </c>
      <c r="T310" s="281">
        <f t="shared" si="37"/>
        <v>20</v>
      </c>
      <c r="U310" s="281">
        <f t="shared" si="37"/>
        <v>20</v>
      </c>
      <c r="V310" s="281">
        <f t="shared" si="37"/>
        <v>20</v>
      </c>
      <c r="W310" s="281">
        <f t="shared" si="37"/>
        <v>20</v>
      </c>
      <c r="X310" s="281">
        <f t="shared" si="37"/>
        <v>20</v>
      </c>
      <c r="Y310" s="281">
        <f t="shared" si="37"/>
        <v>20</v>
      </c>
      <c r="Z310" s="281">
        <f t="shared" si="37"/>
        <v>20</v>
      </c>
      <c r="AA310" s="281">
        <f t="shared" si="37"/>
        <v>20</v>
      </c>
      <c r="AB310" s="281">
        <f t="shared" si="37"/>
        <v>20</v>
      </c>
      <c r="AC310" s="281">
        <f t="shared" si="37"/>
        <v>20</v>
      </c>
      <c r="AD310" s="281">
        <f t="shared" si="37"/>
        <v>20</v>
      </c>
      <c r="AE310" s="281">
        <f t="shared" si="37"/>
        <v>20</v>
      </c>
      <c r="AF310" s="281">
        <f t="shared" si="37"/>
        <v>20</v>
      </c>
      <c r="AG310" s="281">
        <f t="shared" si="37"/>
        <v>20</v>
      </c>
      <c r="AH310" s="281">
        <f t="shared" si="37"/>
        <v>20</v>
      </c>
      <c r="AI310" s="281">
        <f t="shared" si="37"/>
        <v>20</v>
      </c>
    </row>
    <row r="311" spans="2:35">
      <c r="B311" s="92" t="s">
        <v>298</v>
      </c>
      <c r="C311" s="281" t="s">
        <v>669</v>
      </c>
      <c r="D311" s="92" t="s">
        <v>298</v>
      </c>
      <c r="E311" s="281">
        <f t="array" ref="E311">INDEX(CABS_CVC!$C$3:$O$894,MATCH(1, (CABS_CVC!$A$3:$A$894=Calculs_CABS!C311)*(CABS_CVC!$B$3:$B$894=Calculs_CABS!$D$2),0),MATCH(Calculs_CABS!$D$1,Liste_CABS!$B$3:$B$15,0))</f>
        <v>60</v>
      </c>
    </row>
    <row r="312" spans="2:35">
      <c r="B312" s="281" t="s">
        <v>539</v>
      </c>
      <c r="C312" s="281" t="s">
        <v>669</v>
      </c>
      <c r="D312" s="281" t="s">
        <v>539</v>
      </c>
      <c r="E312" s="281">
        <v>25</v>
      </c>
    </row>
    <row r="313" spans="2:35">
      <c r="B313" s="281" t="s">
        <v>540</v>
      </c>
      <c r="C313" s="281" t="s">
        <v>669</v>
      </c>
      <c r="D313" s="281" t="s">
        <v>540</v>
      </c>
      <c r="E313" s="281">
        <f>E311+E312</f>
        <v>85</v>
      </c>
    </row>
    <row r="314" spans="2:35">
      <c r="B314" s="281" t="s">
        <v>541</v>
      </c>
      <c r="C314" s="281" t="s">
        <v>669</v>
      </c>
      <c r="D314" s="281" t="s">
        <v>541</v>
      </c>
      <c r="E314" s="281">
        <v>0</v>
      </c>
    </row>
    <row r="315" spans="2:35">
      <c r="B315" s="281" t="s">
        <v>542</v>
      </c>
      <c r="C315" s="281" t="s">
        <v>669</v>
      </c>
      <c r="D315" s="281" t="s">
        <v>664</v>
      </c>
      <c r="E315" s="281">
        <v>1900</v>
      </c>
      <c r="F315" s="281">
        <f>IF(F$6=$C315,IF(INDEX('Surface DEET'!$Q$9:$W$38,COLUMN(F308)-COLUMN($E$5),1)&gt;0,INDEX('Surface DEET'!$Q$9:$W$38,COLUMN(F308)-COLUMN($E$5),1),0),0)</f>
        <v>0</v>
      </c>
      <c r="G315" s="281">
        <f>IF(G$6=$C315,IF(INDEX('Surface DEET'!$Q$9:$W$38,COLUMN(G308)-COLUMN($E$5),1)&gt;0,INDEX('Surface DEET'!$Q$9:$W$38,COLUMN(G308)-COLUMN($E$5),1),0),0)</f>
        <v>0</v>
      </c>
      <c r="H315" s="281">
        <f>IF(H$6=$C315,IF(INDEX('Surface DEET'!$Q$9:$W$38,COLUMN(H308)-COLUMN($E$5),1)&gt;0,INDEX('Surface DEET'!$Q$9:$W$38,COLUMN(H308)-COLUMN($E$5),1),0),0)</f>
        <v>0</v>
      </c>
      <c r="I315" s="281">
        <f>IF(I$6=$C315,IF(INDEX('Surface DEET'!$Q$9:$W$38,COLUMN(I308)-COLUMN($E$5),1)&gt;0,INDEX('Surface DEET'!$Q$9:$W$38,COLUMN(I308)-COLUMN($E$5),1),0),0)</f>
        <v>0</v>
      </c>
      <c r="J315" s="281">
        <f>IF(J$6=$C315,IF(INDEX('Surface DEET'!$Q$9:$W$38,COLUMN(J308)-COLUMN($E$5),1)&gt;0,INDEX('Surface DEET'!$Q$9:$W$38,COLUMN(J308)-COLUMN($E$5),1),0),0)</f>
        <v>0</v>
      </c>
      <c r="K315" s="281">
        <f>IF(K$6=$C315,IF(INDEX('Surface DEET'!$Q$9:$W$38,COLUMN(K308)-COLUMN($E$5),1)&gt;0,INDEX('Surface DEET'!$Q$9:$W$38,COLUMN(K308)-COLUMN($E$5),1),0),0)</f>
        <v>0</v>
      </c>
      <c r="L315" s="281">
        <f>IF(L$6=$C315,IF(INDEX('Surface DEET'!$Q$9:$W$38,COLUMN(L308)-COLUMN($E$5),1)&gt;0,INDEX('Surface DEET'!$Q$9:$W$38,COLUMN(L308)-COLUMN($E$5),1),0),0)</f>
        <v>0</v>
      </c>
      <c r="M315" s="281">
        <f>IF(M$6=$C315,IF(INDEX('Surface DEET'!$Q$9:$W$38,COLUMN(M308)-COLUMN($E$5),1)&gt;0,INDEX('Surface DEET'!$Q$9:$W$38,COLUMN(M308)-COLUMN($E$5),1),0),0)</f>
        <v>0</v>
      </c>
      <c r="N315" s="281">
        <f>IF(N$6=$C315,IF(INDEX('Surface DEET'!$Q$9:$W$38,COLUMN(N308)-COLUMN($E$5),1)&gt;0,INDEX('Surface DEET'!$Q$9:$W$38,COLUMN(N308)-COLUMN($E$5),1),0),0)</f>
        <v>0</v>
      </c>
      <c r="O315" s="281">
        <f>IF(O$6=$C315,IF(INDEX('Surface DEET'!$Q$9:$W$38,COLUMN(O308)-COLUMN($E$5),1)&gt;0,INDEX('Surface DEET'!$Q$9:$W$38,COLUMN(O308)-COLUMN($E$5),1),0),0)</f>
        <v>0</v>
      </c>
      <c r="P315" s="281">
        <f>IF(P$6=$C315,IF(INDEX('Surface DEET'!$Q$9:$W$38,COLUMN(P308)-COLUMN($E$5),1)&gt;0,INDEX('Surface DEET'!$Q$9:$W$38,COLUMN(P308)-COLUMN($E$5),1),0),0)</f>
        <v>0</v>
      </c>
      <c r="Q315" s="281">
        <f>IF(Q$6=$C315,IF(INDEX('Surface DEET'!$Q$9:$W$38,COLUMN(Q308)-COLUMN($E$5),1)&gt;0,INDEX('Surface DEET'!$Q$9:$W$38,COLUMN(Q308)-COLUMN($E$5),1),0),0)</f>
        <v>0</v>
      </c>
      <c r="R315" s="281">
        <f>IF(R$6=$C315,IF(INDEX('Surface DEET'!$Q$9:$W$38,COLUMN(R308)-COLUMN($E$5),1)&gt;0,INDEX('Surface DEET'!$Q$9:$W$38,COLUMN(R308)-COLUMN($E$5),1),0),0)</f>
        <v>0</v>
      </c>
      <c r="S315" s="281">
        <f>IF(S$6=$C315,IF(INDEX('Surface DEET'!$Q$9:$W$38,COLUMN(S308)-COLUMN($E$5),1)&gt;0,INDEX('Surface DEET'!$Q$9:$W$38,COLUMN(S308)-COLUMN($E$5),1),0),0)</f>
        <v>0</v>
      </c>
      <c r="T315" s="281">
        <f>IF(T$6=$C315,IF(INDEX('Surface DEET'!$Q$9:$W$38,COLUMN(T308)-COLUMN($E$5),1)&gt;0,INDEX('Surface DEET'!$Q$9:$W$38,COLUMN(T308)-COLUMN($E$5),1),0),0)</f>
        <v>0</v>
      </c>
      <c r="U315" s="281">
        <f>IF(U$6=$C315,IF(INDEX('Surface DEET'!$Q$9:$W$38,COLUMN(U308)-COLUMN($E$5),1)&gt;0,INDEX('Surface DEET'!$Q$9:$W$38,COLUMN(U308)-COLUMN($E$5),1),0),0)</f>
        <v>0</v>
      </c>
      <c r="V315" s="281">
        <f>IF(V$6=$C315,IF(INDEX('Surface DEET'!$Q$9:$W$38,COLUMN(V308)-COLUMN($E$5),1)&gt;0,INDEX('Surface DEET'!$Q$9:$W$38,COLUMN(V308)-COLUMN($E$5),1),0),0)</f>
        <v>0</v>
      </c>
      <c r="W315" s="281">
        <f>IF(W$6=$C315,IF(INDEX('Surface DEET'!$Q$9:$W$38,COLUMN(W308)-COLUMN($E$5),1)&gt;0,INDEX('Surface DEET'!$Q$9:$W$38,COLUMN(W308)-COLUMN($E$5),1),0),0)</f>
        <v>0</v>
      </c>
      <c r="X315" s="281">
        <f>IF(X$6=$C315,IF(INDEX('Surface DEET'!$Q$9:$W$38,COLUMN(X308)-COLUMN($E$5),1)&gt;0,INDEX('Surface DEET'!$Q$9:$W$38,COLUMN(X308)-COLUMN($E$5),1),0),0)</f>
        <v>0</v>
      </c>
      <c r="Y315" s="281">
        <f>IF(Y$6=$C315,IF(INDEX('Surface DEET'!$Q$9:$W$38,COLUMN(Y308)-COLUMN($E$5),1)&gt;0,INDEX('Surface DEET'!$Q$9:$W$38,COLUMN(Y308)-COLUMN($E$5),1),0),0)</f>
        <v>0</v>
      </c>
      <c r="Z315" s="281">
        <f>IF(Z$6=$C315,IF(INDEX('Surface DEET'!$Q$9:$W$38,COLUMN(Z308)-COLUMN($E$5),1)&gt;0,INDEX('Surface DEET'!$Q$9:$W$38,COLUMN(Z308)-COLUMN($E$5),1),0),0)</f>
        <v>0</v>
      </c>
      <c r="AA315" s="281">
        <f>IF(AA$6=$C315,IF(INDEX('Surface DEET'!$Q$9:$W$38,COLUMN(AA308)-COLUMN($E$5),1)&gt;0,INDEX('Surface DEET'!$Q$9:$W$38,COLUMN(AA308)-COLUMN($E$5),1),0),0)</f>
        <v>0</v>
      </c>
      <c r="AB315" s="281">
        <f>IF(AB$6=$C315,IF(INDEX('Surface DEET'!$Q$9:$W$38,COLUMN(AB308)-COLUMN($E$5),1)&gt;0,INDEX('Surface DEET'!$Q$9:$W$38,COLUMN(AB308)-COLUMN($E$5),1),0),0)</f>
        <v>0</v>
      </c>
      <c r="AC315" s="281">
        <f>IF(AC$6=$C315,IF(INDEX('Surface DEET'!$Q$9:$W$38,COLUMN(AC308)-COLUMN($E$5),1)&gt;0,INDEX('Surface DEET'!$Q$9:$W$38,COLUMN(AC308)-COLUMN($E$5),1),0),0)</f>
        <v>0</v>
      </c>
      <c r="AD315" s="281">
        <f>IF(AD$6=$C315,IF(INDEX('Surface DEET'!$Q$9:$W$38,COLUMN(AD308)-COLUMN($E$5),1)&gt;0,INDEX('Surface DEET'!$Q$9:$W$38,COLUMN(AD308)-COLUMN($E$5),1),0),0)</f>
        <v>0</v>
      </c>
      <c r="AE315" s="281">
        <f>IF(AE$6=$C315,IF(INDEX('Surface DEET'!$Q$9:$W$38,COLUMN(AE308)-COLUMN($E$5),1)&gt;0,INDEX('Surface DEET'!$Q$9:$W$38,COLUMN(AE308)-COLUMN($E$5),1),0),0)</f>
        <v>0</v>
      </c>
      <c r="AF315" s="281">
        <f>IF(AF$6=$C315,IF(INDEX('Surface DEET'!$Q$9:$W$38,COLUMN(AF308)-COLUMN($E$5),1)&gt;0,INDEX('Surface DEET'!$Q$9:$W$38,COLUMN(AF308)-COLUMN($E$5),1),0),0)</f>
        <v>0</v>
      </c>
      <c r="AG315" s="281">
        <f>IF(AG$6=$C315,IF(INDEX('Surface DEET'!$Q$9:$W$38,COLUMN(AG308)-COLUMN($E$5),1)&gt;0,INDEX('Surface DEET'!$Q$9:$W$38,COLUMN(AG308)-COLUMN($E$5),1),0),0)</f>
        <v>0</v>
      </c>
      <c r="AH315" s="281">
        <f>IF(AH$6=$C315,IF(INDEX('Surface DEET'!$Q$9:$W$38,COLUMN(AH308)-COLUMN($E$5),1)&gt;0,INDEX('Surface DEET'!$Q$9:$W$38,COLUMN(AH308)-COLUMN($E$5),1),0),0)</f>
        <v>0</v>
      </c>
      <c r="AI315" s="281">
        <f>IF(AI$6=$C315,IF(INDEX('Surface DEET'!$Q$9:$W$38,COLUMN(AI308)-COLUMN($E$5),1)&gt;0,INDEX('Surface DEET'!$Q$9:$W$38,COLUMN(AI308)-COLUMN($E$5),1),0),0)</f>
        <v>0</v>
      </c>
    </row>
    <row r="316" spans="2:35">
      <c r="B316" s="281" t="s">
        <v>545</v>
      </c>
      <c r="C316" s="281" t="s">
        <v>669</v>
      </c>
      <c r="D316" s="281" t="s">
        <v>665</v>
      </c>
      <c r="E316" s="281">
        <v>1900</v>
      </c>
      <c r="F316" s="281">
        <f>IF(F$6=$C316,IF(INDEX('Surface DEET'!$Q$9:$W$38,COLUMN(F309)-COLUMN($E$5),4)&gt;0,INDEX('Surface DEET'!$Q$9:$W$38,COLUMN(F309)-COLUMN($E$5),4),0),0)</f>
        <v>0</v>
      </c>
      <c r="G316" s="281">
        <f>IF(G$6=$C316,IF(INDEX('Surface DEET'!$Q$9:$W$38,COLUMN(G309)-COLUMN($E$5),4)&gt;0,INDEX('Surface DEET'!$Q$9:$W$38,COLUMN(G309)-COLUMN($E$5),4),0),0)</f>
        <v>0</v>
      </c>
      <c r="H316" s="281">
        <f>IF(H$6=$C316,IF(INDEX('Surface DEET'!$Q$9:$W$38,COLUMN(H309)-COLUMN($E$5),4)&gt;0,INDEX('Surface DEET'!$Q$9:$W$38,COLUMN(H309)-COLUMN($E$5),4),0),0)</f>
        <v>0</v>
      </c>
      <c r="I316" s="281">
        <f>IF(I$6=$C316,IF(INDEX('Surface DEET'!$Q$9:$W$38,COLUMN(I309)-COLUMN($E$5),4)&gt;0,INDEX('Surface DEET'!$Q$9:$W$38,COLUMN(I309)-COLUMN($E$5),4),0),0)</f>
        <v>0</v>
      </c>
      <c r="J316" s="281">
        <f>IF(J$6=$C316,IF(INDEX('Surface DEET'!$Q$9:$W$38,COLUMN(J309)-COLUMN($E$5),4)&gt;0,INDEX('Surface DEET'!$Q$9:$W$38,COLUMN(J309)-COLUMN($E$5),4),0),0)</f>
        <v>0</v>
      </c>
      <c r="K316" s="281">
        <f>IF(K$6=$C316,IF(INDEX('Surface DEET'!$Q$9:$W$38,COLUMN(K309)-COLUMN($E$5),4)&gt;0,INDEX('Surface DEET'!$Q$9:$W$38,COLUMN(K309)-COLUMN($E$5),4),0),0)</f>
        <v>0</v>
      </c>
      <c r="L316" s="281">
        <f>IF(L$6=$C316,IF(INDEX('Surface DEET'!$Q$9:$W$38,COLUMN(L309)-COLUMN($E$5),4)&gt;0,INDEX('Surface DEET'!$Q$9:$W$38,COLUMN(L309)-COLUMN($E$5),4),0),0)</f>
        <v>0</v>
      </c>
      <c r="M316" s="281">
        <f>IF(M$6=$C316,IF(INDEX('Surface DEET'!$Q$9:$W$38,COLUMN(M309)-COLUMN($E$5),4)&gt;0,INDEX('Surface DEET'!$Q$9:$W$38,COLUMN(M309)-COLUMN($E$5),4),0),0)</f>
        <v>0</v>
      </c>
      <c r="N316" s="281">
        <f>IF(N$6=$C316,IF(INDEX('Surface DEET'!$Q$9:$W$38,COLUMN(N309)-COLUMN($E$5),4)&gt;0,INDEX('Surface DEET'!$Q$9:$W$38,COLUMN(N309)-COLUMN($E$5),4),0),0)</f>
        <v>0</v>
      </c>
      <c r="O316" s="281">
        <f>IF(O$6=$C316,IF(INDEX('Surface DEET'!$Q$9:$W$38,COLUMN(O309)-COLUMN($E$5),4)&gt;0,INDEX('Surface DEET'!$Q$9:$W$38,COLUMN(O309)-COLUMN($E$5),4),0),0)</f>
        <v>0</v>
      </c>
      <c r="P316" s="281">
        <f>IF(P$6=$C316,IF(INDEX('Surface DEET'!$Q$9:$W$38,COLUMN(P309)-COLUMN($E$5),4)&gt;0,INDEX('Surface DEET'!$Q$9:$W$38,COLUMN(P309)-COLUMN($E$5),4),0),0)</f>
        <v>0</v>
      </c>
      <c r="Q316" s="281">
        <f>IF(Q$6=$C316,IF(INDEX('Surface DEET'!$Q$9:$W$38,COLUMN(Q309)-COLUMN($E$5),4)&gt;0,INDEX('Surface DEET'!$Q$9:$W$38,COLUMN(Q309)-COLUMN($E$5),4),0),0)</f>
        <v>0</v>
      </c>
      <c r="R316" s="281">
        <f>IF(R$6=$C316,IF(INDEX('Surface DEET'!$Q$9:$W$38,COLUMN(R309)-COLUMN($E$5),4)&gt;0,INDEX('Surface DEET'!$Q$9:$W$38,COLUMN(R309)-COLUMN($E$5),4),0),0)</f>
        <v>0</v>
      </c>
      <c r="S316" s="281">
        <f>IF(S$6=$C316,IF(INDEX('Surface DEET'!$Q$9:$W$38,COLUMN(S309)-COLUMN($E$5),4)&gt;0,INDEX('Surface DEET'!$Q$9:$W$38,COLUMN(S309)-COLUMN($E$5),4),0),0)</f>
        <v>0</v>
      </c>
      <c r="T316" s="281">
        <f>IF(T$6=$C316,IF(INDEX('Surface DEET'!$Q$9:$W$38,COLUMN(T309)-COLUMN($E$5),4)&gt;0,INDEX('Surface DEET'!$Q$9:$W$38,COLUMN(T309)-COLUMN($E$5),4),0),0)</f>
        <v>0</v>
      </c>
      <c r="U316" s="281">
        <f>IF(U$6=$C316,IF(INDEX('Surface DEET'!$Q$9:$W$38,COLUMN(U309)-COLUMN($E$5),4)&gt;0,INDEX('Surface DEET'!$Q$9:$W$38,COLUMN(U309)-COLUMN($E$5),4),0),0)</f>
        <v>0</v>
      </c>
      <c r="V316" s="281">
        <f>IF(V$6=$C316,IF(INDEX('Surface DEET'!$Q$9:$W$38,COLUMN(V309)-COLUMN($E$5),4)&gt;0,INDEX('Surface DEET'!$Q$9:$W$38,COLUMN(V309)-COLUMN($E$5),4),0),0)</f>
        <v>0</v>
      </c>
      <c r="W316" s="281">
        <f>IF(W$6=$C316,IF(INDEX('Surface DEET'!$Q$9:$W$38,COLUMN(W309)-COLUMN($E$5),4)&gt;0,INDEX('Surface DEET'!$Q$9:$W$38,COLUMN(W309)-COLUMN($E$5),4),0),0)</f>
        <v>0</v>
      </c>
      <c r="X316" s="281">
        <f>IF(X$6=$C316,IF(INDEX('Surface DEET'!$Q$9:$W$38,COLUMN(X309)-COLUMN($E$5),4)&gt;0,INDEX('Surface DEET'!$Q$9:$W$38,COLUMN(X309)-COLUMN($E$5),4),0),0)</f>
        <v>0</v>
      </c>
      <c r="Y316" s="281">
        <f>IF(Y$6=$C316,IF(INDEX('Surface DEET'!$Q$9:$W$38,COLUMN(Y309)-COLUMN($E$5),4)&gt;0,INDEX('Surface DEET'!$Q$9:$W$38,COLUMN(Y309)-COLUMN($E$5),4),0),0)</f>
        <v>0</v>
      </c>
      <c r="Z316" s="281">
        <f>IF(Z$6=$C316,IF(INDEX('Surface DEET'!$Q$9:$W$38,COLUMN(Z309)-COLUMN($E$5),4)&gt;0,INDEX('Surface DEET'!$Q$9:$W$38,COLUMN(Z309)-COLUMN($E$5),4),0),0)</f>
        <v>0</v>
      </c>
      <c r="AA316" s="281">
        <f>IF(AA$6=$C316,IF(INDEX('Surface DEET'!$Q$9:$W$38,COLUMN(AA309)-COLUMN($E$5),4)&gt;0,INDEX('Surface DEET'!$Q$9:$W$38,COLUMN(AA309)-COLUMN($E$5),4),0),0)</f>
        <v>0</v>
      </c>
      <c r="AB316" s="281">
        <f>IF(AB$6=$C316,IF(INDEX('Surface DEET'!$Q$9:$W$38,COLUMN(AB309)-COLUMN($E$5),4)&gt;0,INDEX('Surface DEET'!$Q$9:$W$38,COLUMN(AB309)-COLUMN($E$5),4),0),0)</f>
        <v>0</v>
      </c>
      <c r="AC316" s="281">
        <f>IF(AC$6=$C316,IF(INDEX('Surface DEET'!$Q$9:$W$38,COLUMN(AC309)-COLUMN($E$5),4)&gt;0,INDEX('Surface DEET'!$Q$9:$W$38,COLUMN(AC309)-COLUMN($E$5),4),0),0)</f>
        <v>0</v>
      </c>
      <c r="AD316" s="281">
        <f>IF(AD$6=$C316,IF(INDEX('Surface DEET'!$Q$9:$W$38,COLUMN(AD309)-COLUMN($E$5),4)&gt;0,INDEX('Surface DEET'!$Q$9:$W$38,COLUMN(AD309)-COLUMN($E$5),4),0),0)</f>
        <v>0</v>
      </c>
      <c r="AE316" s="281">
        <f>IF(AE$6=$C316,IF(INDEX('Surface DEET'!$Q$9:$W$38,COLUMN(AE309)-COLUMN($E$5),4)&gt;0,INDEX('Surface DEET'!$Q$9:$W$38,COLUMN(AE309)-COLUMN($E$5),4),0),0)</f>
        <v>0</v>
      </c>
      <c r="AF316" s="281">
        <f>IF(AF$6=$C316,IF(INDEX('Surface DEET'!$Q$9:$W$38,COLUMN(AF309)-COLUMN($E$5),4)&gt;0,INDEX('Surface DEET'!$Q$9:$W$38,COLUMN(AF309)-COLUMN($E$5),4),0),0)</f>
        <v>0</v>
      </c>
      <c r="AG316" s="281">
        <f>IF(AG$6=$C316,IF(INDEX('Surface DEET'!$Q$9:$W$38,COLUMN(AG309)-COLUMN($E$5),4)&gt;0,INDEX('Surface DEET'!$Q$9:$W$38,COLUMN(AG309)-COLUMN($E$5),4),0),0)</f>
        <v>0</v>
      </c>
      <c r="AH316" s="281">
        <f>IF(AH$6=$C316,IF(INDEX('Surface DEET'!$Q$9:$W$38,COLUMN(AH309)-COLUMN($E$5),4)&gt;0,INDEX('Surface DEET'!$Q$9:$W$38,COLUMN(AH309)-COLUMN($E$5),4),0),0)</f>
        <v>0</v>
      </c>
      <c r="AI316" s="281">
        <f>IF(AI$6=$C316,IF(INDEX('Surface DEET'!$Q$9:$W$38,COLUMN(AI309)-COLUMN($E$5),4)&gt;0,INDEX('Surface DEET'!$Q$9:$W$38,COLUMN(AI309)-COLUMN($E$5),4),0),0)</f>
        <v>0</v>
      </c>
    </row>
    <row r="317" spans="2:35">
      <c r="B317" s="281" t="s">
        <v>548</v>
      </c>
      <c r="C317" s="281" t="s">
        <v>669</v>
      </c>
    </row>
    <row r="318" spans="2:35">
      <c r="B318" s="281" t="s">
        <v>538</v>
      </c>
      <c r="C318" s="281" t="s">
        <v>669</v>
      </c>
      <c r="D318" s="281" t="s">
        <v>538</v>
      </c>
      <c r="F318" s="281">
        <f>$E$312*(1+2*F315/$E$315+F316/$E$316)</f>
        <v>25</v>
      </c>
      <c r="G318" s="281">
        <f t="shared" ref="G318:AI318" si="38">$E$312*(1+2*G315/$E$315+G316/$E$316)</f>
        <v>25</v>
      </c>
      <c r="H318" s="281">
        <f t="shared" si="38"/>
        <v>25</v>
      </c>
      <c r="I318" s="281">
        <f t="shared" si="38"/>
        <v>25</v>
      </c>
      <c r="J318" s="281">
        <f t="shared" si="38"/>
        <v>25</v>
      </c>
      <c r="K318" s="281">
        <f t="shared" si="38"/>
        <v>25</v>
      </c>
      <c r="L318" s="281">
        <f t="shared" si="38"/>
        <v>25</v>
      </c>
      <c r="M318" s="281">
        <f t="shared" si="38"/>
        <v>25</v>
      </c>
      <c r="N318" s="281">
        <f t="shared" si="38"/>
        <v>25</v>
      </c>
      <c r="O318" s="281">
        <f t="shared" si="38"/>
        <v>25</v>
      </c>
      <c r="P318" s="281">
        <f t="shared" si="38"/>
        <v>25</v>
      </c>
      <c r="Q318" s="281">
        <f t="shared" si="38"/>
        <v>25</v>
      </c>
      <c r="R318" s="281">
        <f t="shared" si="38"/>
        <v>25</v>
      </c>
      <c r="S318" s="281">
        <f t="shared" si="38"/>
        <v>25</v>
      </c>
      <c r="T318" s="281">
        <f t="shared" si="38"/>
        <v>25</v>
      </c>
      <c r="U318" s="281">
        <f t="shared" si="38"/>
        <v>25</v>
      </c>
      <c r="V318" s="281">
        <f t="shared" si="38"/>
        <v>25</v>
      </c>
      <c r="W318" s="281">
        <f t="shared" si="38"/>
        <v>25</v>
      </c>
      <c r="X318" s="281">
        <f t="shared" si="38"/>
        <v>25</v>
      </c>
      <c r="Y318" s="281">
        <f t="shared" si="38"/>
        <v>25</v>
      </c>
      <c r="Z318" s="281">
        <f t="shared" si="38"/>
        <v>25</v>
      </c>
      <c r="AA318" s="281">
        <f t="shared" si="38"/>
        <v>25</v>
      </c>
      <c r="AB318" s="281">
        <f t="shared" si="38"/>
        <v>25</v>
      </c>
      <c r="AC318" s="281">
        <f t="shared" si="38"/>
        <v>25</v>
      </c>
      <c r="AD318" s="281">
        <f t="shared" si="38"/>
        <v>25</v>
      </c>
      <c r="AE318" s="281">
        <f t="shared" si="38"/>
        <v>25</v>
      </c>
      <c r="AF318" s="281">
        <f t="shared" si="38"/>
        <v>25</v>
      </c>
      <c r="AG318" s="281">
        <f t="shared" si="38"/>
        <v>25</v>
      </c>
      <c r="AH318" s="281">
        <f t="shared" si="38"/>
        <v>25</v>
      </c>
      <c r="AI318" s="281">
        <f t="shared" si="38"/>
        <v>25</v>
      </c>
    </row>
    <row r="319" spans="2:35">
      <c r="B319" s="92" t="s">
        <v>298</v>
      </c>
      <c r="C319" s="281" t="s">
        <v>670</v>
      </c>
      <c r="D319" s="92" t="s">
        <v>298</v>
      </c>
      <c r="E319" s="281">
        <f t="array" ref="E319">INDEX(CABS_CVC!$C$3:$O$894,MATCH(1, (CABS_CVC!$A$3:$A$894=Calculs_CABS!C319)*(CABS_CVC!$B$3:$B$894=Calculs_CABS!$D$2),0),MATCH(Calculs_CABS!$D$1,Liste_CABS!$B$3:$B$15,0))</f>
        <v>60</v>
      </c>
    </row>
    <row r="320" spans="2:35">
      <c r="B320" s="281" t="s">
        <v>539</v>
      </c>
      <c r="C320" s="281" t="s">
        <v>670</v>
      </c>
      <c r="D320" s="281" t="s">
        <v>539</v>
      </c>
      <c r="E320" s="281">
        <v>20</v>
      </c>
    </row>
    <row r="321" spans="2:35">
      <c r="B321" s="281" t="s">
        <v>540</v>
      </c>
      <c r="C321" s="281" t="s">
        <v>670</v>
      </c>
      <c r="D321" s="281" t="s">
        <v>540</v>
      </c>
      <c r="E321" s="281">
        <f>E319+E320</f>
        <v>80</v>
      </c>
    </row>
    <row r="322" spans="2:35">
      <c r="B322" s="281" t="s">
        <v>541</v>
      </c>
      <c r="C322" s="281" t="s">
        <v>670</v>
      </c>
      <c r="D322" s="281" t="s">
        <v>541</v>
      </c>
      <c r="E322" s="281">
        <v>0</v>
      </c>
    </row>
    <row r="323" spans="2:35">
      <c r="B323" s="281" t="s">
        <v>542</v>
      </c>
      <c r="C323" s="281" t="s">
        <v>670</v>
      </c>
      <c r="D323" s="281" t="s">
        <v>664</v>
      </c>
      <c r="E323" s="281">
        <v>1900</v>
      </c>
      <c r="F323" s="281">
        <f>IF(F$6=$C323,IF(INDEX('Surface DEET'!$Q$9:$W$38,COLUMN(F316)-COLUMN($E$5),1)&gt;0,INDEX('Surface DEET'!$Q$9:$W$38,COLUMN(F316)-COLUMN($E$5),1),0),0)</f>
        <v>0</v>
      </c>
      <c r="G323" s="281">
        <f>IF(G$6=$C323,IF(INDEX('Surface DEET'!$Q$9:$W$38,COLUMN(G316)-COLUMN($E$5),1)&gt;0,INDEX('Surface DEET'!$Q$9:$W$38,COLUMN(G316)-COLUMN($E$5),1),0),0)</f>
        <v>0</v>
      </c>
      <c r="H323" s="281">
        <f>IF(H$6=$C323,IF(INDEX('Surface DEET'!$Q$9:$W$38,COLUMN(H316)-COLUMN($E$5),1)&gt;0,INDEX('Surface DEET'!$Q$9:$W$38,COLUMN(H316)-COLUMN($E$5),1),0),0)</f>
        <v>0</v>
      </c>
      <c r="I323" s="281">
        <f>IF(I$6=$C323,IF(INDEX('Surface DEET'!$Q$9:$W$38,COLUMN(I316)-COLUMN($E$5),1)&gt;0,INDEX('Surface DEET'!$Q$9:$W$38,COLUMN(I316)-COLUMN($E$5),1),0),0)</f>
        <v>0</v>
      </c>
      <c r="J323" s="281">
        <f>IF(J$6=$C323,IF(INDEX('Surface DEET'!$Q$9:$W$38,COLUMN(J316)-COLUMN($E$5),1)&gt;0,INDEX('Surface DEET'!$Q$9:$W$38,COLUMN(J316)-COLUMN($E$5),1),0),0)</f>
        <v>0</v>
      </c>
      <c r="K323" s="281">
        <f>IF(K$6=$C323,IF(INDEX('Surface DEET'!$Q$9:$W$38,COLUMN(K316)-COLUMN($E$5),1)&gt;0,INDEX('Surface DEET'!$Q$9:$W$38,COLUMN(K316)-COLUMN($E$5),1),0),0)</f>
        <v>0</v>
      </c>
      <c r="L323" s="281">
        <f>IF(L$6=$C323,IF(INDEX('Surface DEET'!$Q$9:$W$38,COLUMN(L316)-COLUMN($E$5),1)&gt;0,INDEX('Surface DEET'!$Q$9:$W$38,COLUMN(L316)-COLUMN($E$5),1),0),0)</f>
        <v>0</v>
      </c>
      <c r="M323" s="281">
        <f>IF(M$6=$C323,IF(INDEX('Surface DEET'!$Q$9:$W$38,COLUMN(M316)-COLUMN($E$5),1)&gt;0,INDEX('Surface DEET'!$Q$9:$W$38,COLUMN(M316)-COLUMN($E$5),1),0),0)</f>
        <v>0</v>
      </c>
      <c r="N323" s="281">
        <f>IF(N$6=$C323,IF(INDEX('Surface DEET'!$Q$9:$W$38,COLUMN(N316)-COLUMN($E$5),1)&gt;0,INDEX('Surface DEET'!$Q$9:$W$38,COLUMN(N316)-COLUMN($E$5),1),0),0)</f>
        <v>0</v>
      </c>
      <c r="O323" s="281">
        <f>IF(O$6=$C323,IF(INDEX('Surface DEET'!$Q$9:$W$38,COLUMN(O316)-COLUMN($E$5),1)&gt;0,INDEX('Surface DEET'!$Q$9:$W$38,COLUMN(O316)-COLUMN($E$5),1),0),0)</f>
        <v>0</v>
      </c>
      <c r="P323" s="281">
        <f>IF(P$6=$C323,IF(INDEX('Surface DEET'!$Q$9:$W$38,COLUMN(P316)-COLUMN($E$5),1)&gt;0,INDEX('Surface DEET'!$Q$9:$W$38,COLUMN(P316)-COLUMN($E$5),1),0),0)</f>
        <v>0</v>
      </c>
      <c r="Q323" s="281">
        <f>IF(Q$6=$C323,IF(INDEX('Surface DEET'!$Q$9:$W$38,COLUMN(Q316)-COLUMN($E$5),1)&gt;0,INDEX('Surface DEET'!$Q$9:$W$38,COLUMN(Q316)-COLUMN($E$5),1),0),0)</f>
        <v>0</v>
      </c>
      <c r="R323" s="281">
        <f>IF(R$6=$C323,IF(INDEX('Surface DEET'!$Q$9:$W$38,COLUMN(R316)-COLUMN($E$5),1)&gt;0,INDEX('Surface DEET'!$Q$9:$W$38,COLUMN(R316)-COLUMN($E$5),1),0),0)</f>
        <v>0</v>
      </c>
      <c r="S323" s="281">
        <f>IF(S$6=$C323,IF(INDEX('Surface DEET'!$Q$9:$W$38,COLUMN(S316)-COLUMN($E$5),1)&gt;0,INDEX('Surface DEET'!$Q$9:$W$38,COLUMN(S316)-COLUMN($E$5),1),0),0)</f>
        <v>0</v>
      </c>
      <c r="T323" s="281">
        <f>IF(T$6=$C323,IF(INDEX('Surface DEET'!$Q$9:$W$38,COLUMN(T316)-COLUMN($E$5),1)&gt;0,INDEX('Surface DEET'!$Q$9:$W$38,COLUMN(T316)-COLUMN($E$5),1),0),0)</f>
        <v>0</v>
      </c>
      <c r="U323" s="281">
        <f>IF(U$6=$C323,IF(INDEX('Surface DEET'!$Q$9:$W$38,COLUMN(U316)-COLUMN($E$5),1)&gt;0,INDEX('Surface DEET'!$Q$9:$W$38,COLUMN(U316)-COLUMN($E$5),1),0),0)</f>
        <v>0</v>
      </c>
      <c r="V323" s="281">
        <f>IF(V$6=$C323,IF(INDEX('Surface DEET'!$Q$9:$W$38,COLUMN(V316)-COLUMN($E$5),1)&gt;0,INDEX('Surface DEET'!$Q$9:$W$38,COLUMN(V316)-COLUMN($E$5),1),0),0)</f>
        <v>0</v>
      </c>
      <c r="W323" s="281">
        <f>IF(W$6=$C323,IF(INDEX('Surface DEET'!$Q$9:$W$38,COLUMN(W316)-COLUMN($E$5),1)&gt;0,INDEX('Surface DEET'!$Q$9:$W$38,COLUMN(W316)-COLUMN($E$5),1),0),0)</f>
        <v>0</v>
      </c>
      <c r="X323" s="281">
        <f>IF(X$6=$C323,IF(INDEX('Surface DEET'!$Q$9:$W$38,COLUMN(X316)-COLUMN($E$5),1)&gt;0,INDEX('Surface DEET'!$Q$9:$W$38,COLUMN(X316)-COLUMN($E$5),1),0),0)</f>
        <v>0</v>
      </c>
      <c r="Y323" s="281">
        <f>IF(Y$6=$C323,IF(INDEX('Surface DEET'!$Q$9:$W$38,COLUMN(Y316)-COLUMN($E$5),1)&gt;0,INDEX('Surface DEET'!$Q$9:$W$38,COLUMN(Y316)-COLUMN($E$5),1),0),0)</f>
        <v>0</v>
      </c>
      <c r="Z323" s="281">
        <f>IF(Z$6=$C323,IF(INDEX('Surface DEET'!$Q$9:$W$38,COLUMN(Z316)-COLUMN($E$5),1)&gt;0,INDEX('Surface DEET'!$Q$9:$W$38,COLUMN(Z316)-COLUMN($E$5),1),0),0)</f>
        <v>0</v>
      </c>
      <c r="AA323" s="281">
        <f>IF(AA$6=$C323,IF(INDEX('Surface DEET'!$Q$9:$W$38,COLUMN(AA316)-COLUMN($E$5),1)&gt;0,INDEX('Surface DEET'!$Q$9:$W$38,COLUMN(AA316)-COLUMN($E$5),1),0),0)</f>
        <v>0</v>
      </c>
      <c r="AB323" s="281">
        <f>IF(AB$6=$C323,IF(INDEX('Surface DEET'!$Q$9:$W$38,COLUMN(AB316)-COLUMN($E$5),1)&gt;0,INDEX('Surface DEET'!$Q$9:$W$38,COLUMN(AB316)-COLUMN($E$5),1),0),0)</f>
        <v>0</v>
      </c>
      <c r="AC323" s="281">
        <f>IF(AC$6=$C323,IF(INDEX('Surface DEET'!$Q$9:$W$38,COLUMN(AC316)-COLUMN($E$5),1)&gt;0,INDEX('Surface DEET'!$Q$9:$W$38,COLUMN(AC316)-COLUMN($E$5),1),0),0)</f>
        <v>0</v>
      </c>
      <c r="AD323" s="281">
        <f>IF(AD$6=$C323,IF(INDEX('Surface DEET'!$Q$9:$W$38,COLUMN(AD316)-COLUMN($E$5),1)&gt;0,INDEX('Surface DEET'!$Q$9:$W$38,COLUMN(AD316)-COLUMN($E$5),1),0),0)</f>
        <v>0</v>
      </c>
      <c r="AE323" s="281">
        <f>IF(AE$6=$C323,IF(INDEX('Surface DEET'!$Q$9:$W$38,COLUMN(AE316)-COLUMN($E$5),1)&gt;0,INDEX('Surface DEET'!$Q$9:$W$38,COLUMN(AE316)-COLUMN($E$5),1),0),0)</f>
        <v>0</v>
      </c>
      <c r="AF323" s="281">
        <f>IF(AF$6=$C323,IF(INDEX('Surface DEET'!$Q$9:$W$38,COLUMN(AF316)-COLUMN($E$5),1)&gt;0,INDEX('Surface DEET'!$Q$9:$W$38,COLUMN(AF316)-COLUMN($E$5),1),0),0)</f>
        <v>0</v>
      </c>
      <c r="AG323" s="281">
        <f>IF(AG$6=$C323,IF(INDEX('Surface DEET'!$Q$9:$W$38,COLUMN(AG316)-COLUMN($E$5),1)&gt;0,INDEX('Surface DEET'!$Q$9:$W$38,COLUMN(AG316)-COLUMN($E$5),1),0),0)</f>
        <v>0</v>
      </c>
      <c r="AH323" s="281">
        <f>IF(AH$6=$C323,IF(INDEX('Surface DEET'!$Q$9:$W$38,COLUMN(AH316)-COLUMN($E$5),1)&gt;0,INDEX('Surface DEET'!$Q$9:$W$38,COLUMN(AH316)-COLUMN($E$5),1),0),0)</f>
        <v>0</v>
      </c>
      <c r="AI323" s="281">
        <f>IF(AI$6=$C323,IF(INDEX('Surface DEET'!$Q$9:$W$38,COLUMN(AI316)-COLUMN($E$5),1)&gt;0,INDEX('Surface DEET'!$Q$9:$W$38,COLUMN(AI316)-COLUMN($E$5),1),0),0)</f>
        <v>0</v>
      </c>
    </row>
    <row r="324" spans="2:35">
      <c r="B324" s="281" t="s">
        <v>545</v>
      </c>
      <c r="C324" s="281" t="s">
        <v>670</v>
      </c>
      <c r="D324" s="281" t="s">
        <v>665</v>
      </c>
      <c r="E324" s="281">
        <v>1900</v>
      </c>
      <c r="F324" s="281">
        <f>IF(F$6=$C324,IF(INDEX('Surface DEET'!$Q$9:$W$38,COLUMN(F317)-COLUMN($E$5),4)&gt;0,INDEX('Surface DEET'!$Q$9:$W$38,COLUMN(F317)-COLUMN($E$5),4),0),0)</f>
        <v>0</v>
      </c>
      <c r="G324" s="281">
        <f>IF(G$6=$C324,IF(INDEX('Surface DEET'!$Q$9:$W$38,COLUMN(G317)-COLUMN($E$5),4)&gt;0,INDEX('Surface DEET'!$Q$9:$W$38,COLUMN(G317)-COLUMN($E$5),4),0),0)</f>
        <v>0</v>
      </c>
      <c r="H324" s="281">
        <f>IF(H$6=$C324,IF(INDEX('Surface DEET'!$Q$9:$W$38,COLUMN(H317)-COLUMN($E$5),4)&gt;0,INDEX('Surface DEET'!$Q$9:$W$38,COLUMN(H317)-COLUMN($E$5),4),0),0)</f>
        <v>0</v>
      </c>
      <c r="I324" s="281">
        <f>IF(I$6=$C324,IF(INDEX('Surface DEET'!$Q$9:$W$38,COLUMN(I317)-COLUMN($E$5),4)&gt;0,INDEX('Surface DEET'!$Q$9:$W$38,COLUMN(I317)-COLUMN($E$5),4),0),0)</f>
        <v>0</v>
      </c>
      <c r="J324" s="281">
        <f>IF(J$6=$C324,IF(INDEX('Surface DEET'!$Q$9:$W$38,COLUMN(J317)-COLUMN($E$5),4)&gt;0,INDEX('Surface DEET'!$Q$9:$W$38,COLUMN(J317)-COLUMN($E$5),4),0),0)</f>
        <v>0</v>
      </c>
      <c r="K324" s="281">
        <f>IF(K$6=$C324,IF(INDEX('Surface DEET'!$Q$9:$W$38,COLUMN(K317)-COLUMN($E$5),4)&gt;0,INDEX('Surface DEET'!$Q$9:$W$38,COLUMN(K317)-COLUMN($E$5),4),0),0)</f>
        <v>0</v>
      </c>
      <c r="L324" s="281">
        <f>IF(L$6=$C324,IF(INDEX('Surface DEET'!$Q$9:$W$38,COLUMN(L317)-COLUMN($E$5),4)&gt;0,INDEX('Surface DEET'!$Q$9:$W$38,COLUMN(L317)-COLUMN($E$5),4),0),0)</f>
        <v>0</v>
      </c>
      <c r="M324" s="281">
        <f>IF(M$6=$C324,IF(INDEX('Surface DEET'!$Q$9:$W$38,COLUMN(M317)-COLUMN($E$5),4)&gt;0,INDEX('Surface DEET'!$Q$9:$W$38,COLUMN(M317)-COLUMN($E$5),4),0),0)</f>
        <v>0</v>
      </c>
      <c r="N324" s="281">
        <f>IF(N$6=$C324,IF(INDEX('Surface DEET'!$Q$9:$W$38,COLUMN(N317)-COLUMN($E$5),4)&gt;0,INDEX('Surface DEET'!$Q$9:$W$38,COLUMN(N317)-COLUMN($E$5),4),0),0)</f>
        <v>0</v>
      </c>
      <c r="O324" s="281">
        <f>IF(O$6=$C324,IF(INDEX('Surface DEET'!$Q$9:$W$38,COLUMN(O317)-COLUMN($E$5),4)&gt;0,INDEX('Surface DEET'!$Q$9:$W$38,COLUMN(O317)-COLUMN($E$5),4),0),0)</f>
        <v>0</v>
      </c>
      <c r="P324" s="281">
        <f>IF(P$6=$C324,IF(INDEX('Surface DEET'!$Q$9:$W$38,COLUMN(P317)-COLUMN($E$5),4)&gt;0,INDEX('Surface DEET'!$Q$9:$W$38,COLUMN(P317)-COLUMN($E$5),4),0),0)</f>
        <v>0</v>
      </c>
      <c r="Q324" s="281">
        <f>IF(Q$6=$C324,IF(INDEX('Surface DEET'!$Q$9:$W$38,COLUMN(Q317)-COLUMN($E$5),4)&gt;0,INDEX('Surface DEET'!$Q$9:$W$38,COLUMN(Q317)-COLUMN($E$5),4),0),0)</f>
        <v>0</v>
      </c>
      <c r="R324" s="281">
        <f>IF(R$6=$C324,IF(INDEX('Surface DEET'!$Q$9:$W$38,COLUMN(R317)-COLUMN($E$5),4)&gt;0,INDEX('Surface DEET'!$Q$9:$W$38,COLUMN(R317)-COLUMN($E$5),4),0),0)</f>
        <v>0</v>
      </c>
      <c r="S324" s="281">
        <f>IF(S$6=$C324,IF(INDEX('Surface DEET'!$Q$9:$W$38,COLUMN(S317)-COLUMN($E$5),4)&gt;0,INDEX('Surface DEET'!$Q$9:$W$38,COLUMN(S317)-COLUMN($E$5),4),0),0)</f>
        <v>0</v>
      </c>
      <c r="T324" s="281">
        <f>IF(T$6=$C324,IF(INDEX('Surface DEET'!$Q$9:$W$38,COLUMN(T317)-COLUMN($E$5),4)&gt;0,INDEX('Surface DEET'!$Q$9:$W$38,COLUMN(T317)-COLUMN($E$5),4),0),0)</f>
        <v>0</v>
      </c>
      <c r="U324" s="281">
        <f>IF(U$6=$C324,IF(INDEX('Surface DEET'!$Q$9:$W$38,COLUMN(U317)-COLUMN($E$5),4)&gt;0,INDEX('Surface DEET'!$Q$9:$W$38,COLUMN(U317)-COLUMN($E$5),4),0),0)</f>
        <v>0</v>
      </c>
      <c r="V324" s="281">
        <f>IF(V$6=$C324,IF(INDEX('Surface DEET'!$Q$9:$W$38,COLUMN(V317)-COLUMN($E$5),4)&gt;0,INDEX('Surface DEET'!$Q$9:$W$38,COLUMN(V317)-COLUMN($E$5),4),0),0)</f>
        <v>0</v>
      </c>
      <c r="W324" s="281">
        <f>IF(W$6=$C324,IF(INDEX('Surface DEET'!$Q$9:$W$38,COLUMN(W317)-COLUMN($E$5),4)&gt;0,INDEX('Surface DEET'!$Q$9:$W$38,COLUMN(W317)-COLUMN($E$5),4),0),0)</f>
        <v>0</v>
      </c>
      <c r="X324" s="281">
        <f>IF(X$6=$C324,IF(INDEX('Surface DEET'!$Q$9:$W$38,COLUMN(X317)-COLUMN($E$5),4)&gt;0,INDEX('Surface DEET'!$Q$9:$W$38,COLUMN(X317)-COLUMN($E$5),4),0),0)</f>
        <v>0</v>
      </c>
      <c r="Y324" s="281">
        <f>IF(Y$6=$C324,IF(INDEX('Surface DEET'!$Q$9:$W$38,COLUMN(Y317)-COLUMN($E$5),4)&gt;0,INDEX('Surface DEET'!$Q$9:$W$38,COLUMN(Y317)-COLUMN($E$5),4),0),0)</f>
        <v>0</v>
      </c>
      <c r="Z324" s="281">
        <f>IF(Z$6=$C324,IF(INDEX('Surface DEET'!$Q$9:$W$38,COLUMN(Z317)-COLUMN($E$5),4)&gt;0,INDEX('Surface DEET'!$Q$9:$W$38,COLUMN(Z317)-COLUMN($E$5),4),0),0)</f>
        <v>0</v>
      </c>
      <c r="AA324" s="281">
        <f>IF(AA$6=$C324,IF(INDEX('Surface DEET'!$Q$9:$W$38,COLUMN(AA317)-COLUMN($E$5),4)&gt;0,INDEX('Surface DEET'!$Q$9:$W$38,COLUMN(AA317)-COLUMN($E$5),4),0),0)</f>
        <v>0</v>
      </c>
      <c r="AB324" s="281">
        <f>IF(AB$6=$C324,IF(INDEX('Surface DEET'!$Q$9:$W$38,COLUMN(AB317)-COLUMN($E$5),4)&gt;0,INDEX('Surface DEET'!$Q$9:$W$38,COLUMN(AB317)-COLUMN($E$5),4),0),0)</f>
        <v>0</v>
      </c>
      <c r="AC324" s="281">
        <f>IF(AC$6=$C324,IF(INDEX('Surface DEET'!$Q$9:$W$38,COLUMN(AC317)-COLUMN($E$5),4)&gt;0,INDEX('Surface DEET'!$Q$9:$W$38,COLUMN(AC317)-COLUMN($E$5),4),0),0)</f>
        <v>0</v>
      </c>
      <c r="AD324" s="281">
        <f>IF(AD$6=$C324,IF(INDEX('Surface DEET'!$Q$9:$W$38,COLUMN(AD317)-COLUMN($E$5),4)&gt;0,INDEX('Surface DEET'!$Q$9:$W$38,COLUMN(AD317)-COLUMN($E$5),4),0),0)</f>
        <v>0</v>
      </c>
      <c r="AE324" s="281">
        <f>IF(AE$6=$C324,IF(INDEX('Surface DEET'!$Q$9:$W$38,COLUMN(AE317)-COLUMN($E$5),4)&gt;0,INDEX('Surface DEET'!$Q$9:$W$38,COLUMN(AE317)-COLUMN($E$5),4),0),0)</f>
        <v>0</v>
      </c>
      <c r="AF324" s="281">
        <f>IF(AF$6=$C324,IF(INDEX('Surface DEET'!$Q$9:$W$38,COLUMN(AF317)-COLUMN($E$5),4)&gt;0,INDEX('Surface DEET'!$Q$9:$W$38,COLUMN(AF317)-COLUMN($E$5),4),0),0)</f>
        <v>0</v>
      </c>
      <c r="AG324" s="281">
        <f>IF(AG$6=$C324,IF(INDEX('Surface DEET'!$Q$9:$W$38,COLUMN(AG317)-COLUMN($E$5),4)&gt;0,INDEX('Surface DEET'!$Q$9:$W$38,COLUMN(AG317)-COLUMN($E$5),4),0),0)</f>
        <v>0</v>
      </c>
      <c r="AH324" s="281">
        <f>IF(AH$6=$C324,IF(INDEX('Surface DEET'!$Q$9:$W$38,COLUMN(AH317)-COLUMN($E$5),4)&gt;0,INDEX('Surface DEET'!$Q$9:$W$38,COLUMN(AH317)-COLUMN($E$5),4),0),0)</f>
        <v>0</v>
      </c>
      <c r="AI324" s="281">
        <f>IF(AI$6=$C324,IF(INDEX('Surface DEET'!$Q$9:$W$38,COLUMN(AI317)-COLUMN($E$5),4)&gt;0,INDEX('Surface DEET'!$Q$9:$W$38,COLUMN(AI317)-COLUMN($E$5),4),0),0)</f>
        <v>0</v>
      </c>
    </row>
    <row r="325" spans="2:35">
      <c r="B325" s="281" t="s">
        <v>548</v>
      </c>
      <c r="C325" s="281" t="s">
        <v>670</v>
      </c>
    </row>
    <row r="326" spans="2:35">
      <c r="B326" s="281" t="s">
        <v>538</v>
      </c>
      <c r="C326" s="281" t="s">
        <v>670</v>
      </c>
      <c r="D326" s="281" t="s">
        <v>538</v>
      </c>
      <c r="F326" s="281">
        <f>$E$320*(1+2*F323/$E$323+F324/$E$324)</f>
        <v>20</v>
      </c>
      <c r="G326" s="281">
        <f t="shared" ref="G326:AI326" si="39">$E$320*(1+2*G323/$E$323+G324/$E$324)</f>
        <v>20</v>
      </c>
      <c r="H326" s="281">
        <f t="shared" si="39"/>
        <v>20</v>
      </c>
      <c r="I326" s="281">
        <f t="shared" si="39"/>
        <v>20</v>
      </c>
      <c r="J326" s="281">
        <f t="shared" si="39"/>
        <v>20</v>
      </c>
      <c r="K326" s="281">
        <f t="shared" si="39"/>
        <v>20</v>
      </c>
      <c r="L326" s="281">
        <f t="shared" si="39"/>
        <v>20</v>
      </c>
      <c r="M326" s="281">
        <f t="shared" si="39"/>
        <v>20</v>
      </c>
      <c r="N326" s="281">
        <f t="shared" si="39"/>
        <v>20</v>
      </c>
      <c r="O326" s="281">
        <f t="shared" si="39"/>
        <v>20</v>
      </c>
      <c r="P326" s="281">
        <f t="shared" si="39"/>
        <v>20</v>
      </c>
      <c r="Q326" s="281">
        <f t="shared" si="39"/>
        <v>20</v>
      </c>
      <c r="R326" s="281">
        <f t="shared" si="39"/>
        <v>20</v>
      </c>
      <c r="S326" s="281">
        <f t="shared" si="39"/>
        <v>20</v>
      </c>
      <c r="T326" s="281">
        <f t="shared" si="39"/>
        <v>20</v>
      </c>
      <c r="U326" s="281">
        <f t="shared" si="39"/>
        <v>20</v>
      </c>
      <c r="V326" s="281">
        <f t="shared" si="39"/>
        <v>20</v>
      </c>
      <c r="W326" s="281">
        <f t="shared" si="39"/>
        <v>20</v>
      </c>
      <c r="X326" s="281">
        <f t="shared" si="39"/>
        <v>20</v>
      </c>
      <c r="Y326" s="281">
        <f t="shared" si="39"/>
        <v>20</v>
      </c>
      <c r="Z326" s="281">
        <f t="shared" si="39"/>
        <v>20</v>
      </c>
      <c r="AA326" s="281">
        <f t="shared" si="39"/>
        <v>20</v>
      </c>
      <c r="AB326" s="281">
        <f t="shared" si="39"/>
        <v>20</v>
      </c>
      <c r="AC326" s="281">
        <f t="shared" si="39"/>
        <v>20</v>
      </c>
      <c r="AD326" s="281">
        <f t="shared" si="39"/>
        <v>20</v>
      </c>
      <c r="AE326" s="281">
        <f t="shared" si="39"/>
        <v>20</v>
      </c>
      <c r="AF326" s="281">
        <f t="shared" si="39"/>
        <v>20</v>
      </c>
      <c r="AG326" s="281">
        <f t="shared" si="39"/>
        <v>20</v>
      </c>
      <c r="AH326" s="281">
        <f t="shared" si="39"/>
        <v>20</v>
      </c>
      <c r="AI326" s="281">
        <f t="shared" si="39"/>
        <v>20</v>
      </c>
    </row>
    <row r="327" spans="2:35">
      <c r="B327" s="92" t="s">
        <v>298</v>
      </c>
      <c r="C327" s="281" t="s">
        <v>671</v>
      </c>
      <c r="D327" s="92" t="s">
        <v>298</v>
      </c>
      <c r="E327" s="281">
        <f t="array" ref="E327">INDEX(CABS_CVC!$C$3:$O$894,MATCH(1, (CABS_CVC!$A$3:$A$894=Calculs_CABS!C327)*(CABS_CVC!$B$3:$B$894=Calculs_CABS!$D$2),0),MATCH(Calculs_CABS!$D$1,Liste_CABS!$B$3:$B$15,0))</f>
        <v>60</v>
      </c>
    </row>
    <row r="328" spans="2:35">
      <c r="B328" s="281" t="s">
        <v>539</v>
      </c>
      <c r="C328" s="281" t="s">
        <v>671</v>
      </c>
      <c r="D328" s="281" t="s">
        <v>539</v>
      </c>
      <c r="E328" s="281">
        <v>35</v>
      </c>
    </row>
    <row r="329" spans="2:35">
      <c r="B329" s="281" t="s">
        <v>540</v>
      </c>
      <c r="C329" s="281" t="s">
        <v>671</v>
      </c>
      <c r="D329" s="281" t="s">
        <v>540</v>
      </c>
      <c r="E329" s="281">
        <f>E327+E328</f>
        <v>95</v>
      </c>
    </row>
    <row r="330" spans="2:35">
      <c r="B330" s="281" t="s">
        <v>541</v>
      </c>
      <c r="C330" s="281" t="s">
        <v>671</v>
      </c>
      <c r="D330" s="281" t="s">
        <v>541</v>
      </c>
      <c r="E330" s="281">
        <v>0</v>
      </c>
    </row>
    <row r="331" spans="2:35">
      <c r="B331" s="281" t="s">
        <v>542</v>
      </c>
      <c r="C331" s="281" t="s">
        <v>671</v>
      </c>
      <c r="D331" s="281" t="s">
        <v>664</v>
      </c>
      <c r="E331" s="281">
        <v>1900</v>
      </c>
      <c r="F331" s="281">
        <f>IF(F$6=$C331,IF(INDEX('Surface DEET'!$Q$9:$W$38,COLUMN(F324)-COLUMN($E$5),1)&gt;0,INDEX('Surface DEET'!$Q$9:$W$38,COLUMN(F324)-COLUMN($E$5),1),0),0)</f>
        <v>0</v>
      </c>
      <c r="G331" s="281">
        <f>IF(G$6=$C331,IF(INDEX('Surface DEET'!$Q$9:$W$38,COLUMN(G324)-COLUMN($E$5),1)&gt;0,INDEX('Surface DEET'!$Q$9:$W$38,COLUMN(G324)-COLUMN($E$5),1),0),0)</f>
        <v>0</v>
      </c>
      <c r="H331" s="281">
        <f>IF(H$6=$C331,IF(INDEX('Surface DEET'!$Q$9:$W$38,COLUMN(H324)-COLUMN($E$5),1)&gt;0,INDEX('Surface DEET'!$Q$9:$W$38,COLUMN(H324)-COLUMN($E$5),1),0),0)</f>
        <v>0</v>
      </c>
      <c r="I331" s="281">
        <f>IF(I$6=$C331,IF(INDEX('Surface DEET'!$Q$9:$W$38,COLUMN(I324)-COLUMN($E$5),1)&gt;0,INDEX('Surface DEET'!$Q$9:$W$38,COLUMN(I324)-COLUMN($E$5),1),0),0)</f>
        <v>0</v>
      </c>
      <c r="J331" s="281">
        <f>IF(J$6=$C331,IF(INDEX('Surface DEET'!$Q$9:$W$38,COLUMN(J324)-COLUMN($E$5),1)&gt;0,INDEX('Surface DEET'!$Q$9:$W$38,COLUMN(J324)-COLUMN($E$5),1),0),0)</f>
        <v>0</v>
      </c>
      <c r="K331" s="281">
        <f>IF(K$6=$C331,IF(INDEX('Surface DEET'!$Q$9:$W$38,COLUMN(K324)-COLUMN($E$5),1)&gt;0,INDEX('Surface DEET'!$Q$9:$W$38,COLUMN(K324)-COLUMN($E$5),1),0),0)</f>
        <v>0</v>
      </c>
      <c r="L331" s="281">
        <f>IF(L$6=$C331,IF(INDEX('Surface DEET'!$Q$9:$W$38,COLUMN(L324)-COLUMN($E$5),1)&gt;0,INDEX('Surface DEET'!$Q$9:$W$38,COLUMN(L324)-COLUMN($E$5),1),0),0)</f>
        <v>0</v>
      </c>
      <c r="M331" s="281">
        <f>IF(M$6=$C331,IF(INDEX('Surface DEET'!$Q$9:$W$38,COLUMN(M324)-COLUMN($E$5),1)&gt;0,INDEX('Surface DEET'!$Q$9:$W$38,COLUMN(M324)-COLUMN($E$5),1),0),0)</f>
        <v>0</v>
      </c>
      <c r="N331" s="281">
        <f>IF(N$6=$C331,IF(INDEX('Surface DEET'!$Q$9:$W$38,COLUMN(N324)-COLUMN($E$5),1)&gt;0,INDEX('Surface DEET'!$Q$9:$W$38,COLUMN(N324)-COLUMN($E$5),1),0),0)</f>
        <v>0</v>
      </c>
      <c r="O331" s="281">
        <f>IF(O$6=$C331,IF(INDEX('Surface DEET'!$Q$9:$W$38,COLUMN(O324)-COLUMN($E$5),1)&gt;0,INDEX('Surface DEET'!$Q$9:$W$38,COLUMN(O324)-COLUMN($E$5),1),0),0)</f>
        <v>0</v>
      </c>
      <c r="P331" s="281">
        <f>IF(P$6=$C331,IF(INDEX('Surface DEET'!$Q$9:$W$38,COLUMN(P324)-COLUMN($E$5),1)&gt;0,INDEX('Surface DEET'!$Q$9:$W$38,COLUMN(P324)-COLUMN($E$5),1),0),0)</f>
        <v>0</v>
      </c>
      <c r="Q331" s="281">
        <f>IF(Q$6=$C331,IF(INDEX('Surface DEET'!$Q$9:$W$38,COLUMN(Q324)-COLUMN($E$5),1)&gt;0,INDEX('Surface DEET'!$Q$9:$W$38,COLUMN(Q324)-COLUMN($E$5),1),0),0)</f>
        <v>0</v>
      </c>
      <c r="R331" s="281">
        <f>IF(R$6=$C331,IF(INDEX('Surface DEET'!$Q$9:$W$38,COLUMN(R324)-COLUMN($E$5),1)&gt;0,INDEX('Surface DEET'!$Q$9:$W$38,COLUMN(R324)-COLUMN($E$5),1),0),0)</f>
        <v>0</v>
      </c>
      <c r="S331" s="281">
        <f>IF(S$6=$C331,IF(INDEX('Surface DEET'!$Q$9:$W$38,COLUMN(S324)-COLUMN($E$5),1)&gt;0,INDEX('Surface DEET'!$Q$9:$W$38,COLUMN(S324)-COLUMN($E$5),1),0),0)</f>
        <v>0</v>
      </c>
      <c r="T331" s="281">
        <f>IF(T$6=$C331,IF(INDEX('Surface DEET'!$Q$9:$W$38,COLUMN(T324)-COLUMN($E$5),1)&gt;0,INDEX('Surface DEET'!$Q$9:$W$38,COLUMN(T324)-COLUMN($E$5),1),0),0)</f>
        <v>0</v>
      </c>
      <c r="U331" s="281">
        <f>IF(U$6=$C331,IF(INDEX('Surface DEET'!$Q$9:$W$38,COLUMN(U324)-COLUMN($E$5),1)&gt;0,INDEX('Surface DEET'!$Q$9:$W$38,COLUMN(U324)-COLUMN($E$5),1),0),0)</f>
        <v>0</v>
      </c>
      <c r="V331" s="281">
        <f>IF(V$6=$C331,IF(INDEX('Surface DEET'!$Q$9:$W$38,COLUMN(V324)-COLUMN($E$5),1)&gt;0,INDEX('Surface DEET'!$Q$9:$W$38,COLUMN(V324)-COLUMN($E$5),1),0),0)</f>
        <v>0</v>
      </c>
      <c r="W331" s="281">
        <f>IF(W$6=$C331,IF(INDEX('Surface DEET'!$Q$9:$W$38,COLUMN(W324)-COLUMN($E$5),1)&gt;0,INDEX('Surface DEET'!$Q$9:$W$38,COLUMN(W324)-COLUMN($E$5),1),0),0)</f>
        <v>0</v>
      </c>
      <c r="X331" s="281">
        <f>IF(X$6=$C331,IF(INDEX('Surface DEET'!$Q$9:$W$38,COLUMN(X324)-COLUMN($E$5),1)&gt;0,INDEX('Surface DEET'!$Q$9:$W$38,COLUMN(X324)-COLUMN($E$5),1),0),0)</f>
        <v>0</v>
      </c>
      <c r="Y331" s="281">
        <f>IF(Y$6=$C331,IF(INDEX('Surface DEET'!$Q$9:$W$38,COLUMN(Y324)-COLUMN($E$5),1)&gt;0,INDEX('Surface DEET'!$Q$9:$W$38,COLUMN(Y324)-COLUMN($E$5),1),0),0)</f>
        <v>0</v>
      </c>
      <c r="Z331" s="281">
        <f>IF(Z$6=$C331,IF(INDEX('Surface DEET'!$Q$9:$W$38,COLUMN(Z324)-COLUMN($E$5),1)&gt;0,INDEX('Surface DEET'!$Q$9:$W$38,COLUMN(Z324)-COLUMN($E$5),1),0),0)</f>
        <v>0</v>
      </c>
      <c r="AA331" s="281">
        <f>IF(AA$6=$C331,IF(INDEX('Surface DEET'!$Q$9:$W$38,COLUMN(AA324)-COLUMN($E$5),1)&gt;0,INDEX('Surface DEET'!$Q$9:$W$38,COLUMN(AA324)-COLUMN($E$5),1),0),0)</f>
        <v>0</v>
      </c>
      <c r="AB331" s="281">
        <f>IF(AB$6=$C331,IF(INDEX('Surface DEET'!$Q$9:$W$38,COLUMN(AB324)-COLUMN($E$5),1)&gt;0,INDEX('Surface DEET'!$Q$9:$W$38,COLUMN(AB324)-COLUMN($E$5),1),0),0)</f>
        <v>0</v>
      </c>
      <c r="AC331" s="281">
        <f>IF(AC$6=$C331,IF(INDEX('Surface DEET'!$Q$9:$W$38,COLUMN(AC324)-COLUMN($E$5),1)&gt;0,INDEX('Surface DEET'!$Q$9:$W$38,COLUMN(AC324)-COLUMN($E$5),1),0),0)</f>
        <v>0</v>
      </c>
      <c r="AD331" s="281">
        <f>IF(AD$6=$C331,IF(INDEX('Surface DEET'!$Q$9:$W$38,COLUMN(AD324)-COLUMN($E$5),1)&gt;0,INDEX('Surface DEET'!$Q$9:$W$38,COLUMN(AD324)-COLUMN($E$5),1),0),0)</f>
        <v>0</v>
      </c>
      <c r="AE331" s="281">
        <f>IF(AE$6=$C331,IF(INDEX('Surface DEET'!$Q$9:$W$38,COLUMN(AE324)-COLUMN($E$5),1)&gt;0,INDEX('Surface DEET'!$Q$9:$W$38,COLUMN(AE324)-COLUMN($E$5),1),0),0)</f>
        <v>0</v>
      </c>
      <c r="AF331" s="281">
        <f>IF(AF$6=$C331,IF(INDEX('Surface DEET'!$Q$9:$W$38,COLUMN(AF324)-COLUMN($E$5),1)&gt;0,INDEX('Surface DEET'!$Q$9:$W$38,COLUMN(AF324)-COLUMN($E$5),1),0),0)</f>
        <v>0</v>
      </c>
      <c r="AG331" s="281">
        <f>IF(AG$6=$C331,IF(INDEX('Surface DEET'!$Q$9:$W$38,COLUMN(AG324)-COLUMN($E$5),1)&gt;0,INDEX('Surface DEET'!$Q$9:$W$38,COLUMN(AG324)-COLUMN($E$5),1),0),0)</f>
        <v>0</v>
      </c>
      <c r="AH331" s="281">
        <f>IF(AH$6=$C331,IF(INDEX('Surface DEET'!$Q$9:$W$38,COLUMN(AH324)-COLUMN($E$5),1)&gt;0,INDEX('Surface DEET'!$Q$9:$W$38,COLUMN(AH324)-COLUMN($E$5),1),0),0)</f>
        <v>0</v>
      </c>
      <c r="AI331" s="281">
        <f>IF(AI$6=$C331,IF(INDEX('Surface DEET'!$Q$9:$W$38,COLUMN(AI324)-COLUMN($E$5),1)&gt;0,INDEX('Surface DEET'!$Q$9:$W$38,COLUMN(AI324)-COLUMN($E$5),1),0),0)</f>
        <v>0</v>
      </c>
    </row>
    <row r="332" spans="2:35">
      <c r="B332" s="281" t="s">
        <v>545</v>
      </c>
      <c r="C332" s="281" t="s">
        <v>671</v>
      </c>
      <c r="D332" s="281" t="s">
        <v>665</v>
      </c>
      <c r="E332" s="281">
        <v>1900</v>
      </c>
      <c r="F332" s="281">
        <f>IF(F$6=$C332,IF(INDEX('Surface DEET'!$Q$9:$W$38,COLUMN(F325)-COLUMN($E$5),4)&gt;0,INDEX('Surface DEET'!$Q$9:$W$38,COLUMN(F325)-COLUMN($E$5),4),0),0)</f>
        <v>0</v>
      </c>
      <c r="G332" s="281">
        <f>IF(G$6=$C332,IF(INDEX('Surface DEET'!$Q$9:$W$38,COLUMN(G325)-COLUMN($E$5),4)&gt;0,INDEX('Surface DEET'!$Q$9:$W$38,COLUMN(G325)-COLUMN($E$5),4),0),0)</f>
        <v>0</v>
      </c>
      <c r="H332" s="281">
        <f>IF(H$6=$C332,IF(INDEX('Surface DEET'!$Q$9:$W$38,COLUMN(H325)-COLUMN($E$5),4)&gt;0,INDEX('Surface DEET'!$Q$9:$W$38,COLUMN(H325)-COLUMN($E$5),4),0),0)</f>
        <v>0</v>
      </c>
      <c r="I332" s="281">
        <f>IF(I$6=$C332,IF(INDEX('Surface DEET'!$Q$9:$W$38,COLUMN(I325)-COLUMN($E$5),4)&gt;0,INDEX('Surface DEET'!$Q$9:$W$38,COLUMN(I325)-COLUMN($E$5),4),0),0)</f>
        <v>0</v>
      </c>
      <c r="J332" s="281">
        <f>IF(J$6=$C332,IF(INDEX('Surface DEET'!$Q$9:$W$38,COLUMN(J325)-COLUMN($E$5),4)&gt;0,INDEX('Surface DEET'!$Q$9:$W$38,COLUMN(J325)-COLUMN($E$5),4),0),0)</f>
        <v>0</v>
      </c>
      <c r="K332" s="281">
        <f>IF(K$6=$C332,IF(INDEX('Surface DEET'!$Q$9:$W$38,COLUMN(K325)-COLUMN($E$5),4)&gt;0,INDEX('Surface DEET'!$Q$9:$W$38,COLUMN(K325)-COLUMN($E$5),4),0),0)</f>
        <v>0</v>
      </c>
      <c r="L332" s="281">
        <f>IF(L$6=$C332,IF(INDEX('Surface DEET'!$Q$9:$W$38,COLUMN(L325)-COLUMN($E$5),4)&gt;0,INDEX('Surface DEET'!$Q$9:$W$38,COLUMN(L325)-COLUMN($E$5),4),0),0)</f>
        <v>0</v>
      </c>
      <c r="M332" s="281">
        <f>IF(M$6=$C332,IF(INDEX('Surface DEET'!$Q$9:$W$38,COLUMN(M325)-COLUMN($E$5),4)&gt;0,INDEX('Surface DEET'!$Q$9:$W$38,COLUMN(M325)-COLUMN($E$5),4),0),0)</f>
        <v>0</v>
      </c>
      <c r="N332" s="281">
        <f>IF(N$6=$C332,IF(INDEX('Surface DEET'!$Q$9:$W$38,COLUMN(N325)-COLUMN($E$5),4)&gt;0,INDEX('Surface DEET'!$Q$9:$W$38,COLUMN(N325)-COLUMN($E$5),4),0),0)</f>
        <v>0</v>
      </c>
      <c r="O332" s="281">
        <f>IF(O$6=$C332,IF(INDEX('Surface DEET'!$Q$9:$W$38,COLUMN(O325)-COLUMN($E$5),4)&gt;0,INDEX('Surface DEET'!$Q$9:$W$38,COLUMN(O325)-COLUMN($E$5),4),0),0)</f>
        <v>0</v>
      </c>
      <c r="P332" s="281">
        <f>IF(P$6=$C332,IF(INDEX('Surface DEET'!$Q$9:$W$38,COLUMN(P325)-COLUMN($E$5),4)&gt;0,INDEX('Surface DEET'!$Q$9:$W$38,COLUMN(P325)-COLUMN($E$5),4),0),0)</f>
        <v>0</v>
      </c>
      <c r="Q332" s="281">
        <f>IF(Q$6=$C332,IF(INDEX('Surface DEET'!$Q$9:$W$38,COLUMN(Q325)-COLUMN($E$5),4)&gt;0,INDEX('Surface DEET'!$Q$9:$W$38,COLUMN(Q325)-COLUMN($E$5),4),0),0)</f>
        <v>0</v>
      </c>
      <c r="R332" s="281">
        <f>IF(R$6=$C332,IF(INDEX('Surface DEET'!$Q$9:$W$38,COLUMN(R325)-COLUMN($E$5),4)&gt;0,INDEX('Surface DEET'!$Q$9:$W$38,COLUMN(R325)-COLUMN($E$5),4),0),0)</f>
        <v>0</v>
      </c>
      <c r="S332" s="281">
        <f>IF(S$6=$C332,IF(INDEX('Surface DEET'!$Q$9:$W$38,COLUMN(S325)-COLUMN($E$5),4)&gt;0,INDEX('Surface DEET'!$Q$9:$W$38,COLUMN(S325)-COLUMN($E$5),4),0),0)</f>
        <v>0</v>
      </c>
      <c r="T332" s="281">
        <f>IF(T$6=$C332,IF(INDEX('Surface DEET'!$Q$9:$W$38,COLUMN(T325)-COLUMN($E$5),4)&gt;0,INDEX('Surface DEET'!$Q$9:$W$38,COLUMN(T325)-COLUMN($E$5),4),0),0)</f>
        <v>0</v>
      </c>
      <c r="U332" s="281">
        <f>IF(U$6=$C332,IF(INDEX('Surface DEET'!$Q$9:$W$38,COLUMN(U325)-COLUMN($E$5),4)&gt;0,INDEX('Surface DEET'!$Q$9:$W$38,COLUMN(U325)-COLUMN($E$5),4),0),0)</f>
        <v>0</v>
      </c>
      <c r="V332" s="281">
        <f>IF(V$6=$C332,IF(INDEX('Surface DEET'!$Q$9:$W$38,COLUMN(V325)-COLUMN($E$5),4)&gt;0,INDEX('Surface DEET'!$Q$9:$W$38,COLUMN(V325)-COLUMN($E$5),4),0),0)</f>
        <v>0</v>
      </c>
      <c r="W332" s="281">
        <f>IF(W$6=$C332,IF(INDEX('Surface DEET'!$Q$9:$W$38,COLUMN(W325)-COLUMN($E$5),4)&gt;0,INDEX('Surface DEET'!$Q$9:$W$38,COLUMN(W325)-COLUMN($E$5),4),0),0)</f>
        <v>0</v>
      </c>
      <c r="X332" s="281">
        <f>IF(X$6=$C332,IF(INDEX('Surface DEET'!$Q$9:$W$38,COLUMN(X325)-COLUMN($E$5),4)&gt;0,INDEX('Surface DEET'!$Q$9:$W$38,COLUMN(X325)-COLUMN($E$5),4),0),0)</f>
        <v>0</v>
      </c>
      <c r="Y332" s="281">
        <f>IF(Y$6=$C332,IF(INDEX('Surface DEET'!$Q$9:$W$38,COLUMN(Y325)-COLUMN($E$5),4)&gt;0,INDEX('Surface DEET'!$Q$9:$W$38,COLUMN(Y325)-COLUMN($E$5),4),0),0)</f>
        <v>0</v>
      </c>
      <c r="Z332" s="281">
        <f>IF(Z$6=$C332,IF(INDEX('Surface DEET'!$Q$9:$W$38,COLUMN(Z325)-COLUMN($E$5),4)&gt;0,INDEX('Surface DEET'!$Q$9:$W$38,COLUMN(Z325)-COLUMN($E$5),4),0),0)</f>
        <v>0</v>
      </c>
      <c r="AA332" s="281">
        <f>IF(AA$6=$C332,IF(INDEX('Surface DEET'!$Q$9:$W$38,COLUMN(AA325)-COLUMN($E$5),4)&gt;0,INDEX('Surface DEET'!$Q$9:$W$38,COLUMN(AA325)-COLUMN($E$5),4),0),0)</f>
        <v>0</v>
      </c>
      <c r="AB332" s="281">
        <f>IF(AB$6=$C332,IF(INDEX('Surface DEET'!$Q$9:$W$38,COLUMN(AB325)-COLUMN($E$5),4)&gt;0,INDEX('Surface DEET'!$Q$9:$W$38,COLUMN(AB325)-COLUMN($E$5),4),0),0)</f>
        <v>0</v>
      </c>
      <c r="AC332" s="281">
        <f>IF(AC$6=$C332,IF(INDEX('Surface DEET'!$Q$9:$W$38,COLUMN(AC325)-COLUMN($E$5),4)&gt;0,INDEX('Surface DEET'!$Q$9:$W$38,COLUMN(AC325)-COLUMN($E$5),4),0),0)</f>
        <v>0</v>
      </c>
      <c r="AD332" s="281">
        <f>IF(AD$6=$C332,IF(INDEX('Surface DEET'!$Q$9:$W$38,COLUMN(AD325)-COLUMN($E$5),4)&gt;0,INDEX('Surface DEET'!$Q$9:$W$38,COLUMN(AD325)-COLUMN($E$5),4),0),0)</f>
        <v>0</v>
      </c>
      <c r="AE332" s="281">
        <f>IF(AE$6=$C332,IF(INDEX('Surface DEET'!$Q$9:$W$38,COLUMN(AE325)-COLUMN($E$5),4)&gt;0,INDEX('Surface DEET'!$Q$9:$W$38,COLUMN(AE325)-COLUMN($E$5),4),0),0)</f>
        <v>0</v>
      </c>
      <c r="AF332" s="281">
        <f>IF(AF$6=$C332,IF(INDEX('Surface DEET'!$Q$9:$W$38,COLUMN(AF325)-COLUMN($E$5),4)&gt;0,INDEX('Surface DEET'!$Q$9:$W$38,COLUMN(AF325)-COLUMN($E$5),4),0),0)</f>
        <v>0</v>
      </c>
      <c r="AG332" s="281">
        <f>IF(AG$6=$C332,IF(INDEX('Surface DEET'!$Q$9:$W$38,COLUMN(AG325)-COLUMN($E$5),4)&gt;0,INDEX('Surface DEET'!$Q$9:$W$38,COLUMN(AG325)-COLUMN($E$5),4),0),0)</f>
        <v>0</v>
      </c>
      <c r="AH332" s="281">
        <f>IF(AH$6=$C332,IF(INDEX('Surface DEET'!$Q$9:$W$38,COLUMN(AH325)-COLUMN($E$5),4)&gt;0,INDEX('Surface DEET'!$Q$9:$W$38,COLUMN(AH325)-COLUMN($E$5),4),0),0)</f>
        <v>0</v>
      </c>
      <c r="AI332" s="281">
        <f>IF(AI$6=$C332,IF(INDEX('Surface DEET'!$Q$9:$W$38,COLUMN(AI325)-COLUMN($E$5),4)&gt;0,INDEX('Surface DEET'!$Q$9:$W$38,COLUMN(AI325)-COLUMN($E$5),4),0),0)</f>
        <v>0</v>
      </c>
    </row>
    <row r="333" spans="2:35">
      <c r="B333" s="281" t="s">
        <v>548</v>
      </c>
      <c r="C333" s="281" t="s">
        <v>671</v>
      </c>
    </row>
    <row r="334" spans="2:35">
      <c r="B334" s="281" t="s">
        <v>538</v>
      </c>
      <c r="C334" s="281" t="s">
        <v>671</v>
      </c>
      <c r="D334" s="281" t="s">
        <v>538</v>
      </c>
      <c r="F334" s="281">
        <f>$E$328*(1+2*F331/$E$331+F332/$E$332)</f>
        <v>35</v>
      </c>
      <c r="G334" s="281">
        <f t="shared" ref="G334:AI334" si="40">$E$328*(1+2*G331/$E$331+G332/$E$332)</f>
        <v>35</v>
      </c>
      <c r="H334" s="281">
        <f t="shared" si="40"/>
        <v>35</v>
      </c>
      <c r="I334" s="281">
        <f t="shared" si="40"/>
        <v>35</v>
      </c>
      <c r="J334" s="281">
        <f t="shared" si="40"/>
        <v>35</v>
      </c>
      <c r="K334" s="281">
        <f t="shared" si="40"/>
        <v>35</v>
      </c>
      <c r="L334" s="281">
        <f t="shared" si="40"/>
        <v>35</v>
      </c>
      <c r="M334" s="281">
        <f t="shared" si="40"/>
        <v>35</v>
      </c>
      <c r="N334" s="281">
        <f t="shared" si="40"/>
        <v>35</v>
      </c>
      <c r="O334" s="281">
        <f t="shared" si="40"/>
        <v>35</v>
      </c>
      <c r="P334" s="281">
        <f t="shared" si="40"/>
        <v>35</v>
      </c>
      <c r="Q334" s="281">
        <f t="shared" si="40"/>
        <v>35</v>
      </c>
      <c r="R334" s="281">
        <f t="shared" si="40"/>
        <v>35</v>
      </c>
      <c r="S334" s="281">
        <f t="shared" si="40"/>
        <v>35</v>
      </c>
      <c r="T334" s="281">
        <f t="shared" si="40"/>
        <v>35</v>
      </c>
      <c r="U334" s="281">
        <f t="shared" si="40"/>
        <v>35</v>
      </c>
      <c r="V334" s="281">
        <f t="shared" si="40"/>
        <v>35</v>
      </c>
      <c r="W334" s="281">
        <f t="shared" si="40"/>
        <v>35</v>
      </c>
      <c r="X334" s="281">
        <f t="shared" si="40"/>
        <v>35</v>
      </c>
      <c r="Y334" s="281">
        <f t="shared" si="40"/>
        <v>35</v>
      </c>
      <c r="Z334" s="281">
        <f t="shared" si="40"/>
        <v>35</v>
      </c>
      <c r="AA334" s="281">
        <f t="shared" si="40"/>
        <v>35</v>
      </c>
      <c r="AB334" s="281">
        <f t="shared" si="40"/>
        <v>35</v>
      </c>
      <c r="AC334" s="281">
        <f t="shared" si="40"/>
        <v>35</v>
      </c>
      <c r="AD334" s="281">
        <f t="shared" si="40"/>
        <v>35</v>
      </c>
      <c r="AE334" s="281">
        <f t="shared" si="40"/>
        <v>35</v>
      </c>
      <c r="AF334" s="281">
        <f t="shared" si="40"/>
        <v>35</v>
      </c>
      <c r="AG334" s="281">
        <f t="shared" si="40"/>
        <v>35</v>
      </c>
      <c r="AH334" s="281">
        <f t="shared" si="40"/>
        <v>35</v>
      </c>
      <c r="AI334" s="281">
        <f t="shared" si="40"/>
        <v>35</v>
      </c>
    </row>
    <row r="335" spans="2:35">
      <c r="B335" s="92" t="s">
        <v>298</v>
      </c>
      <c r="C335" s="281" t="s">
        <v>672</v>
      </c>
      <c r="D335" s="92" t="s">
        <v>298</v>
      </c>
      <c r="E335" s="281">
        <f t="array" ref="E335">INDEX(CABS_CVC!$C$3:$O$894,MATCH(1, (CABS_CVC!$A$3:$A$894=Calculs_CABS!C335)*(CABS_CVC!$B$3:$B$894=Calculs_CABS!$D$2),0),MATCH(Calculs_CABS!$D$1,Liste_CABS!$B$3:$B$15,0))</f>
        <v>60</v>
      </c>
    </row>
    <row r="336" spans="2:35">
      <c r="B336" s="281" t="s">
        <v>539</v>
      </c>
      <c r="C336" s="281" t="s">
        <v>672</v>
      </c>
      <c r="D336" s="281" t="s">
        <v>539</v>
      </c>
      <c r="E336" s="281">
        <v>21</v>
      </c>
    </row>
    <row r="337" spans="2:35">
      <c r="B337" s="281" t="s">
        <v>540</v>
      </c>
      <c r="C337" s="281" t="s">
        <v>672</v>
      </c>
      <c r="D337" s="281" t="s">
        <v>540</v>
      </c>
      <c r="E337" s="281">
        <f>E335+E336</f>
        <v>81</v>
      </c>
    </row>
    <row r="338" spans="2:35">
      <c r="B338" s="281" t="s">
        <v>541</v>
      </c>
      <c r="C338" s="281" t="s">
        <v>672</v>
      </c>
      <c r="D338" s="281" t="s">
        <v>541</v>
      </c>
      <c r="E338" s="281">
        <v>0</v>
      </c>
    </row>
    <row r="339" spans="2:35">
      <c r="B339" s="281" t="s">
        <v>542</v>
      </c>
      <c r="C339" s="281" t="s">
        <v>672</v>
      </c>
      <c r="D339" s="281" t="s">
        <v>664</v>
      </c>
      <c r="E339" s="281">
        <v>4560</v>
      </c>
      <c r="F339" s="281">
        <f>IF(F$6=$C339,IF(INDEX('Surface DEET'!$Q$9:$W$38,COLUMN(F332)-COLUMN($E$5),1)&gt;0,INDEX('Surface DEET'!$Q$9:$W$38,COLUMN(F332)-COLUMN($E$5),1),0),0)</f>
        <v>0</v>
      </c>
      <c r="G339" s="281">
        <f>IF(G$6=$C339,IF(INDEX('Surface DEET'!$Q$9:$W$38,COLUMN(G332)-COLUMN($E$5),1)&gt;0,INDEX('Surface DEET'!$Q$9:$W$38,COLUMN(G332)-COLUMN($E$5),1),0),0)</f>
        <v>0</v>
      </c>
      <c r="H339" s="281">
        <f>IF(H$6=$C339,IF(INDEX('Surface DEET'!$Q$9:$W$38,COLUMN(H332)-COLUMN($E$5),1)&gt;0,INDEX('Surface DEET'!$Q$9:$W$38,COLUMN(H332)-COLUMN($E$5),1),0),0)</f>
        <v>0</v>
      </c>
      <c r="I339" s="281">
        <f>IF(I$6=$C339,IF(INDEX('Surface DEET'!$Q$9:$W$38,COLUMN(I332)-COLUMN($E$5),1)&gt;0,INDEX('Surface DEET'!$Q$9:$W$38,COLUMN(I332)-COLUMN($E$5),1),0),0)</f>
        <v>0</v>
      </c>
      <c r="J339" s="281">
        <f>IF(J$6=$C339,IF(INDEX('Surface DEET'!$Q$9:$W$38,COLUMN(J332)-COLUMN($E$5),1)&gt;0,INDEX('Surface DEET'!$Q$9:$W$38,COLUMN(J332)-COLUMN($E$5),1),0),0)</f>
        <v>0</v>
      </c>
      <c r="K339" s="281">
        <f>IF(K$6=$C339,IF(INDEX('Surface DEET'!$Q$9:$W$38,COLUMN(K332)-COLUMN($E$5),1)&gt;0,INDEX('Surface DEET'!$Q$9:$W$38,COLUMN(K332)-COLUMN($E$5),1),0),0)</f>
        <v>0</v>
      </c>
      <c r="L339" s="281">
        <f>IF(L$6=$C339,IF(INDEX('Surface DEET'!$Q$9:$W$38,COLUMN(L332)-COLUMN($E$5),1)&gt;0,INDEX('Surface DEET'!$Q$9:$W$38,COLUMN(L332)-COLUMN($E$5),1),0),0)</f>
        <v>0</v>
      </c>
      <c r="M339" s="281">
        <f>IF(M$6=$C339,IF(INDEX('Surface DEET'!$Q$9:$W$38,COLUMN(M332)-COLUMN($E$5),1)&gt;0,INDEX('Surface DEET'!$Q$9:$W$38,COLUMN(M332)-COLUMN($E$5),1),0),0)</f>
        <v>0</v>
      </c>
      <c r="N339" s="281">
        <f>IF(N$6=$C339,IF(INDEX('Surface DEET'!$Q$9:$W$38,COLUMN(N332)-COLUMN($E$5),1)&gt;0,INDEX('Surface DEET'!$Q$9:$W$38,COLUMN(N332)-COLUMN($E$5),1),0),0)</f>
        <v>0</v>
      </c>
      <c r="O339" s="281">
        <f>IF(O$6=$C339,IF(INDEX('Surface DEET'!$Q$9:$W$38,COLUMN(O332)-COLUMN($E$5),1)&gt;0,INDEX('Surface DEET'!$Q$9:$W$38,COLUMN(O332)-COLUMN($E$5),1),0),0)</f>
        <v>0</v>
      </c>
      <c r="P339" s="281">
        <f>IF(P$6=$C339,IF(INDEX('Surface DEET'!$Q$9:$W$38,COLUMN(P332)-COLUMN($E$5),1)&gt;0,INDEX('Surface DEET'!$Q$9:$W$38,COLUMN(P332)-COLUMN($E$5),1),0),0)</f>
        <v>0</v>
      </c>
      <c r="Q339" s="281">
        <f>IF(Q$6=$C339,IF(INDEX('Surface DEET'!$Q$9:$W$38,COLUMN(Q332)-COLUMN($E$5),1)&gt;0,INDEX('Surface DEET'!$Q$9:$W$38,COLUMN(Q332)-COLUMN($E$5),1),0),0)</f>
        <v>0</v>
      </c>
      <c r="R339" s="281">
        <f>IF(R$6=$C339,IF(INDEX('Surface DEET'!$Q$9:$W$38,COLUMN(R332)-COLUMN($E$5),1)&gt;0,INDEX('Surface DEET'!$Q$9:$W$38,COLUMN(R332)-COLUMN($E$5),1),0),0)</f>
        <v>0</v>
      </c>
      <c r="S339" s="281">
        <f>IF(S$6=$C339,IF(INDEX('Surface DEET'!$Q$9:$W$38,COLUMN(S332)-COLUMN($E$5),1)&gt;0,INDEX('Surface DEET'!$Q$9:$W$38,COLUMN(S332)-COLUMN($E$5),1),0),0)</f>
        <v>0</v>
      </c>
      <c r="T339" s="281">
        <f>IF(T$6=$C339,IF(INDEX('Surface DEET'!$Q$9:$W$38,COLUMN(T332)-COLUMN($E$5),1)&gt;0,INDEX('Surface DEET'!$Q$9:$W$38,COLUMN(T332)-COLUMN($E$5),1),0),0)</f>
        <v>0</v>
      </c>
      <c r="U339" s="281">
        <f>IF(U$6=$C339,IF(INDEX('Surface DEET'!$Q$9:$W$38,COLUMN(U332)-COLUMN($E$5),1)&gt;0,INDEX('Surface DEET'!$Q$9:$W$38,COLUMN(U332)-COLUMN($E$5),1),0),0)</f>
        <v>0</v>
      </c>
      <c r="V339" s="281">
        <f>IF(V$6=$C339,IF(INDEX('Surface DEET'!$Q$9:$W$38,COLUMN(V332)-COLUMN($E$5),1)&gt;0,INDEX('Surface DEET'!$Q$9:$W$38,COLUMN(V332)-COLUMN($E$5),1),0),0)</f>
        <v>0</v>
      </c>
      <c r="W339" s="281">
        <f>IF(W$6=$C339,IF(INDEX('Surface DEET'!$Q$9:$W$38,COLUMN(W332)-COLUMN($E$5),1)&gt;0,INDEX('Surface DEET'!$Q$9:$W$38,COLUMN(W332)-COLUMN($E$5),1),0),0)</f>
        <v>0</v>
      </c>
      <c r="X339" s="281">
        <f>IF(X$6=$C339,IF(INDEX('Surface DEET'!$Q$9:$W$38,COLUMN(X332)-COLUMN($E$5),1)&gt;0,INDEX('Surface DEET'!$Q$9:$W$38,COLUMN(X332)-COLUMN($E$5),1),0),0)</f>
        <v>0</v>
      </c>
      <c r="Y339" s="281">
        <f>IF(Y$6=$C339,IF(INDEX('Surface DEET'!$Q$9:$W$38,COLUMN(Y332)-COLUMN($E$5),1)&gt;0,INDEX('Surface DEET'!$Q$9:$W$38,COLUMN(Y332)-COLUMN($E$5),1),0),0)</f>
        <v>0</v>
      </c>
      <c r="Z339" s="281">
        <f>IF(Z$6=$C339,IF(INDEX('Surface DEET'!$Q$9:$W$38,COLUMN(Z332)-COLUMN($E$5),1)&gt;0,INDEX('Surface DEET'!$Q$9:$W$38,COLUMN(Z332)-COLUMN($E$5),1),0),0)</f>
        <v>0</v>
      </c>
      <c r="AA339" s="281">
        <f>IF(AA$6=$C339,IF(INDEX('Surface DEET'!$Q$9:$W$38,COLUMN(AA332)-COLUMN($E$5),1)&gt;0,INDEX('Surface DEET'!$Q$9:$W$38,COLUMN(AA332)-COLUMN($E$5),1),0),0)</f>
        <v>0</v>
      </c>
      <c r="AB339" s="281">
        <f>IF(AB$6=$C339,IF(INDEX('Surface DEET'!$Q$9:$W$38,COLUMN(AB332)-COLUMN($E$5),1)&gt;0,INDEX('Surface DEET'!$Q$9:$W$38,COLUMN(AB332)-COLUMN($E$5),1),0),0)</f>
        <v>0</v>
      </c>
      <c r="AC339" s="281">
        <f>IF(AC$6=$C339,IF(INDEX('Surface DEET'!$Q$9:$W$38,COLUMN(AC332)-COLUMN($E$5),1)&gt;0,INDEX('Surface DEET'!$Q$9:$W$38,COLUMN(AC332)-COLUMN($E$5),1),0),0)</f>
        <v>0</v>
      </c>
      <c r="AD339" s="281">
        <f>IF(AD$6=$C339,IF(INDEX('Surface DEET'!$Q$9:$W$38,COLUMN(AD332)-COLUMN($E$5),1)&gt;0,INDEX('Surface DEET'!$Q$9:$W$38,COLUMN(AD332)-COLUMN($E$5),1),0),0)</f>
        <v>0</v>
      </c>
      <c r="AE339" s="281">
        <f>IF(AE$6=$C339,IF(INDEX('Surface DEET'!$Q$9:$W$38,COLUMN(AE332)-COLUMN($E$5),1)&gt;0,INDEX('Surface DEET'!$Q$9:$W$38,COLUMN(AE332)-COLUMN($E$5),1),0),0)</f>
        <v>0</v>
      </c>
      <c r="AF339" s="281">
        <f>IF(AF$6=$C339,IF(INDEX('Surface DEET'!$Q$9:$W$38,COLUMN(AF332)-COLUMN($E$5),1)&gt;0,INDEX('Surface DEET'!$Q$9:$W$38,COLUMN(AF332)-COLUMN($E$5),1),0),0)</f>
        <v>0</v>
      </c>
      <c r="AG339" s="281">
        <f>IF(AG$6=$C339,IF(INDEX('Surface DEET'!$Q$9:$W$38,COLUMN(AG332)-COLUMN($E$5),1)&gt;0,INDEX('Surface DEET'!$Q$9:$W$38,COLUMN(AG332)-COLUMN($E$5),1),0),0)</f>
        <v>0</v>
      </c>
      <c r="AH339" s="281">
        <f>IF(AH$6=$C339,IF(INDEX('Surface DEET'!$Q$9:$W$38,COLUMN(AH332)-COLUMN($E$5),1)&gt;0,INDEX('Surface DEET'!$Q$9:$W$38,COLUMN(AH332)-COLUMN($E$5),1),0),0)</f>
        <v>0</v>
      </c>
      <c r="AI339" s="281">
        <f>IF(AI$6=$C339,IF(INDEX('Surface DEET'!$Q$9:$W$38,COLUMN(AI332)-COLUMN($E$5),1)&gt;0,INDEX('Surface DEET'!$Q$9:$W$38,COLUMN(AI332)-COLUMN($E$5),1),0),0)</f>
        <v>0</v>
      </c>
    </row>
    <row r="340" spans="2:35">
      <c r="B340" s="281" t="s">
        <v>545</v>
      </c>
      <c r="C340" s="281" t="s">
        <v>672</v>
      </c>
      <c r="D340" s="281" t="s">
        <v>665</v>
      </c>
      <c r="E340" s="281">
        <v>4560</v>
      </c>
      <c r="F340" s="281">
        <f>IF(F$6=$C340,IF(INDEX('Surface DEET'!$Q$9:$W$38,COLUMN(F333)-COLUMN($E$5),4)&gt;0,INDEX('Surface DEET'!$Q$9:$W$38,COLUMN(F333)-COLUMN($E$5),4),0),0)</f>
        <v>0</v>
      </c>
      <c r="G340" s="281">
        <f>IF(G$6=$C340,IF(INDEX('Surface DEET'!$Q$9:$W$38,COLUMN(G333)-COLUMN($E$5),4)&gt;0,INDEX('Surface DEET'!$Q$9:$W$38,COLUMN(G333)-COLUMN($E$5),4),0),0)</f>
        <v>0</v>
      </c>
      <c r="H340" s="281">
        <f>IF(H$6=$C340,IF(INDEX('Surface DEET'!$Q$9:$W$38,COLUMN(H333)-COLUMN($E$5),4)&gt;0,INDEX('Surface DEET'!$Q$9:$W$38,COLUMN(H333)-COLUMN($E$5),4),0),0)</f>
        <v>0</v>
      </c>
      <c r="I340" s="281">
        <f>IF(I$6=$C340,IF(INDEX('Surface DEET'!$Q$9:$W$38,COLUMN(I333)-COLUMN($E$5),4)&gt;0,INDEX('Surface DEET'!$Q$9:$W$38,COLUMN(I333)-COLUMN($E$5),4),0),0)</f>
        <v>0</v>
      </c>
      <c r="J340" s="281">
        <f>IF(J$6=$C340,IF(INDEX('Surface DEET'!$Q$9:$W$38,COLUMN(J333)-COLUMN($E$5),4)&gt;0,INDEX('Surface DEET'!$Q$9:$W$38,COLUMN(J333)-COLUMN($E$5),4),0),0)</f>
        <v>0</v>
      </c>
      <c r="K340" s="281">
        <f>IF(K$6=$C340,IF(INDEX('Surface DEET'!$Q$9:$W$38,COLUMN(K333)-COLUMN($E$5),4)&gt;0,INDEX('Surface DEET'!$Q$9:$W$38,COLUMN(K333)-COLUMN($E$5),4),0),0)</f>
        <v>0</v>
      </c>
      <c r="L340" s="281">
        <f>IF(L$6=$C340,IF(INDEX('Surface DEET'!$Q$9:$W$38,COLUMN(L333)-COLUMN($E$5),4)&gt;0,INDEX('Surface DEET'!$Q$9:$W$38,COLUMN(L333)-COLUMN($E$5),4),0),0)</f>
        <v>0</v>
      </c>
      <c r="M340" s="281">
        <f>IF(M$6=$C340,IF(INDEX('Surface DEET'!$Q$9:$W$38,COLUMN(M333)-COLUMN($E$5),4)&gt;0,INDEX('Surface DEET'!$Q$9:$W$38,COLUMN(M333)-COLUMN($E$5),4),0),0)</f>
        <v>0</v>
      </c>
      <c r="N340" s="281">
        <f>IF(N$6=$C340,IF(INDEX('Surface DEET'!$Q$9:$W$38,COLUMN(N333)-COLUMN($E$5),4)&gt;0,INDEX('Surface DEET'!$Q$9:$W$38,COLUMN(N333)-COLUMN($E$5),4),0),0)</f>
        <v>0</v>
      </c>
      <c r="O340" s="281">
        <f>IF(O$6=$C340,IF(INDEX('Surface DEET'!$Q$9:$W$38,COLUMN(O333)-COLUMN($E$5),4)&gt;0,INDEX('Surface DEET'!$Q$9:$W$38,COLUMN(O333)-COLUMN($E$5),4),0),0)</f>
        <v>0</v>
      </c>
      <c r="P340" s="281">
        <f>IF(P$6=$C340,IF(INDEX('Surface DEET'!$Q$9:$W$38,COLUMN(P333)-COLUMN($E$5),4)&gt;0,INDEX('Surface DEET'!$Q$9:$W$38,COLUMN(P333)-COLUMN($E$5),4),0),0)</f>
        <v>0</v>
      </c>
      <c r="Q340" s="281">
        <f>IF(Q$6=$C340,IF(INDEX('Surface DEET'!$Q$9:$W$38,COLUMN(Q333)-COLUMN($E$5),4)&gt;0,INDEX('Surface DEET'!$Q$9:$W$38,COLUMN(Q333)-COLUMN($E$5),4),0),0)</f>
        <v>0</v>
      </c>
      <c r="R340" s="281">
        <f>IF(R$6=$C340,IF(INDEX('Surface DEET'!$Q$9:$W$38,COLUMN(R333)-COLUMN($E$5),4)&gt;0,INDEX('Surface DEET'!$Q$9:$W$38,COLUMN(R333)-COLUMN($E$5),4),0),0)</f>
        <v>0</v>
      </c>
      <c r="S340" s="281">
        <f>IF(S$6=$C340,IF(INDEX('Surface DEET'!$Q$9:$W$38,COLUMN(S333)-COLUMN($E$5),4)&gt;0,INDEX('Surface DEET'!$Q$9:$W$38,COLUMN(S333)-COLUMN($E$5),4),0),0)</f>
        <v>0</v>
      </c>
      <c r="T340" s="281">
        <f>IF(T$6=$C340,IF(INDEX('Surface DEET'!$Q$9:$W$38,COLUMN(T333)-COLUMN($E$5),4)&gt;0,INDEX('Surface DEET'!$Q$9:$W$38,COLUMN(T333)-COLUMN($E$5),4),0),0)</f>
        <v>0</v>
      </c>
      <c r="U340" s="281">
        <f>IF(U$6=$C340,IF(INDEX('Surface DEET'!$Q$9:$W$38,COLUMN(U333)-COLUMN($E$5),4)&gt;0,INDEX('Surface DEET'!$Q$9:$W$38,COLUMN(U333)-COLUMN($E$5),4),0),0)</f>
        <v>0</v>
      </c>
      <c r="V340" s="281">
        <f>IF(V$6=$C340,IF(INDEX('Surface DEET'!$Q$9:$W$38,COLUMN(V333)-COLUMN($E$5),4)&gt;0,INDEX('Surface DEET'!$Q$9:$W$38,COLUMN(V333)-COLUMN($E$5),4),0),0)</f>
        <v>0</v>
      </c>
      <c r="W340" s="281">
        <f>IF(W$6=$C340,IF(INDEX('Surface DEET'!$Q$9:$W$38,COLUMN(W333)-COLUMN($E$5),4)&gt;0,INDEX('Surface DEET'!$Q$9:$W$38,COLUMN(W333)-COLUMN($E$5),4),0),0)</f>
        <v>0</v>
      </c>
      <c r="X340" s="281">
        <f>IF(X$6=$C340,IF(INDEX('Surface DEET'!$Q$9:$W$38,COLUMN(X333)-COLUMN($E$5),4)&gt;0,INDEX('Surface DEET'!$Q$9:$W$38,COLUMN(X333)-COLUMN($E$5),4),0),0)</f>
        <v>0</v>
      </c>
      <c r="Y340" s="281">
        <f>IF(Y$6=$C340,IF(INDEX('Surface DEET'!$Q$9:$W$38,COLUMN(Y333)-COLUMN($E$5),4)&gt;0,INDEX('Surface DEET'!$Q$9:$W$38,COLUMN(Y333)-COLUMN($E$5),4),0),0)</f>
        <v>0</v>
      </c>
      <c r="Z340" s="281">
        <f>IF(Z$6=$C340,IF(INDEX('Surface DEET'!$Q$9:$W$38,COLUMN(Z333)-COLUMN($E$5),4)&gt;0,INDEX('Surface DEET'!$Q$9:$W$38,COLUMN(Z333)-COLUMN($E$5),4),0),0)</f>
        <v>0</v>
      </c>
      <c r="AA340" s="281">
        <f>IF(AA$6=$C340,IF(INDEX('Surface DEET'!$Q$9:$W$38,COLUMN(AA333)-COLUMN($E$5),4)&gt;0,INDEX('Surface DEET'!$Q$9:$W$38,COLUMN(AA333)-COLUMN($E$5),4),0),0)</f>
        <v>0</v>
      </c>
      <c r="AB340" s="281">
        <f>IF(AB$6=$C340,IF(INDEX('Surface DEET'!$Q$9:$W$38,COLUMN(AB333)-COLUMN($E$5),4)&gt;0,INDEX('Surface DEET'!$Q$9:$W$38,COLUMN(AB333)-COLUMN($E$5),4),0),0)</f>
        <v>0</v>
      </c>
      <c r="AC340" s="281">
        <f>IF(AC$6=$C340,IF(INDEX('Surface DEET'!$Q$9:$W$38,COLUMN(AC333)-COLUMN($E$5),4)&gt;0,INDEX('Surface DEET'!$Q$9:$W$38,COLUMN(AC333)-COLUMN($E$5),4),0),0)</f>
        <v>0</v>
      </c>
      <c r="AD340" s="281">
        <f>IF(AD$6=$C340,IF(INDEX('Surface DEET'!$Q$9:$W$38,COLUMN(AD333)-COLUMN($E$5),4)&gt;0,INDEX('Surface DEET'!$Q$9:$W$38,COLUMN(AD333)-COLUMN($E$5),4),0),0)</f>
        <v>0</v>
      </c>
      <c r="AE340" s="281">
        <f>IF(AE$6=$C340,IF(INDEX('Surface DEET'!$Q$9:$W$38,COLUMN(AE333)-COLUMN($E$5),4)&gt;0,INDEX('Surface DEET'!$Q$9:$W$38,COLUMN(AE333)-COLUMN($E$5),4),0),0)</f>
        <v>0</v>
      </c>
      <c r="AF340" s="281">
        <f>IF(AF$6=$C340,IF(INDEX('Surface DEET'!$Q$9:$W$38,COLUMN(AF333)-COLUMN($E$5),4)&gt;0,INDEX('Surface DEET'!$Q$9:$W$38,COLUMN(AF333)-COLUMN($E$5),4),0),0)</f>
        <v>0</v>
      </c>
      <c r="AG340" s="281">
        <f>IF(AG$6=$C340,IF(INDEX('Surface DEET'!$Q$9:$W$38,COLUMN(AG333)-COLUMN($E$5),4)&gt;0,INDEX('Surface DEET'!$Q$9:$W$38,COLUMN(AG333)-COLUMN($E$5),4),0),0)</f>
        <v>0</v>
      </c>
      <c r="AH340" s="281">
        <f>IF(AH$6=$C340,IF(INDEX('Surface DEET'!$Q$9:$W$38,COLUMN(AH333)-COLUMN($E$5),4)&gt;0,INDEX('Surface DEET'!$Q$9:$W$38,COLUMN(AH333)-COLUMN($E$5),4),0),0)</f>
        <v>0</v>
      </c>
      <c r="AI340" s="281">
        <f>IF(AI$6=$C340,IF(INDEX('Surface DEET'!$Q$9:$W$38,COLUMN(AI333)-COLUMN($E$5),4)&gt;0,INDEX('Surface DEET'!$Q$9:$W$38,COLUMN(AI333)-COLUMN($E$5),4),0),0)</f>
        <v>0</v>
      </c>
    </row>
    <row r="341" spans="2:35">
      <c r="B341" s="281" t="s">
        <v>548</v>
      </c>
      <c r="C341" s="281" t="s">
        <v>672</v>
      </c>
    </row>
    <row r="342" spans="2:35">
      <c r="B342" s="281" t="s">
        <v>538</v>
      </c>
      <c r="C342" s="281" t="s">
        <v>672</v>
      </c>
      <c r="D342" s="281" t="s">
        <v>538</v>
      </c>
      <c r="F342" s="281">
        <f>$E$336*(1+2*F339/$E$339+F340/$E$340)</f>
        <v>21</v>
      </c>
      <c r="G342" s="281">
        <f t="shared" ref="G342:AI342" si="41">$E$336*(1+2*G339/$E$339+G340/$E$340)</f>
        <v>21</v>
      </c>
      <c r="H342" s="281">
        <f t="shared" si="41"/>
        <v>21</v>
      </c>
      <c r="I342" s="281">
        <f t="shared" si="41"/>
        <v>21</v>
      </c>
      <c r="J342" s="281">
        <f t="shared" si="41"/>
        <v>21</v>
      </c>
      <c r="K342" s="281">
        <f t="shared" si="41"/>
        <v>21</v>
      </c>
      <c r="L342" s="281">
        <f t="shared" si="41"/>
        <v>21</v>
      </c>
      <c r="M342" s="281">
        <f t="shared" si="41"/>
        <v>21</v>
      </c>
      <c r="N342" s="281">
        <f t="shared" si="41"/>
        <v>21</v>
      </c>
      <c r="O342" s="281">
        <f t="shared" si="41"/>
        <v>21</v>
      </c>
      <c r="P342" s="281">
        <f t="shared" si="41"/>
        <v>21</v>
      </c>
      <c r="Q342" s="281">
        <f t="shared" si="41"/>
        <v>21</v>
      </c>
      <c r="R342" s="281">
        <f t="shared" si="41"/>
        <v>21</v>
      </c>
      <c r="S342" s="281">
        <f t="shared" si="41"/>
        <v>21</v>
      </c>
      <c r="T342" s="281">
        <f t="shared" si="41"/>
        <v>21</v>
      </c>
      <c r="U342" s="281">
        <f t="shared" si="41"/>
        <v>21</v>
      </c>
      <c r="V342" s="281">
        <f t="shared" si="41"/>
        <v>21</v>
      </c>
      <c r="W342" s="281">
        <f t="shared" si="41"/>
        <v>21</v>
      </c>
      <c r="X342" s="281">
        <f t="shared" si="41"/>
        <v>21</v>
      </c>
      <c r="Y342" s="281">
        <f t="shared" si="41"/>
        <v>21</v>
      </c>
      <c r="Z342" s="281">
        <f t="shared" si="41"/>
        <v>21</v>
      </c>
      <c r="AA342" s="281">
        <f t="shared" si="41"/>
        <v>21</v>
      </c>
      <c r="AB342" s="281">
        <f t="shared" si="41"/>
        <v>21</v>
      </c>
      <c r="AC342" s="281">
        <f t="shared" si="41"/>
        <v>21</v>
      </c>
      <c r="AD342" s="281">
        <f t="shared" si="41"/>
        <v>21</v>
      </c>
      <c r="AE342" s="281">
        <f t="shared" si="41"/>
        <v>21</v>
      </c>
      <c r="AF342" s="281">
        <f t="shared" si="41"/>
        <v>21</v>
      </c>
      <c r="AG342" s="281">
        <f t="shared" si="41"/>
        <v>21</v>
      </c>
      <c r="AH342" s="281">
        <f t="shared" si="41"/>
        <v>21</v>
      </c>
      <c r="AI342" s="281">
        <f t="shared" si="41"/>
        <v>21</v>
      </c>
    </row>
    <row r="343" spans="2:35">
      <c r="B343" s="92" t="s">
        <v>298</v>
      </c>
      <c r="C343" s="281" t="s">
        <v>673</v>
      </c>
      <c r="D343" s="92" t="s">
        <v>298</v>
      </c>
      <c r="E343" s="281">
        <f t="array" ref="E343">INDEX(CABS_CVC!$C$3:$O$894,MATCH(1, (CABS_CVC!$A$3:$A$894=Calculs_CABS!C343)*(CABS_CVC!$B$3:$B$894=Calculs_CABS!$D$2),0),MATCH(Calculs_CABS!$D$1,Liste_CABS!$B$3:$B$15,0))</f>
        <v>50</v>
      </c>
    </row>
    <row r="344" spans="2:35">
      <c r="B344" s="281" t="s">
        <v>539</v>
      </c>
      <c r="C344" s="281" t="s">
        <v>673</v>
      </c>
      <c r="D344" s="281" t="s">
        <v>539</v>
      </c>
      <c r="E344" s="281">
        <v>92</v>
      </c>
    </row>
    <row r="345" spans="2:35">
      <c r="B345" s="281" t="s">
        <v>540</v>
      </c>
      <c r="C345" s="281" t="s">
        <v>673</v>
      </c>
      <c r="D345" s="281" t="s">
        <v>540</v>
      </c>
      <c r="E345" s="281">
        <f>E344+E343</f>
        <v>142</v>
      </c>
    </row>
    <row r="346" spans="2:35">
      <c r="B346" s="281" t="s">
        <v>541</v>
      </c>
      <c r="C346" s="281" t="s">
        <v>673</v>
      </c>
      <c r="D346" s="281" t="s">
        <v>541</v>
      </c>
      <c r="E346" s="281">
        <v>0.73</v>
      </c>
    </row>
    <row r="347" spans="2:35">
      <c r="B347" s="281" t="s">
        <v>542</v>
      </c>
      <c r="C347" s="281" t="s">
        <v>673</v>
      </c>
      <c r="D347" s="329" t="s">
        <v>588</v>
      </c>
      <c r="E347" s="281">
        <v>3120</v>
      </c>
      <c r="F347" s="281">
        <f>IF(F$6=$C347,IF(INDEX('Surface DEET'!$Q$9:$W$38,COLUMN(F340)-COLUMN($E$5),1)&gt;0,INDEX('Surface DEET'!$Q$9:$W$38,COLUMN(F340)-COLUMN($E$5),1),$E347),0)</f>
        <v>0</v>
      </c>
      <c r="G347" s="281">
        <f>IF(G$6=$C347,IF(INDEX('Surface DEET'!$Q$9:$W$38,COLUMN(G340)-COLUMN($E$5),1)&gt;0,INDEX('Surface DEET'!$Q$9:$W$38,COLUMN(G340)-COLUMN($E$5),1),$E347),0)</f>
        <v>0</v>
      </c>
      <c r="H347" s="281">
        <f>IF(H$6=$C347,IF(INDEX('Surface DEET'!$Q$9:$W$38,COLUMN(H340)-COLUMN($E$5),1)&gt;0,INDEX('Surface DEET'!$Q$9:$W$38,COLUMN(H340)-COLUMN($E$5),1),$E347),0)</f>
        <v>0</v>
      </c>
      <c r="I347" s="281">
        <f>IF(I$6=$C347,IF(INDEX('Surface DEET'!$Q$9:$W$38,COLUMN(I340)-COLUMN($E$5),1)&gt;0,INDEX('Surface DEET'!$Q$9:$W$38,COLUMN(I340)-COLUMN($E$5),1),$E347),0)</f>
        <v>0</v>
      </c>
      <c r="J347" s="281">
        <f>IF(J$6=$C347,IF(INDEX('Surface DEET'!$Q$9:$W$38,COLUMN(J340)-COLUMN($E$5),1)&gt;0,INDEX('Surface DEET'!$Q$9:$W$38,COLUMN(J340)-COLUMN($E$5),1),$E347),0)</f>
        <v>0</v>
      </c>
      <c r="K347" s="281">
        <f>IF(K$6=$C347,IF(INDEX('Surface DEET'!$Q$9:$W$38,COLUMN(K340)-COLUMN($E$5),1)&gt;0,INDEX('Surface DEET'!$Q$9:$W$38,COLUMN(K340)-COLUMN($E$5),1),$E347),0)</f>
        <v>0</v>
      </c>
      <c r="L347" s="281">
        <f>IF(L$6=$C347,IF(INDEX('Surface DEET'!$Q$9:$W$38,COLUMN(L340)-COLUMN($E$5),1)&gt;0,INDEX('Surface DEET'!$Q$9:$W$38,COLUMN(L340)-COLUMN($E$5),1),$E347),0)</f>
        <v>0</v>
      </c>
      <c r="M347" s="281">
        <f>IF(M$6=$C347,IF(INDEX('Surface DEET'!$Q$9:$W$38,COLUMN(M340)-COLUMN($E$5),1)&gt;0,INDEX('Surface DEET'!$Q$9:$W$38,COLUMN(M340)-COLUMN($E$5),1),$E347),0)</f>
        <v>0</v>
      </c>
      <c r="N347" s="281">
        <f>IF(N$6=$C347,IF(INDEX('Surface DEET'!$Q$9:$W$38,COLUMN(N340)-COLUMN($E$5),1)&gt;0,INDEX('Surface DEET'!$Q$9:$W$38,COLUMN(N340)-COLUMN($E$5),1),$E347),0)</f>
        <v>0</v>
      </c>
      <c r="O347" s="281">
        <f>IF(O$6=$C347,IF(INDEX('Surface DEET'!$Q$9:$W$38,COLUMN(O340)-COLUMN($E$5),1)&gt;0,INDEX('Surface DEET'!$Q$9:$W$38,COLUMN(O340)-COLUMN($E$5),1),$E347),0)</f>
        <v>0</v>
      </c>
      <c r="P347" s="281">
        <f>IF(P$6=$C347,IF(INDEX('Surface DEET'!$Q$9:$W$38,COLUMN(P340)-COLUMN($E$5),1)&gt;0,INDEX('Surface DEET'!$Q$9:$W$38,COLUMN(P340)-COLUMN($E$5),1),$E347),0)</f>
        <v>0</v>
      </c>
      <c r="Q347" s="281">
        <f>IF(Q$6=$C347,IF(INDEX('Surface DEET'!$Q$9:$W$38,COLUMN(Q340)-COLUMN($E$5),1)&gt;0,INDEX('Surface DEET'!$Q$9:$W$38,COLUMN(Q340)-COLUMN($E$5),1),$E347),0)</f>
        <v>0</v>
      </c>
      <c r="R347" s="281">
        <f>IF(R$6=$C347,IF(INDEX('Surface DEET'!$Q$9:$W$38,COLUMN(R340)-COLUMN($E$5),1)&gt;0,INDEX('Surface DEET'!$Q$9:$W$38,COLUMN(R340)-COLUMN($E$5),1),$E347),0)</f>
        <v>0</v>
      </c>
      <c r="S347" s="281">
        <f>IF(S$6=$C347,IF(INDEX('Surface DEET'!$Q$9:$W$38,COLUMN(S340)-COLUMN($E$5),1)&gt;0,INDEX('Surface DEET'!$Q$9:$W$38,COLUMN(S340)-COLUMN($E$5),1),$E347),0)</f>
        <v>0</v>
      </c>
      <c r="T347" s="281">
        <f>IF(T$6=$C347,IF(INDEX('Surface DEET'!$Q$9:$W$38,COLUMN(T340)-COLUMN($E$5),1)&gt;0,INDEX('Surface DEET'!$Q$9:$W$38,COLUMN(T340)-COLUMN($E$5),1),$E347),0)</f>
        <v>0</v>
      </c>
      <c r="U347" s="281">
        <f>IF(U$6=$C347,IF(INDEX('Surface DEET'!$Q$9:$W$38,COLUMN(U340)-COLUMN($E$5),1)&gt;0,INDEX('Surface DEET'!$Q$9:$W$38,COLUMN(U340)-COLUMN($E$5),1),$E347),0)</f>
        <v>0</v>
      </c>
      <c r="V347" s="281">
        <f>IF(V$6=$C347,IF(INDEX('Surface DEET'!$Q$9:$W$38,COLUMN(V340)-COLUMN($E$5),1)&gt;0,INDEX('Surface DEET'!$Q$9:$W$38,COLUMN(V340)-COLUMN($E$5),1),$E347),0)</f>
        <v>0</v>
      </c>
      <c r="W347" s="281">
        <f>IF(W$6=$C347,IF(INDEX('Surface DEET'!$Q$9:$W$38,COLUMN(W340)-COLUMN($E$5),1)&gt;0,INDEX('Surface DEET'!$Q$9:$W$38,COLUMN(W340)-COLUMN($E$5),1),$E347),0)</f>
        <v>0</v>
      </c>
      <c r="X347" s="281">
        <f>IF(X$6=$C347,IF(INDEX('Surface DEET'!$Q$9:$W$38,COLUMN(X340)-COLUMN($E$5),1)&gt;0,INDEX('Surface DEET'!$Q$9:$W$38,COLUMN(X340)-COLUMN($E$5),1),$E347),0)</f>
        <v>0</v>
      </c>
      <c r="Y347" s="281">
        <f>IF(Y$6=$C347,IF(INDEX('Surface DEET'!$Q$9:$W$38,COLUMN(Y340)-COLUMN($E$5),1)&gt;0,INDEX('Surface DEET'!$Q$9:$W$38,COLUMN(Y340)-COLUMN($E$5),1),$E347),0)</f>
        <v>0</v>
      </c>
      <c r="Z347" s="281">
        <f>IF(Z$6=$C347,IF(INDEX('Surface DEET'!$Q$9:$W$38,COLUMN(Z340)-COLUMN($E$5),1)&gt;0,INDEX('Surface DEET'!$Q$9:$W$38,COLUMN(Z340)-COLUMN($E$5),1),$E347),0)</f>
        <v>0</v>
      </c>
      <c r="AA347" s="281">
        <f>IF(AA$6=$C347,IF(INDEX('Surface DEET'!$Q$9:$W$38,COLUMN(AA340)-COLUMN($E$5),1)&gt;0,INDEX('Surface DEET'!$Q$9:$W$38,COLUMN(AA340)-COLUMN($E$5),1),$E347),0)</f>
        <v>0</v>
      </c>
      <c r="AB347" s="281">
        <f>IF(AB$6=$C347,IF(INDEX('Surface DEET'!$Q$9:$W$38,COLUMN(AB340)-COLUMN($E$5),1)&gt;0,INDEX('Surface DEET'!$Q$9:$W$38,COLUMN(AB340)-COLUMN($E$5),1),$E347),0)</f>
        <v>0</v>
      </c>
      <c r="AC347" s="281">
        <f>IF(AC$6=$C347,IF(INDEX('Surface DEET'!$Q$9:$W$38,COLUMN(AC340)-COLUMN($E$5),1)&gt;0,INDEX('Surface DEET'!$Q$9:$W$38,COLUMN(AC340)-COLUMN($E$5),1),$E347),0)</f>
        <v>0</v>
      </c>
      <c r="AD347" s="281">
        <f>IF(AD$6=$C347,IF(INDEX('Surface DEET'!$Q$9:$W$38,COLUMN(AD340)-COLUMN($E$5),1)&gt;0,INDEX('Surface DEET'!$Q$9:$W$38,COLUMN(AD340)-COLUMN($E$5),1),$E347),0)</f>
        <v>0</v>
      </c>
      <c r="AE347" s="281">
        <f>IF(AE$6=$C347,IF(INDEX('Surface DEET'!$Q$9:$W$38,COLUMN(AE340)-COLUMN($E$5),1)&gt;0,INDEX('Surface DEET'!$Q$9:$W$38,COLUMN(AE340)-COLUMN($E$5),1),$E347),0)</f>
        <v>0</v>
      </c>
      <c r="AF347" s="281">
        <f>IF(AF$6=$C347,IF(INDEX('Surface DEET'!$Q$9:$W$38,COLUMN(AF340)-COLUMN($E$5),1)&gt;0,INDEX('Surface DEET'!$Q$9:$W$38,COLUMN(AF340)-COLUMN($E$5),1),$E347),0)</f>
        <v>0</v>
      </c>
      <c r="AG347" s="281">
        <f>IF(AG$6=$C347,IF(INDEX('Surface DEET'!$Q$9:$W$38,COLUMN(AG340)-COLUMN($E$5),1)&gt;0,INDEX('Surface DEET'!$Q$9:$W$38,COLUMN(AG340)-COLUMN($E$5),1),$E347),0)</f>
        <v>0</v>
      </c>
      <c r="AH347" s="281">
        <f>IF(AH$6=$C347,IF(INDEX('Surface DEET'!$Q$9:$W$38,COLUMN(AH340)-COLUMN($E$5),1)&gt;0,INDEX('Surface DEET'!$Q$9:$W$38,COLUMN(AH340)-COLUMN($E$5),1),$E347),0)</f>
        <v>0</v>
      </c>
      <c r="AI347" s="281">
        <f>IF(AI$6=$C347,INDEX('Surface DEET'!$Q$9:$W$38,COLUMN(AI340)-COLUMN($E$5),1),0)</f>
        <v>0</v>
      </c>
    </row>
    <row r="348" spans="2:35">
      <c r="B348" s="281" t="s">
        <v>545</v>
      </c>
      <c r="C348" s="281" t="s">
        <v>673</v>
      </c>
      <c r="D348" s="329" t="s">
        <v>674</v>
      </c>
      <c r="E348" s="281">
        <v>24</v>
      </c>
      <c r="F348" s="281">
        <f>IF(F$6=$C348,IF(INDEX('Surface DEET'!$Q$9:$W$38,COLUMN(F341)-COLUMN($E$5),4)&gt;0,INDEX('Surface DEET'!$Q$9:$W$38,COLUMN(F341)-COLUMN($E$5),4),$E348),0)</f>
        <v>0</v>
      </c>
      <c r="G348" s="281">
        <f>IF(G$6=$C348,IF(INDEX('Surface DEET'!$Q$9:$W$38,COLUMN(G341)-COLUMN($E$5),4)&gt;0,INDEX('Surface DEET'!$Q$9:$W$38,COLUMN(G341)-COLUMN($E$5),4),$E348),0)</f>
        <v>0</v>
      </c>
      <c r="H348" s="281">
        <f>IF(H$6=$C348,IF(INDEX('Surface DEET'!$Q$9:$W$38,COLUMN(H341)-COLUMN($E$5),4)&gt;0,INDEX('Surface DEET'!$Q$9:$W$38,COLUMN(H341)-COLUMN($E$5),4),$E348),0)</f>
        <v>0</v>
      </c>
      <c r="I348" s="281">
        <f>IF(I$6=$C348,IF(INDEX('Surface DEET'!$Q$9:$W$38,COLUMN(I341)-COLUMN($E$5),4)&gt;0,INDEX('Surface DEET'!$Q$9:$W$38,COLUMN(I341)-COLUMN($E$5),4),$E348),0)</f>
        <v>0</v>
      </c>
      <c r="J348" s="281">
        <f>IF(J$6=$C348,IF(INDEX('Surface DEET'!$Q$9:$W$38,COLUMN(J341)-COLUMN($E$5),4)&gt;0,INDEX('Surface DEET'!$Q$9:$W$38,COLUMN(J341)-COLUMN($E$5),4),$E348),0)</f>
        <v>0</v>
      </c>
      <c r="K348" s="281">
        <f>IF(K$6=$C348,IF(INDEX('Surface DEET'!$Q$9:$W$38,COLUMN(K341)-COLUMN($E$5),4)&gt;0,INDEX('Surface DEET'!$Q$9:$W$38,COLUMN(K341)-COLUMN($E$5),4),$E348),0)</f>
        <v>0</v>
      </c>
      <c r="L348" s="281">
        <f>IF(L$6=$C348,IF(INDEX('Surface DEET'!$Q$9:$W$38,COLUMN(L341)-COLUMN($E$5),4)&gt;0,INDEX('Surface DEET'!$Q$9:$W$38,COLUMN(L341)-COLUMN($E$5),4),$E348),0)</f>
        <v>0</v>
      </c>
      <c r="M348" s="281">
        <f>IF(M$6=$C348,IF(INDEX('Surface DEET'!$Q$9:$W$38,COLUMN(M341)-COLUMN($E$5),4)&gt;0,INDEX('Surface DEET'!$Q$9:$W$38,COLUMN(M341)-COLUMN($E$5),4),$E348),0)</f>
        <v>0</v>
      </c>
      <c r="N348" s="281">
        <f>IF(N$6=$C348,IF(INDEX('Surface DEET'!$Q$9:$W$38,COLUMN(N341)-COLUMN($E$5),4)&gt;0,INDEX('Surface DEET'!$Q$9:$W$38,COLUMN(N341)-COLUMN($E$5),4),$E348),0)</f>
        <v>0</v>
      </c>
      <c r="O348" s="281">
        <f>IF(O$6=$C348,IF(INDEX('Surface DEET'!$Q$9:$W$38,COLUMN(O341)-COLUMN($E$5),4)&gt;0,INDEX('Surface DEET'!$Q$9:$W$38,COLUMN(O341)-COLUMN($E$5),4),$E348),0)</f>
        <v>0</v>
      </c>
      <c r="P348" s="281">
        <f>IF(P$6=$C348,IF(INDEX('Surface DEET'!$Q$9:$W$38,COLUMN(P341)-COLUMN($E$5),4)&gt;0,INDEX('Surface DEET'!$Q$9:$W$38,COLUMN(P341)-COLUMN($E$5),4),$E348),0)</f>
        <v>0</v>
      </c>
      <c r="Q348" s="281">
        <f>IF(Q$6=$C348,IF(INDEX('Surface DEET'!$Q$9:$W$38,COLUMN(Q341)-COLUMN($E$5),4)&gt;0,INDEX('Surface DEET'!$Q$9:$W$38,COLUMN(Q341)-COLUMN($E$5),4),$E348),0)</f>
        <v>0</v>
      </c>
      <c r="R348" s="281">
        <f>IF(R$6=$C348,IF(INDEX('Surface DEET'!$Q$9:$W$38,COLUMN(R341)-COLUMN($E$5),4)&gt;0,INDEX('Surface DEET'!$Q$9:$W$38,COLUMN(R341)-COLUMN($E$5),4),$E348),0)</f>
        <v>0</v>
      </c>
      <c r="S348" s="281">
        <f>IF(S$6=$C348,IF(INDEX('Surface DEET'!$Q$9:$W$38,COLUMN(S341)-COLUMN($E$5),4)&gt;0,INDEX('Surface DEET'!$Q$9:$W$38,COLUMN(S341)-COLUMN($E$5),4),$E348),0)</f>
        <v>0</v>
      </c>
      <c r="T348" s="281">
        <f>IF(T$6=$C348,IF(INDEX('Surface DEET'!$Q$9:$W$38,COLUMN(T341)-COLUMN($E$5),4)&gt;0,INDEX('Surface DEET'!$Q$9:$W$38,COLUMN(T341)-COLUMN($E$5),4),$E348),0)</f>
        <v>0</v>
      </c>
      <c r="U348" s="281">
        <f>IF(U$6=$C348,IF(INDEX('Surface DEET'!$Q$9:$W$38,COLUMN(U341)-COLUMN($E$5),4)&gt;0,INDEX('Surface DEET'!$Q$9:$W$38,COLUMN(U341)-COLUMN($E$5),4),$E348),0)</f>
        <v>0</v>
      </c>
      <c r="V348" s="281">
        <f>IF(V$6=$C348,IF(INDEX('Surface DEET'!$Q$9:$W$38,COLUMN(V341)-COLUMN($E$5),4)&gt;0,INDEX('Surface DEET'!$Q$9:$W$38,COLUMN(V341)-COLUMN($E$5),4),$E348),0)</f>
        <v>0</v>
      </c>
      <c r="W348" s="281">
        <f>IF(W$6=$C348,IF(INDEX('Surface DEET'!$Q$9:$W$38,COLUMN(W341)-COLUMN($E$5),4)&gt;0,INDEX('Surface DEET'!$Q$9:$W$38,COLUMN(W341)-COLUMN($E$5),4),$E348),0)</f>
        <v>0</v>
      </c>
      <c r="X348" s="281">
        <f>IF(X$6=$C348,IF(INDEX('Surface DEET'!$Q$9:$W$38,COLUMN(X341)-COLUMN($E$5),4)&gt;0,INDEX('Surface DEET'!$Q$9:$W$38,COLUMN(X341)-COLUMN($E$5),4),$E348),0)</f>
        <v>0</v>
      </c>
      <c r="Y348" s="281">
        <f>IF(Y$6=$C348,IF(INDEX('Surface DEET'!$Q$9:$W$38,COLUMN(Y341)-COLUMN($E$5),4)&gt;0,INDEX('Surface DEET'!$Q$9:$W$38,COLUMN(Y341)-COLUMN($E$5),4),$E348),0)</f>
        <v>0</v>
      </c>
      <c r="Z348" s="281">
        <f>IF(Z$6=$C348,IF(INDEX('Surface DEET'!$Q$9:$W$38,COLUMN(Z341)-COLUMN($E$5),4)&gt;0,INDEX('Surface DEET'!$Q$9:$W$38,COLUMN(Z341)-COLUMN($E$5),4),$E348),0)</f>
        <v>0</v>
      </c>
      <c r="AA348" s="281">
        <f>IF(AA$6=$C348,IF(INDEX('Surface DEET'!$Q$9:$W$38,COLUMN(AA341)-COLUMN($E$5),4)&gt;0,INDEX('Surface DEET'!$Q$9:$W$38,COLUMN(AA341)-COLUMN($E$5),4),$E348),0)</f>
        <v>0</v>
      </c>
      <c r="AB348" s="281">
        <f>IF(AB$6=$C348,IF(INDEX('Surface DEET'!$Q$9:$W$38,COLUMN(AB341)-COLUMN($E$5),4)&gt;0,INDEX('Surface DEET'!$Q$9:$W$38,COLUMN(AB341)-COLUMN($E$5),4),$E348),0)</f>
        <v>0</v>
      </c>
      <c r="AC348" s="281">
        <f>IF(AC$6=$C348,IF(INDEX('Surface DEET'!$Q$9:$W$38,COLUMN(AC341)-COLUMN($E$5),4)&gt;0,INDEX('Surface DEET'!$Q$9:$W$38,COLUMN(AC341)-COLUMN($E$5),4),$E348),0)</f>
        <v>0</v>
      </c>
      <c r="AD348" s="281">
        <f>IF(AD$6=$C348,IF(INDEX('Surface DEET'!$Q$9:$W$38,COLUMN(AD341)-COLUMN($E$5),4)&gt;0,INDEX('Surface DEET'!$Q$9:$W$38,COLUMN(AD341)-COLUMN($E$5),4),$E348),0)</f>
        <v>0</v>
      </c>
      <c r="AE348" s="281">
        <f>IF(AE$6=$C348,IF(INDEX('Surface DEET'!$Q$9:$W$38,COLUMN(AE341)-COLUMN($E$5),4)&gt;0,INDEX('Surface DEET'!$Q$9:$W$38,COLUMN(AE341)-COLUMN($E$5),4),$E348),0)</f>
        <v>0</v>
      </c>
      <c r="AF348" s="281">
        <f>IF(AF$6=$C348,IF(INDEX('Surface DEET'!$Q$9:$W$38,COLUMN(AF341)-COLUMN($E$5),4)&gt;0,INDEX('Surface DEET'!$Q$9:$W$38,COLUMN(AF341)-COLUMN($E$5),4),$E348),0)</f>
        <v>0</v>
      </c>
      <c r="AG348" s="281">
        <f>IF(AG$6=$C348,IF(INDEX('Surface DEET'!$Q$9:$W$38,COLUMN(AG341)-COLUMN($E$5),4)&gt;0,INDEX('Surface DEET'!$Q$9:$W$38,COLUMN(AG341)-COLUMN($E$5),4),$E348),0)</f>
        <v>0</v>
      </c>
      <c r="AH348" s="281">
        <f>IF(AH$6=$C348,IF(INDEX('Surface DEET'!$Q$9:$W$38,COLUMN(AH341)-COLUMN($E$5),4)&gt;0,INDEX('Surface DEET'!$Q$9:$W$38,COLUMN(AH341)-COLUMN($E$5),4),$E348),0)</f>
        <v>0</v>
      </c>
      <c r="AI348" s="281">
        <f>IF(AI$6=$C348,INDEX('Surface DEET'!$Q$9:$W$38,COLUMN(AI341)-COLUMN($E$5),4),0)</f>
        <v>0</v>
      </c>
    </row>
    <row r="349" spans="2:35">
      <c r="B349" s="281" t="s">
        <v>548</v>
      </c>
      <c r="C349" s="281" t="s">
        <v>673</v>
      </c>
    </row>
    <row r="350" spans="2:35">
      <c r="B350" s="281" t="s">
        <v>538</v>
      </c>
      <c r="C350" s="281" t="s">
        <v>673</v>
      </c>
      <c r="D350" s="281" t="s">
        <v>538</v>
      </c>
      <c r="F350" s="281">
        <f>$E$344*($E$346*(F348/$E$348)+(1-$E$346)*(F347/$E$347))+0.28*$E$343*(F347-$E$347)/$E$347</f>
        <v>-14.000000000000002</v>
      </c>
      <c r="G350" s="281">
        <f t="shared" ref="G350:AI350" si="42">$E$344*($E$346*(G348/$E$348)+(1-$E$346)*(G347/$E$347))+0.28*$E$343*(G347-$E$347)/$E$347</f>
        <v>-14.000000000000002</v>
      </c>
      <c r="H350" s="281">
        <f t="shared" si="42"/>
        <v>-14.000000000000002</v>
      </c>
      <c r="I350" s="281">
        <f t="shared" si="42"/>
        <v>-14.000000000000002</v>
      </c>
      <c r="J350" s="281">
        <f t="shared" si="42"/>
        <v>-14.000000000000002</v>
      </c>
      <c r="K350" s="281">
        <f t="shared" si="42"/>
        <v>-14.000000000000002</v>
      </c>
      <c r="L350" s="281">
        <f t="shared" si="42"/>
        <v>-14.000000000000002</v>
      </c>
      <c r="M350" s="281">
        <f t="shared" si="42"/>
        <v>-14.000000000000002</v>
      </c>
      <c r="N350" s="281">
        <f t="shared" si="42"/>
        <v>-14.000000000000002</v>
      </c>
      <c r="O350" s="281">
        <f t="shared" si="42"/>
        <v>-14.000000000000002</v>
      </c>
      <c r="P350" s="281">
        <f t="shared" si="42"/>
        <v>-14.000000000000002</v>
      </c>
      <c r="Q350" s="281">
        <f t="shared" si="42"/>
        <v>-14.000000000000002</v>
      </c>
      <c r="R350" s="281">
        <f t="shared" si="42"/>
        <v>-14.000000000000002</v>
      </c>
      <c r="S350" s="281">
        <f t="shared" si="42"/>
        <v>-14.000000000000002</v>
      </c>
      <c r="T350" s="281">
        <f t="shared" si="42"/>
        <v>-14.000000000000002</v>
      </c>
      <c r="U350" s="281">
        <f t="shared" si="42"/>
        <v>-14.000000000000002</v>
      </c>
      <c r="V350" s="281">
        <f t="shared" si="42"/>
        <v>-14.000000000000002</v>
      </c>
      <c r="W350" s="281">
        <f t="shared" si="42"/>
        <v>-14.000000000000002</v>
      </c>
      <c r="X350" s="281">
        <f t="shared" si="42"/>
        <v>-14.000000000000002</v>
      </c>
      <c r="Y350" s="281">
        <f t="shared" si="42"/>
        <v>-14.000000000000002</v>
      </c>
      <c r="Z350" s="281">
        <f t="shared" si="42"/>
        <v>-14.000000000000002</v>
      </c>
      <c r="AA350" s="281">
        <f t="shared" si="42"/>
        <v>-14.000000000000002</v>
      </c>
      <c r="AB350" s="281">
        <f t="shared" si="42"/>
        <v>-14.000000000000002</v>
      </c>
      <c r="AC350" s="281">
        <f t="shared" si="42"/>
        <v>-14.000000000000002</v>
      </c>
      <c r="AD350" s="281">
        <f t="shared" si="42"/>
        <v>-14.000000000000002</v>
      </c>
      <c r="AE350" s="281">
        <f t="shared" si="42"/>
        <v>-14.000000000000002</v>
      </c>
      <c r="AF350" s="281">
        <f t="shared" si="42"/>
        <v>-14.000000000000002</v>
      </c>
      <c r="AG350" s="281">
        <f t="shared" si="42"/>
        <v>-14.000000000000002</v>
      </c>
      <c r="AH350" s="281">
        <f t="shared" si="42"/>
        <v>-14.000000000000002</v>
      </c>
      <c r="AI350" s="281">
        <f t="shared" si="42"/>
        <v>-14.000000000000002</v>
      </c>
    </row>
    <row r="351" spans="2:35">
      <c r="B351" s="92" t="s">
        <v>298</v>
      </c>
      <c r="C351" s="281" t="s">
        <v>675</v>
      </c>
      <c r="D351" s="92" t="s">
        <v>298</v>
      </c>
      <c r="E351" s="281">
        <f t="array" ref="E351">INDEX(CABS_CVC!$C$3:$O$894,MATCH(1, (CABS_CVC!$A$3:$A$894=Calculs_CABS!C351)*(CABS_CVC!$B$3:$B$894=Calculs_CABS!$D$2),0),MATCH(Calculs_CABS!$D$1,Liste_CABS!$B$3:$B$15,0))</f>
        <v>58</v>
      </c>
    </row>
    <row r="352" spans="2:35">
      <c r="B352" s="281" t="s">
        <v>539</v>
      </c>
      <c r="C352" s="281" t="s">
        <v>676</v>
      </c>
      <c r="D352" s="281" t="s">
        <v>539</v>
      </c>
      <c r="E352" s="281">
        <v>474</v>
      </c>
    </row>
    <row r="353" spans="2:35">
      <c r="B353" s="281" t="s">
        <v>540</v>
      </c>
      <c r="C353" s="281" t="s">
        <v>677</v>
      </c>
      <c r="D353" s="281" t="s">
        <v>540</v>
      </c>
      <c r="E353" s="281">
        <f>E352+E351</f>
        <v>532</v>
      </c>
    </row>
    <row r="354" spans="2:35">
      <c r="B354" s="281" t="s">
        <v>541</v>
      </c>
      <c r="C354" s="281" t="s">
        <v>678</v>
      </c>
      <c r="D354" s="281" t="s">
        <v>541</v>
      </c>
      <c r="E354" s="281">
        <v>0.97</v>
      </c>
    </row>
    <row r="355" spans="2:35">
      <c r="B355" s="281" t="s">
        <v>542</v>
      </c>
      <c r="C355" s="281" t="s">
        <v>679</v>
      </c>
      <c r="D355" s="281" t="s">
        <v>602</v>
      </c>
      <c r="E355" s="281">
        <v>3120</v>
      </c>
      <c r="F355" s="281">
        <f>IF(F$6=$C355,IF(INDEX('Surface DEET'!$Q$9:$W$38,COLUMN(F348)-COLUMN($E$5),1)&gt;0,INDEX('Surface DEET'!$Q$9:$W$38,COLUMN(F348)-COLUMN($E$5),1),$E355),0)</f>
        <v>0</v>
      </c>
      <c r="G355" s="281">
        <f>IF(G$6=$C355,IF(INDEX('Surface DEET'!$Q$9:$W$38,COLUMN(G348)-COLUMN($E$5),1)&gt;0,INDEX('Surface DEET'!$Q$9:$W$38,COLUMN(G348)-COLUMN($E$5),1),$E355),0)</f>
        <v>0</v>
      </c>
      <c r="H355" s="281">
        <f>IF(H$6=$C355,IF(INDEX('Surface DEET'!$Q$9:$W$38,COLUMN(H348)-COLUMN($E$5),1)&gt;0,INDEX('Surface DEET'!$Q$9:$W$38,COLUMN(H348)-COLUMN($E$5),1),$E355),0)</f>
        <v>0</v>
      </c>
      <c r="I355" s="281">
        <f>IF(I$6=$C355,IF(INDEX('Surface DEET'!$Q$9:$W$38,COLUMN(I348)-COLUMN($E$5),1)&gt;0,INDEX('Surface DEET'!$Q$9:$W$38,COLUMN(I348)-COLUMN($E$5),1),$E355),0)</f>
        <v>0</v>
      </c>
      <c r="J355" s="281">
        <f>IF(J$6=$C355,IF(INDEX('Surface DEET'!$Q$9:$W$38,COLUMN(J348)-COLUMN($E$5),1)&gt;0,INDEX('Surface DEET'!$Q$9:$W$38,COLUMN(J348)-COLUMN($E$5),1),$E355),0)</f>
        <v>0</v>
      </c>
      <c r="K355" s="281">
        <f>IF(K$6=$C355,IF(INDEX('Surface DEET'!$Q$9:$W$38,COLUMN(K348)-COLUMN($E$5),1)&gt;0,INDEX('Surface DEET'!$Q$9:$W$38,COLUMN(K348)-COLUMN($E$5),1),$E355),0)</f>
        <v>0</v>
      </c>
      <c r="L355" s="281">
        <f>IF(L$6=$C355,IF(INDEX('Surface DEET'!$Q$9:$W$38,COLUMN(L348)-COLUMN($E$5),1)&gt;0,INDEX('Surface DEET'!$Q$9:$W$38,COLUMN(L348)-COLUMN($E$5),1),$E355),0)</f>
        <v>0</v>
      </c>
      <c r="M355" s="281">
        <f>IF(M$6=$C355,IF(INDEX('Surface DEET'!$Q$9:$W$38,COLUMN(M348)-COLUMN($E$5),1)&gt;0,INDEX('Surface DEET'!$Q$9:$W$38,COLUMN(M348)-COLUMN($E$5),1),$E355),0)</f>
        <v>0</v>
      </c>
      <c r="N355" s="281">
        <f>IF(N$6=$C355,IF(INDEX('Surface DEET'!$Q$9:$W$38,COLUMN(N348)-COLUMN($E$5),1)&gt;0,INDEX('Surface DEET'!$Q$9:$W$38,COLUMN(N348)-COLUMN($E$5),1),$E355),0)</f>
        <v>0</v>
      </c>
      <c r="O355" s="281">
        <f>IF(O$6=$C355,IF(INDEX('Surface DEET'!$Q$9:$W$38,COLUMN(O348)-COLUMN($E$5),1)&gt;0,INDEX('Surface DEET'!$Q$9:$W$38,COLUMN(O348)-COLUMN($E$5),1),$E355),0)</f>
        <v>0</v>
      </c>
      <c r="P355" s="281">
        <f>IF(P$6=$C355,IF(INDEX('Surface DEET'!$Q$9:$W$38,COLUMN(P348)-COLUMN($E$5),1)&gt;0,INDEX('Surface DEET'!$Q$9:$W$38,COLUMN(P348)-COLUMN($E$5),1),$E355),0)</f>
        <v>0</v>
      </c>
      <c r="Q355" s="281">
        <f>IF(Q$6=$C355,IF(INDEX('Surface DEET'!$Q$9:$W$38,COLUMN(Q348)-COLUMN($E$5),1)&gt;0,INDEX('Surface DEET'!$Q$9:$W$38,COLUMN(Q348)-COLUMN($E$5),1),$E355),0)</f>
        <v>0</v>
      </c>
      <c r="R355" s="281">
        <f>IF(R$6=$C355,IF(INDEX('Surface DEET'!$Q$9:$W$38,COLUMN(R348)-COLUMN($E$5),1)&gt;0,INDEX('Surface DEET'!$Q$9:$W$38,COLUMN(R348)-COLUMN($E$5),1),$E355),0)</f>
        <v>0</v>
      </c>
      <c r="S355" s="281">
        <f>IF(S$6=$C355,IF(INDEX('Surface DEET'!$Q$9:$W$38,COLUMN(S348)-COLUMN($E$5),1)&gt;0,INDEX('Surface DEET'!$Q$9:$W$38,COLUMN(S348)-COLUMN($E$5),1),$E355),0)</f>
        <v>0</v>
      </c>
      <c r="T355" s="281">
        <f>IF(T$6=$C355,IF(INDEX('Surface DEET'!$Q$9:$W$38,COLUMN(T348)-COLUMN($E$5),1)&gt;0,INDEX('Surface DEET'!$Q$9:$W$38,COLUMN(T348)-COLUMN($E$5),1),$E355),0)</f>
        <v>0</v>
      </c>
      <c r="U355" s="281">
        <f>IF(U$6=$C355,IF(INDEX('Surface DEET'!$Q$9:$W$38,COLUMN(U348)-COLUMN($E$5),1)&gt;0,INDEX('Surface DEET'!$Q$9:$W$38,COLUMN(U348)-COLUMN($E$5),1),$E355),0)</f>
        <v>0</v>
      </c>
      <c r="V355" s="281">
        <f>IF(V$6=$C355,IF(INDEX('Surface DEET'!$Q$9:$W$38,COLUMN(V348)-COLUMN($E$5),1)&gt;0,INDEX('Surface DEET'!$Q$9:$W$38,COLUMN(V348)-COLUMN($E$5),1),$E355),0)</f>
        <v>0</v>
      </c>
      <c r="W355" s="281">
        <f>IF(W$6=$C355,IF(INDEX('Surface DEET'!$Q$9:$W$38,COLUMN(W348)-COLUMN($E$5),1)&gt;0,INDEX('Surface DEET'!$Q$9:$W$38,COLUMN(W348)-COLUMN($E$5),1),$E355),0)</f>
        <v>0</v>
      </c>
      <c r="X355" s="281">
        <f>IF(X$6=$C355,IF(INDEX('Surface DEET'!$Q$9:$W$38,COLUMN(X348)-COLUMN($E$5),1)&gt;0,INDEX('Surface DEET'!$Q$9:$W$38,COLUMN(X348)-COLUMN($E$5),1),$E355),0)</f>
        <v>0</v>
      </c>
      <c r="Y355" s="281">
        <f>IF(Y$6=$C355,IF(INDEX('Surface DEET'!$Q$9:$W$38,COLUMN(Y348)-COLUMN($E$5),1)&gt;0,INDEX('Surface DEET'!$Q$9:$W$38,COLUMN(Y348)-COLUMN($E$5),1),$E355),0)</f>
        <v>0</v>
      </c>
      <c r="Z355" s="281">
        <f>IF(Z$6=$C355,IF(INDEX('Surface DEET'!$Q$9:$W$38,COLUMN(Z348)-COLUMN($E$5),1)&gt;0,INDEX('Surface DEET'!$Q$9:$W$38,COLUMN(Z348)-COLUMN($E$5),1),$E355),0)</f>
        <v>0</v>
      </c>
      <c r="AA355" s="281">
        <f>IF(AA$6=$C355,IF(INDEX('Surface DEET'!$Q$9:$W$38,COLUMN(AA348)-COLUMN($E$5),1)&gt;0,INDEX('Surface DEET'!$Q$9:$W$38,COLUMN(AA348)-COLUMN($E$5),1),$E355),0)</f>
        <v>0</v>
      </c>
      <c r="AB355" s="281">
        <f>IF(AB$6=$C355,IF(INDEX('Surface DEET'!$Q$9:$W$38,COLUMN(AB348)-COLUMN($E$5),1)&gt;0,INDEX('Surface DEET'!$Q$9:$W$38,COLUMN(AB348)-COLUMN($E$5),1),$E355),0)</f>
        <v>0</v>
      </c>
      <c r="AC355" s="281">
        <f>IF(AC$6=$C355,IF(INDEX('Surface DEET'!$Q$9:$W$38,COLUMN(AC348)-COLUMN($E$5),1)&gt;0,INDEX('Surface DEET'!$Q$9:$W$38,COLUMN(AC348)-COLUMN($E$5),1),$E355),0)</f>
        <v>0</v>
      </c>
      <c r="AD355" s="281">
        <f>IF(AD$6=$C355,IF(INDEX('Surface DEET'!$Q$9:$W$38,COLUMN(AD348)-COLUMN($E$5),1)&gt;0,INDEX('Surface DEET'!$Q$9:$W$38,COLUMN(AD348)-COLUMN($E$5),1),$E355),0)</f>
        <v>0</v>
      </c>
      <c r="AE355" s="281">
        <f>IF(AE$6=$C355,IF(INDEX('Surface DEET'!$Q$9:$W$38,COLUMN(AE348)-COLUMN($E$5),1)&gt;0,INDEX('Surface DEET'!$Q$9:$W$38,COLUMN(AE348)-COLUMN($E$5),1),$E355),0)</f>
        <v>0</v>
      </c>
      <c r="AF355" s="281">
        <f>IF(AF$6=$C355,IF(INDEX('Surface DEET'!$Q$9:$W$38,COLUMN(AF348)-COLUMN($E$5),1)&gt;0,INDEX('Surface DEET'!$Q$9:$W$38,COLUMN(AF348)-COLUMN($E$5),1),$E355),0)</f>
        <v>0</v>
      </c>
      <c r="AG355" s="281">
        <f>IF(AG$6=$C355,IF(INDEX('Surface DEET'!$Q$9:$W$38,COLUMN(AG348)-COLUMN($E$5),1)&gt;0,INDEX('Surface DEET'!$Q$9:$W$38,COLUMN(AG348)-COLUMN($E$5),1),$E355),0)</f>
        <v>0</v>
      </c>
      <c r="AH355" s="281">
        <f>IF(AH$6=$C355,IF(INDEX('Surface DEET'!$Q$9:$W$38,COLUMN(AH348)-COLUMN($E$5),1)&gt;0,INDEX('Surface DEET'!$Q$9:$W$38,COLUMN(AH348)-COLUMN($E$5),1),$E355),0)</f>
        <v>0</v>
      </c>
      <c r="AI355" s="281">
        <f>IF(AI$6=$C355,INDEX('Surface DEET'!$Q$9:$W$38,COLUMN(AI348)-COLUMN($E$5),1),0)</f>
        <v>0</v>
      </c>
    </row>
    <row r="356" spans="2:35">
      <c r="B356" s="281" t="s">
        <v>545</v>
      </c>
      <c r="C356" s="281" t="s">
        <v>680</v>
      </c>
      <c r="D356" s="281" t="s">
        <v>681</v>
      </c>
      <c r="E356" s="281">
        <v>415</v>
      </c>
      <c r="F356" s="281">
        <f>IF(F$6=$C356,IF(INDEX('Surface DEET'!$Q$9:$W$38,COLUMN(F349)-COLUMN($E$5),4)&gt;0,INDEX('Surface DEET'!$Q$9:$W$38,COLUMN(F349)-COLUMN($E$5),4),$E356),0)</f>
        <v>0</v>
      </c>
      <c r="G356" s="281">
        <f>IF(G$6=$C356,IF(INDEX('Surface DEET'!$Q$9:$W$38,COLUMN(G349)-COLUMN($E$5),4)&gt;0,INDEX('Surface DEET'!$Q$9:$W$38,COLUMN(G349)-COLUMN($E$5),4),$E356),0)</f>
        <v>0</v>
      </c>
      <c r="H356" s="281">
        <f>IF(H$6=$C356,IF(INDEX('Surface DEET'!$Q$9:$W$38,COLUMN(H349)-COLUMN($E$5),4)&gt;0,INDEX('Surface DEET'!$Q$9:$W$38,COLUMN(H349)-COLUMN($E$5),4),$E356),0)</f>
        <v>0</v>
      </c>
      <c r="I356" s="281">
        <f>IF(I$6=$C356,IF(INDEX('Surface DEET'!$Q$9:$W$38,COLUMN(I349)-COLUMN($E$5),4)&gt;0,INDEX('Surface DEET'!$Q$9:$W$38,COLUMN(I349)-COLUMN($E$5),4),$E356),0)</f>
        <v>0</v>
      </c>
      <c r="J356" s="281">
        <f>IF(J$6=$C356,IF(INDEX('Surface DEET'!$Q$9:$W$38,COLUMN(J349)-COLUMN($E$5),4)&gt;0,INDEX('Surface DEET'!$Q$9:$W$38,COLUMN(J349)-COLUMN($E$5),4),$E356),0)</f>
        <v>0</v>
      </c>
      <c r="K356" s="281">
        <f>IF(K$6=$C356,IF(INDEX('Surface DEET'!$Q$9:$W$38,COLUMN(K349)-COLUMN($E$5),4)&gt;0,INDEX('Surface DEET'!$Q$9:$W$38,COLUMN(K349)-COLUMN($E$5),4),$E356),0)</f>
        <v>0</v>
      </c>
      <c r="L356" s="281">
        <f>IF(L$6=$C356,IF(INDEX('Surface DEET'!$Q$9:$W$38,COLUMN(L349)-COLUMN($E$5),4)&gt;0,INDEX('Surface DEET'!$Q$9:$W$38,COLUMN(L349)-COLUMN($E$5),4),$E356),0)</f>
        <v>0</v>
      </c>
      <c r="M356" s="281">
        <f>IF(M$6=$C356,IF(INDEX('Surface DEET'!$Q$9:$W$38,COLUMN(M349)-COLUMN($E$5),4)&gt;0,INDEX('Surface DEET'!$Q$9:$W$38,COLUMN(M349)-COLUMN($E$5),4),$E356),0)</f>
        <v>0</v>
      </c>
      <c r="N356" s="281">
        <f>IF(N$6=$C356,IF(INDEX('Surface DEET'!$Q$9:$W$38,COLUMN(N349)-COLUMN($E$5),4)&gt;0,INDEX('Surface DEET'!$Q$9:$W$38,COLUMN(N349)-COLUMN($E$5),4),$E356),0)</f>
        <v>0</v>
      </c>
      <c r="O356" s="281">
        <f>IF(O$6=$C356,IF(INDEX('Surface DEET'!$Q$9:$W$38,COLUMN(O349)-COLUMN($E$5),4)&gt;0,INDEX('Surface DEET'!$Q$9:$W$38,COLUMN(O349)-COLUMN($E$5),4),$E356),0)</f>
        <v>0</v>
      </c>
      <c r="P356" s="281">
        <f>IF(P$6=$C356,IF(INDEX('Surface DEET'!$Q$9:$W$38,COLUMN(P349)-COLUMN($E$5),4)&gt;0,INDEX('Surface DEET'!$Q$9:$W$38,COLUMN(P349)-COLUMN($E$5),4),$E356),0)</f>
        <v>0</v>
      </c>
      <c r="Q356" s="281">
        <f>IF(Q$6=$C356,IF(INDEX('Surface DEET'!$Q$9:$W$38,COLUMN(Q349)-COLUMN($E$5),4)&gt;0,INDEX('Surface DEET'!$Q$9:$W$38,COLUMN(Q349)-COLUMN($E$5),4),$E356),0)</f>
        <v>0</v>
      </c>
      <c r="R356" s="281">
        <f>IF(R$6=$C356,IF(INDEX('Surface DEET'!$Q$9:$W$38,COLUMN(R349)-COLUMN($E$5),4)&gt;0,INDEX('Surface DEET'!$Q$9:$W$38,COLUMN(R349)-COLUMN($E$5),4),$E356),0)</f>
        <v>0</v>
      </c>
      <c r="S356" s="281">
        <f>IF(S$6=$C356,IF(INDEX('Surface DEET'!$Q$9:$W$38,COLUMN(S349)-COLUMN($E$5),4)&gt;0,INDEX('Surface DEET'!$Q$9:$W$38,COLUMN(S349)-COLUMN($E$5),4),$E356),0)</f>
        <v>0</v>
      </c>
      <c r="T356" s="281">
        <f>IF(T$6=$C356,IF(INDEX('Surface DEET'!$Q$9:$W$38,COLUMN(T349)-COLUMN($E$5),4)&gt;0,INDEX('Surface DEET'!$Q$9:$W$38,COLUMN(T349)-COLUMN($E$5),4),$E356),0)</f>
        <v>0</v>
      </c>
      <c r="U356" s="281">
        <f>IF(U$6=$C356,IF(INDEX('Surface DEET'!$Q$9:$W$38,COLUMN(U349)-COLUMN($E$5),4)&gt;0,INDEX('Surface DEET'!$Q$9:$W$38,COLUMN(U349)-COLUMN($E$5),4),$E356),0)</f>
        <v>0</v>
      </c>
      <c r="V356" s="281">
        <f>IF(V$6=$C356,IF(INDEX('Surface DEET'!$Q$9:$W$38,COLUMN(V349)-COLUMN($E$5),4)&gt;0,INDEX('Surface DEET'!$Q$9:$W$38,COLUMN(V349)-COLUMN($E$5),4),$E356),0)</f>
        <v>0</v>
      </c>
      <c r="W356" s="281">
        <f>IF(W$6=$C356,IF(INDEX('Surface DEET'!$Q$9:$W$38,COLUMN(W349)-COLUMN($E$5),4)&gt;0,INDEX('Surface DEET'!$Q$9:$W$38,COLUMN(W349)-COLUMN($E$5),4),$E356),0)</f>
        <v>0</v>
      </c>
      <c r="X356" s="281">
        <f>IF(X$6=$C356,IF(INDEX('Surface DEET'!$Q$9:$W$38,COLUMN(X349)-COLUMN($E$5),4)&gt;0,INDEX('Surface DEET'!$Q$9:$W$38,COLUMN(X349)-COLUMN($E$5),4),$E356),0)</f>
        <v>0</v>
      </c>
      <c r="Y356" s="281">
        <f>IF(Y$6=$C356,IF(INDEX('Surface DEET'!$Q$9:$W$38,COLUMN(Y349)-COLUMN($E$5),4)&gt;0,INDEX('Surface DEET'!$Q$9:$W$38,COLUMN(Y349)-COLUMN($E$5),4),$E356),0)</f>
        <v>0</v>
      </c>
      <c r="Z356" s="281">
        <f>IF(Z$6=$C356,IF(INDEX('Surface DEET'!$Q$9:$W$38,COLUMN(Z349)-COLUMN($E$5),4)&gt;0,INDEX('Surface DEET'!$Q$9:$W$38,COLUMN(Z349)-COLUMN($E$5),4),$E356),0)</f>
        <v>0</v>
      </c>
      <c r="AA356" s="281">
        <f>IF(AA$6=$C356,IF(INDEX('Surface DEET'!$Q$9:$W$38,COLUMN(AA349)-COLUMN($E$5),4)&gt;0,INDEX('Surface DEET'!$Q$9:$W$38,COLUMN(AA349)-COLUMN($E$5),4),$E356),0)</f>
        <v>0</v>
      </c>
      <c r="AB356" s="281">
        <f>IF(AB$6=$C356,IF(INDEX('Surface DEET'!$Q$9:$W$38,COLUMN(AB349)-COLUMN($E$5),4)&gt;0,INDEX('Surface DEET'!$Q$9:$W$38,COLUMN(AB349)-COLUMN($E$5),4),$E356),0)</f>
        <v>0</v>
      </c>
      <c r="AC356" s="281">
        <f>IF(AC$6=$C356,IF(INDEX('Surface DEET'!$Q$9:$W$38,COLUMN(AC349)-COLUMN($E$5),4)&gt;0,INDEX('Surface DEET'!$Q$9:$W$38,COLUMN(AC349)-COLUMN($E$5),4),$E356),0)</f>
        <v>0</v>
      </c>
      <c r="AD356" s="281">
        <f>IF(AD$6=$C356,IF(INDEX('Surface DEET'!$Q$9:$W$38,COLUMN(AD349)-COLUMN($E$5),4)&gt;0,INDEX('Surface DEET'!$Q$9:$W$38,COLUMN(AD349)-COLUMN($E$5),4),$E356),0)</f>
        <v>0</v>
      </c>
      <c r="AE356" s="281">
        <f>IF(AE$6=$C356,IF(INDEX('Surface DEET'!$Q$9:$W$38,COLUMN(AE349)-COLUMN($E$5),4)&gt;0,INDEX('Surface DEET'!$Q$9:$W$38,COLUMN(AE349)-COLUMN($E$5),4),$E356),0)</f>
        <v>0</v>
      </c>
      <c r="AF356" s="281">
        <f>IF(AF$6=$C356,IF(INDEX('Surface DEET'!$Q$9:$W$38,COLUMN(AF349)-COLUMN($E$5),4)&gt;0,INDEX('Surface DEET'!$Q$9:$W$38,COLUMN(AF349)-COLUMN($E$5),4),$E356),0)</f>
        <v>0</v>
      </c>
      <c r="AG356" s="281">
        <f>IF(AG$6=$C356,IF(INDEX('Surface DEET'!$Q$9:$W$38,COLUMN(AG349)-COLUMN($E$5),4)&gt;0,INDEX('Surface DEET'!$Q$9:$W$38,COLUMN(AG349)-COLUMN($E$5),4),$E356),0)</f>
        <v>0</v>
      </c>
      <c r="AH356" s="281">
        <f>IF(AH$6=$C356,IF(INDEX('Surface DEET'!$Q$9:$W$38,COLUMN(AH349)-COLUMN($E$5),4)&gt;0,INDEX('Surface DEET'!$Q$9:$W$38,COLUMN(AH349)-COLUMN($E$5),4),$E356),0)</f>
        <v>0</v>
      </c>
      <c r="AI356" s="281">
        <f>IF(AI$6=$C356,INDEX('Surface DEET'!$Q$9:$W$38,COLUMN(AI349)-COLUMN($E$5),4),0)</f>
        <v>0</v>
      </c>
    </row>
    <row r="357" spans="2:35">
      <c r="B357" s="281" t="s">
        <v>548</v>
      </c>
      <c r="C357" s="281" t="s">
        <v>682</v>
      </c>
    </row>
    <row r="358" spans="2:35">
      <c r="B358" s="281" t="s">
        <v>538</v>
      </c>
      <c r="C358" s="281" t="s">
        <v>683</v>
      </c>
      <c r="D358" s="281" t="s">
        <v>538</v>
      </c>
      <c r="F358" s="281">
        <f>$E$352*($E$354*(F356/$E$356)+(1-$E$354)*(F355/$E$355))+0.28*$E$351*(F355-$E$355)/$E$355</f>
        <v>-16.240000000000002</v>
      </c>
      <c r="G358" s="281">
        <f t="shared" ref="G358:AI358" si="43">$E$352*($E$354*(G356/$E$356)+(1-$E$354)*(G355/$E$355))+0.28*$E$351*(G355-$E$355)/$E$355</f>
        <v>-16.240000000000002</v>
      </c>
      <c r="H358" s="281">
        <f t="shared" si="43"/>
        <v>-16.240000000000002</v>
      </c>
      <c r="I358" s="281">
        <f t="shared" si="43"/>
        <v>-16.240000000000002</v>
      </c>
      <c r="J358" s="281">
        <f t="shared" si="43"/>
        <v>-16.240000000000002</v>
      </c>
      <c r="K358" s="281">
        <f t="shared" si="43"/>
        <v>-16.240000000000002</v>
      </c>
      <c r="L358" s="281">
        <f t="shared" si="43"/>
        <v>-16.240000000000002</v>
      </c>
      <c r="M358" s="281">
        <f t="shared" si="43"/>
        <v>-16.240000000000002</v>
      </c>
      <c r="N358" s="281">
        <f t="shared" si="43"/>
        <v>-16.240000000000002</v>
      </c>
      <c r="O358" s="281">
        <f t="shared" si="43"/>
        <v>-16.240000000000002</v>
      </c>
      <c r="P358" s="281">
        <f t="shared" si="43"/>
        <v>-16.240000000000002</v>
      </c>
      <c r="Q358" s="281">
        <f t="shared" si="43"/>
        <v>-16.240000000000002</v>
      </c>
      <c r="R358" s="281">
        <f t="shared" si="43"/>
        <v>-16.240000000000002</v>
      </c>
      <c r="S358" s="281">
        <f t="shared" si="43"/>
        <v>-16.240000000000002</v>
      </c>
      <c r="T358" s="281">
        <f t="shared" si="43"/>
        <v>-16.240000000000002</v>
      </c>
      <c r="U358" s="281">
        <f t="shared" si="43"/>
        <v>-16.240000000000002</v>
      </c>
      <c r="V358" s="281">
        <f t="shared" si="43"/>
        <v>-16.240000000000002</v>
      </c>
      <c r="W358" s="281">
        <f t="shared" si="43"/>
        <v>-16.240000000000002</v>
      </c>
      <c r="X358" s="281">
        <f t="shared" si="43"/>
        <v>-16.240000000000002</v>
      </c>
      <c r="Y358" s="281">
        <f t="shared" si="43"/>
        <v>-16.240000000000002</v>
      </c>
      <c r="Z358" s="281">
        <f t="shared" si="43"/>
        <v>-16.240000000000002</v>
      </c>
      <c r="AA358" s="281">
        <f t="shared" si="43"/>
        <v>-16.240000000000002</v>
      </c>
      <c r="AB358" s="281">
        <f t="shared" si="43"/>
        <v>-16.240000000000002</v>
      </c>
      <c r="AC358" s="281">
        <f t="shared" si="43"/>
        <v>-16.240000000000002</v>
      </c>
      <c r="AD358" s="281">
        <f t="shared" si="43"/>
        <v>-16.240000000000002</v>
      </c>
      <c r="AE358" s="281">
        <f t="shared" si="43"/>
        <v>-16.240000000000002</v>
      </c>
      <c r="AF358" s="281">
        <f t="shared" si="43"/>
        <v>-16.240000000000002</v>
      </c>
      <c r="AG358" s="281">
        <f t="shared" si="43"/>
        <v>-16.240000000000002</v>
      </c>
      <c r="AH358" s="281">
        <f t="shared" si="43"/>
        <v>-16.240000000000002</v>
      </c>
      <c r="AI358" s="281">
        <f t="shared" si="43"/>
        <v>-16.240000000000002</v>
      </c>
    </row>
    <row r="359" spans="2:35">
      <c r="B359" s="92" t="s">
        <v>298</v>
      </c>
      <c r="C359" s="281" t="s">
        <v>684</v>
      </c>
      <c r="D359" s="92" t="s">
        <v>298</v>
      </c>
      <c r="E359" s="281">
        <f t="array" ref="E359">INDEX(CABS_CVC!$C$3:$O$894,MATCH(1, (CABS_CVC!$A$3:$A$894=Calculs_CABS!C359)*(CABS_CVC!$B$3:$B$894=Calculs_CABS!$D$2),0),MATCH(Calculs_CABS!$D$1,Liste_CABS!$B$3:$B$15,0))</f>
        <v>58</v>
      </c>
    </row>
    <row r="360" spans="2:35">
      <c r="B360" s="281" t="s">
        <v>539</v>
      </c>
      <c r="C360" s="281" t="s">
        <v>684</v>
      </c>
      <c r="D360" s="281" t="s">
        <v>539</v>
      </c>
      <c r="E360" s="281">
        <v>1463</v>
      </c>
    </row>
    <row r="361" spans="2:35">
      <c r="B361" s="281" t="s">
        <v>540</v>
      </c>
      <c r="C361" s="281" t="s">
        <v>684</v>
      </c>
      <c r="D361" s="281" t="s">
        <v>540</v>
      </c>
      <c r="E361" s="281">
        <f>E359+E360</f>
        <v>1521</v>
      </c>
    </row>
    <row r="362" spans="2:35">
      <c r="B362" s="281" t="s">
        <v>541</v>
      </c>
      <c r="C362" s="281" t="s">
        <v>684</v>
      </c>
      <c r="D362" s="281" t="s">
        <v>541</v>
      </c>
      <c r="E362" s="281">
        <v>0.98</v>
      </c>
    </row>
    <row r="363" spans="2:35">
      <c r="B363" s="281" t="s">
        <v>542</v>
      </c>
      <c r="C363" s="281" t="s">
        <v>684</v>
      </c>
      <c r="D363" s="281" t="s">
        <v>602</v>
      </c>
      <c r="E363" s="281">
        <v>3120</v>
      </c>
      <c r="F363" s="281">
        <f>IF(F$6=$C363,IF(INDEX('Surface DEET'!$Q$9:$W$38,COLUMN(F356)-COLUMN($E$5),1)&gt;0,INDEX('Surface DEET'!$Q$9:$W$38,COLUMN(F356)-COLUMN($E$5),1),$E363),0)</f>
        <v>0</v>
      </c>
      <c r="G363" s="281">
        <f>IF(G$6=$C363,IF(INDEX('Surface DEET'!$Q$9:$W$38,COLUMN(G356)-COLUMN($E$5),1)&gt;0,INDEX('Surface DEET'!$Q$9:$W$38,COLUMN(G356)-COLUMN($E$5),1),$E363),0)</f>
        <v>0</v>
      </c>
      <c r="H363" s="281">
        <f>IF(H$6=$C363,IF(INDEX('Surface DEET'!$Q$9:$W$38,COLUMN(H356)-COLUMN($E$5),1)&gt;0,INDEX('Surface DEET'!$Q$9:$W$38,COLUMN(H356)-COLUMN($E$5),1),$E363),0)</f>
        <v>0</v>
      </c>
      <c r="I363" s="281">
        <f>IF(I$6=$C363,IF(INDEX('Surface DEET'!$Q$9:$W$38,COLUMN(I356)-COLUMN($E$5),1)&gt;0,INDEX('Surface DEET'!$Q$9:$W$38,COLUMN(I356)-COLUMN($E$5),1),$E363),0)</f>
        <v>0</v>
      </c>
      <c r="J363" s="281">
        <f>IF(J$6=$C363,IF(INDEX('Surface DEET'!$Q$9:$W$38,COLUMN(J356)-COLUMN($E$5),1)&gt;0,INDEX('Surface DEET'!$Q$9:$W$38,COLUMN(J356)-COLUMN($E$5),1),$E363),0)</f>
        <v>0</v>
      </c>
      <c r="K363" s="281">
        <f>IF(K$6=$C363,IF(INDEX('Surface DEET'!$Q$9:$W$38,COLUMN(K356)-COLUMN($E$5),1)&gt;0,INDEX('Surface DEET'!$Q$9:$W$38,COLUMN(K356)-COLUMN($E$5),1),$E363),0)</f>
        <v>0</v>
      </c>
      <c r="L363" s="281">
        <f>IF(L$6=$C363,IF(INDEX('Surface DEET'!$Q$9:$W$38,COLUMN(L356)-COLUMN($E$5),1)&gt;0,INDEX('Surface DEET'!$Q$9:$W$38,COLUMN(L356)-COLUMN($E$5),1),$E363),0)</f>
        <v>0</v>
      </c>
      <c r="M363" s="281">
        <f>IF(M$6=$C363,IF(INDEX('Surface DEET'!$Q$9:$W$38,COLUMN(M356)-COLUMN($E$5),1)&gt;0,INDEX('Surface DEET'!$Q$9:$W$38,COLUMN(M356)-COLUMN($E$5),1),$E363),0)</f>
        <v>0</v>
      </c>
      <c r="N363" s="281">
        <f>IF(N$6=$C363,IF(INDEX('Surface DEET'!$Q$9:$W$38,COLUMN(N356)-COLUMN($E$5),1)&gt;0,INDEX('Surface DEET'!$Q$9:$W$38,COLUMN(N356)-COLUMN($E$5),1),$E363),0)</f>
        <v>0</v>
      </c>
      <c r="O363" s="281">
        <f>IF(O$6=$C363,IF(INDEX('Surface DEET'!$Q$9:$W$38,COLUMN(O356)-COLUMN($E$5),1)&gt;0,INDEX('Surface DEET'!$Q$9:$W$38,COLUMN(O356)-COLUMN($E$5),1),$E363),0)</f>
        <v>0</v>
      </c>
      <c r="P363" s="281">
        <f>IF(P$6=$C363,IF(INDEX('Surface DEET'!$Q$9:$W$38,COLUMN(P356)-COLUMN($E$5),1)&gt;0,INDEX('Surface DEET'!$Q$9:$W$38,COLUMN(P356)-COLUMN($E$5),1),$E363),0)</f>
        <v>0</v>
      </c>
      <c r="Q363" s="281">
        <f>IF(Q$6=$C363,IF(INDEX('Surface DEET'!$Q$9:$W$38,COLUMN(Q356)-COLUMN($E$5),1)&gt;0,INDEX('Surface DEET'!$Q$9:$W$38,COLUMN(Q356)-COLUMN($E$5),1),$E363),0)</f>
        <v>0</v>
      </c>
      <c r="R363" s="281">
        <f>IF(R$6=$C363,IF(INDEX('Surface DEET'!$Q$9:$W$38,COLUMN(R356)-COLUMN($E$5),1)&gt;0,INDEX('Surface DEET'!$Q$9:$W$38,COLUMN(R356)-COLUMN($E$5),1),$E363),0)</f>
        <v>0</v>
      </c>
      <c r="S363" s="281">
        <f>IF(S$6=$C363,IF(INDEX('Surface DEET'!$Q$9:$W$38,COLUMN(S356)-COLUMN($E$5),1)&gt;0,INDEX('Surface DEET'!$Q$9:$W$38,COLUMN(S356)-COLUMN($E$5),1),$E363),0)</f>
        <v>0</v>
      </c>
      <c r="T363" s="281">
        <f>IF(T$6=$C363,IF(INDEX('Surface DEET'!$Q$9:$W$38,COLUMN(T356)-COLUMN($E$5),1)&gt;0,INDEX('Surface DEET'!$Q$9:$W$38,COLUMN(T356)-COLUMN($E$5),1),$E363),0)</f>
        <v>0</v>
      </c>
      <c r="U363" s="281">
        <f>IF(U$6=$C363,IF(INDEX('Surface DEET'!$Q$9:$W$38,COLUMN(U356)-COLUMN($E$5),1)&gt;0,INDEX('Surface DEET'!$Q$9:$W$38,COLUMN(U356)-COLUMN($E$5),1),$E363),0)</f>
        <v>0</v>
      </c>
      <c r="V363" s="281">
        <f>IF(V$6=$C363,IF(INDEX('Surface DEET'!$Q$9:$W$38,COLUMN(V356)-COLUMN($E$5),1)&gt;0,INDEX('Surface DEET'!$Q$9:$W$38,COLUMN(V356)-COLUMN($E$5),1),$E363),0)</f>
        <v>0</v>
      </c>
      <c r="W363" s="281">
        <f>IF(W$6=$C363,IF(INDEX('Surface DEET'!$Q$9:$W$38,COLUMN(W356)-COLUMN($E$5),1)&gt;0,INDEX('Surface DEET'!$Q$9:$W$38,COLUMN(W356)-COLUMN($E$5),1),$E363),0)</f>
        <v>0</v>
      </c>
      <c r="X363" s="281">
        <f>IF(X$6=$C363,IF(INDEX('Surface DEET'!$Q$9:$W$38,COLUMN(X356)-COLUMN($E$5),1)&gt;0,INDEX('Surface DEET'!$Q$9:$W$38,COLUMN(X356)-COLUMN($E$5),1),$E363),0)</f>
        <v>0</v>
      </c>
      <c r="Y363" s="281">
        <f>IF(Y$6=$C363,IF(INDEX('Surface DEET'!$Q$9:$W$38,COLUMN(Y356)-COLUMN($E$5),1)&gt;0,INDEX('Surface DEET'!$Q$9:$W$38,COLUMN(Y356)-COLUMN($E$5),1),$E363),0)</f>
        <v>0</v>
      </c>
      <c r="Z363" s="281">
        <f>IF(Z$6=$C363,IF(INDEX('Surface DEET'!$Q$9:$W$38,COLUMN(Z356)-COLUMN($E$5),1)&gt;0,INDEX('Surface DEET'!$Q$9:$W$38,COLUMN(Z356)-COLUMN($E$5),1),$E363),0)</f>
        <v>0</v>
      </c>
      <c r="AA363" s="281">
        <f>IF(AA$6=$C363,IF(INDEX('Surface DEET'!$Q$9:$W$38,COLUMN(AA356)-COLUMN($E$5),1)&gt;0,INDEX('Surface DEET'!$Q$9:$W$38,COLUMN(AA356)-COLUMN($E$5),1),$E363),0)</f>
        <v>0</v>
      </c>
      <c r="AB363" s="281">
        <f>IF(AB$6=$C363,IF(INDEX('Surface DEET'!$Q$9:$W$38,COLUMN(AB356)-COLUMN($E$5),1)&gt;0,INDEX('Surface DEET'!$Q$9:$W$38,COLUMN(AB356)-COLUMN($E$5),1),$E363),0)</f>
        <v>0</v>
      </c>
      <c r="AC363" s="281">
        <f>IF(AC$6=$C363,IF(INDEX('Surface DEET'!$Q$9:$W$38,COLUMN(AC356)-COLUMN($E$5),1)&gt;0,INDEX('Surface DEET'!$Q$9:$W$38,COLUMN(AC356)-COLUMN($E$5),1),$E363),0)</f>
        <v>0</v>
      </c>
      <c r="AD363" s="281">
        <f>IF(AD$6=$C363,IF(INDEX('Surface DEET'!$Q$9:$W$38,COLUMN(AD356)-COLUMN($E$5),1)&gt;0,INDEX('Surface DEET'!$Q$9:$W$38,COLUMN(AD356)-COLUMN($E$5),1),$E363),0)</f>
        <v>0</v>
      </c>
      <c r="AE363" s="281">
        <f>IF(AE$6=$C363,IF(INDEX('Surface DEET'!$Q$9:$W$38,COLUMN(AE356)-COLUMN($E$5),1)&gt;0,INDEX('Surface DEET'!$Q$9:$W$38,COLUMN(AE356)-COLUMN($E$5),1),$E363),0)</f>
        <v>0</v>
      </c>
      <c r="AF363" s="281">
        <f>IF(AF$6=$C363,IF(INDEX('Surface DEET'!$Q$9:$W$38,COLUMN(AF356)-COLUMN($E$5),1)&gt;0,INDEX('Surface DEET'!$Q$9:$W$38,COLUMN(AF356)-COLUMN($E$5),1),$E363),0)</f>
        <v>0</v>
      </c>
      <c r="AG363" s="281">
        <f>IF(AG$6=$C363,IF(INDEX('Surface DEET'!$Q$9:$W$38,COLUMN(AG356)-COLUMN($E$5),1)&gt;0,INDEX('Surface DEET'!$Q$9:$W$38,COLUMN(AG356)-COLUMN($E$5),1),$E363),0)</f>
        <v>0</v>
      </c>
      <c r="AH363" s="281">
        <f>IF(AH$6=$C363,IF(INDEX('Surface DEET'!$Q$9:$W$38,COLUMN(AH356)-COLUMN($E$5),1)&gt;0,INDEX('Surface DEET'!$Q$9:$W$38,COLUMN(AH356)-COLUMN($E$5),1),$E363),0)</f>
        <v>0</v>
      </c>
      <c r="AI363" s="281">
        <f>IF(AI$6=$C363,INDEX('Surface DEET'!$Q$9:$W$38,COLUMN(AI356)-COLUMN($E$5),1),0)</f>
        <v>0</v>
      </c>
    </row>
    <row r="364" spans="2:35">
      <c r="B364" s="281" t="s">
        <v>545</v>
      </c>
      <c r="C364" s="281" t="s">
        <v>684</v>
      </c>
      <c r="D364" s="281" t="s">
        <v>681</v>
      </c>
      <c r="E364" s="281">
        <v>1325</v>
      </c>
      <c r="F364" s="281">
        <f>IF(F$6=$C364,IF(INDEX('Surface DEET'!$Q$9:$W$38,COLUMN(F357)-COLUMN($E$5),4)&gt;0,INDEX('Surface DEET'!$Q$9:$W$38,COLUMN(F357)-COLUMN($E$5),4),$E364),0)</f>
        <v>0</v>
      </c>
      <c r="G364" s="281">
        <f>IF(G$6=$C364,IF(INDEX('Surface DEET'!$Q$9:$W$38,COLUMN(G357)-COLUMN($E$5),4)&gt;0,INDEX('Surface DEET'!$Q$9:$W$38,COLUMN(G357)-COLUMN($E$5),4),$E364),0)</f>
        <v>0</v>
      </c>
      <c r="H364" s="281">
        <f>IF(H$6=$C364,IF(INDEX('Surface DEET'!$Q$9:$W$38,COLUMN(H357)-COLUMN($E$5),4)&gt;0,INDEX('Surface DEET'!$Q$9:$W$38,COLUMN(H357)-COLUMN($E$5),4),$E364),0)</f>
        <v>0</v>
      </c>
      <c r="I364" s="281">
        <f>IF(I$6=$C364,IF(INDEX('Surface DEET'!$Q$9:$W$38,COLUMN(I357)-COLUMN($E$5),4)&gt;0,INDEX('Surface DEET'!$Q$9:$W$38,COLUMN(I357)-COLUMN($E$5),4),$E364),0)</f>
        <v>0</v>
      </c>
      <c r="J364" s="281">
        <f>IF(J$6=$C364,IF(INDEX('Surface DEET'!$Q$9:$W$38,COLUMN(J357)-COLUMN($E$5),4)&gt;0,INDEX('Surface DEET'!$Q$9:$W$38,COLUMN(J357)-COLUMN($E$5),4),$E364),0)</f>
        <v>0</v>
      </c>
      <c r="K364" s="281">
        <f>IF(K$6=$C364,IF(INDEX('Surface DEET'!$Q$9:$W$38,COLUMN(K357)-COLUMN($E$5),4)&gt;0,INDEX('Surface DEET'!$Q$9:$W$38,COLUMN(K357)-COLUMN($E$5),4),$E364),0)</f>
        <v>0</v>
      </c>
      <c r="L364" s="281">
        <f>IF(L$6=$C364,IF(INDEX('Surface DEET'!$Q$9:$W$38,COLUMN(L357)-COLUMN($E$5),4)&gt;0,INDEX('Surface DEET'!$Q$9:$W$38,COLUMN(L357)-COLUMN($E$5),4),$E364),0)</f>
        <v>0</v>
      </c>
      <c r="M364" s="281">
        <f>IF(M$6=$C364,IF(INDEX('Surface DEET'!$Q$9:$W$38,COLUMN(M357)-COLUMN($E$5),4)&gt;0,INDEX('Surface DEET'!$Q$9:$W$38,COLUMN(M357)-COLUMN($E$5),4),$E364),0)</f>
        <v>0</v>
      </c>
      <c r="N364" s="281">
        <f>IF(N$6=$C364,IF(INDEX('Surface DEET'!$Q$9:$W$38,COLUMN(N357)-COLUMN($E$5),4)&gt;0,INDEX('Surface DEET'!$Q$9:$W$38,COLUMN(N357)-COLUMN($E$5),4),$E364),0)</f>
        <v>0</v>
      </c>
      <c r="O364" s="281">
        <f>IF(O$6=$C364,IF(INDEX('Surface DEET'!$Q$9:$W$38,COLUMN(O357)-COLUMN($E$5),4)&gt;0,INDEX('Surface DEET'!$Q$9:$W$38,COLUMN(O357)-COLUMN($E$5),4),$E364),0)</f>
        <v>0</v>
      </c>
      <c r="P364" s="281">
        <f>IF(P$6=$C364,IF(INDEX('Surface DEET'!$Q$9:$W$38,COLUMN(P357)-COLUMN($E$5),4)&gt;0,INDEX('Surface DEET'!$Q$9:$W$38,COLUMN(P357)-COLUMN($E$5),4),$E364),0)</f>
        <v>0</v>
      </c>
      <c r="Q364" s="281">
        <f>IF(Q$6=$C364,IF(INDEX('Surface DEET'!$Q$9:$W$38,COLUMN(Q357)-COLUMN($E$5),4)&gt;0,INDEX('Surface DEET'!$Q$9:$W$38,COLUMN(Q357)-COLUMN($E$5),4),$E364),0)</f>
        <v>0</v>
      </c>
      <c r="R364" s="281">
        <f>IF(R$6=$C364,IF(INDEX('Surface DEET'!$Q$9:$W$38,COLUMN(R357)-COLUMN($E$5),4)&gt;0,INDEX('Surface DEET'!$Q$9:$W$38,COLUMN(R357)-COLUMN($E$5),4),$E364),0)</f>
        <v>0</v>
      </c>
      <c r="S364" s="281">
        <f>IF(S$6=$C364,IF(INDEX('Surface DEET'!$Q$9:$W$38,COLUMN(S357)-COLUMN($E$5),4)&gt;0,INDEX('Surface DEET'!$Q$9:$W$38,COLUMN(S357)-COLUMN($E$5),4),$E364),0)</f>
        <v>0</v>
      </c>
      <c r="T364" s="281">
        <f>IF(T$6=$C364,IF(INDEX('Surface DEET'!$Q$9:$W$38,COLUMN(T357)-COLUMN($E$5),4)&gt;0,INDEX('Surface DEET'!$Q$9:$W$38,COLUMN(T357)-COLUMN($E$5),4),$E364),0)</f>
        <v>0</v>
      </c>
      <c r="U364" s="281">
        <f>IF(U$6=$C364,IF(INDEX('Surface DEET'!$Q$9:$W$38,COLUMN(U357)-COLUMN($E$5),4)&gt;0,INDEX('Surface DEET'!$Q$9:$W$38,COLUMN(U357)-COLUMN($E$5),4),$E364),0)</f>
        <v>0</v>
      </c>
      <c r="V364" s="281">
        <f>IF(V$6=$C364,IF(INDEX('Surface DEET'!$Q$9:$W$38,COLUMN(V357)-COLUMN($E$5),4)&gt;0,INDEX('Surface DEET'!$Q$9:$W$38,COLUMN(V357)-COLUMN($E$5),4),$E364),0)</f>
        <v>0</v>
      </c>
      <c r="W364" s="281">
        <f>IF(W$6=$C364,IF(INDEX('Surface DEET'!$Q$9:$W$38,COLUMN(W357)-COLUMN($E$5),4)&gt;0,INDEX('Surface DEET'!$Q$9:$W$38,COLUMN(W357)-COLUMN($E$5),4),$E364),0)</f>
        <v>0</v>
      </c>
      <c r="X364" s="281">
        <f>IF(X$6=$C364,IF(INDEX('Surface DEET'!$Q$9:$W$38,COLUMN(X357)-COLUMN($E$5),4)&gt;0,INDEX('Surface DEET'!$Q$9:$W$38,COLUMN(X357)-COLUMN($E$5),4),$E364),0)</f>
        <v>0</v>
      </c>
      <c r="Y364" s="281">
        <f>IF(Y$6=$C364,IF(INDEX('Surface DEET'!$Q$9:$W$38,COLUMN(Y357)-COLUMN($E$5),4)&gt;0,INDEX('Surface DEET'!$Q$9:$W$38,COLUMN(Y357)-COLUMN($E$5),4),$E364),0)</f>
        <v>0</v>
      </c>
      <c r="Z364" s="281">
        <f>IF(Z$6=$C364,IF(INDEX('Surface DEET'!$Q$9:$W$38,COLUMN(Z357)-COLUMN($E$5),4)&gt;0,INDEX('Surface DEET'!$Q$9:$W$38,COLUMN(Z357)-COLUMN($E$5),4),$E364),0)</f>
        <v>0</v>
      </c>
      <c r="AA364" s="281">
        <f>IF(AA$6=$C364,IF(INDEX('Surface DEET'!$Q$9:$W$38,COLUMN(AA357)-COLUMN($E$5),4)&gt;0,INDEX('Surface DEET'!$Q$9:$W$38,COLUMN(AA357)-COLUMN($E$5),4),$E364),0)</f>
        <v>0</v>
      </c>
      <c r="AB364" s="281">
        <f>IF(AB$6=$C364,IF(INDEX('Surface DEET'!$Q$9:$W$38,COLUMN(AB357)-COLUMN($E$5),4)&gt;0,INDEX('Surface DEET'!$Q$9:$W$38,COLUMN(AB357)-COLUMN($E$5),4),$E364),0)</f>
        <v>0</v>
      </c>
      <c r="AC364" s="281">
        <f>IF(AC$6=$C364,IF(INDEX('Surface DEET'!$Q$9:$W$38,COLUMN(AC357)-COLUMN($E$5),4)&gt;0,INDEX('Surface DEET'!$Q$9:$W$38,COLUMN(AC357)-COLUMN($E$5),4),$E364),0)</f>
        <v>0</v>
      </c>
      <c r="AD364" s="281">
        <f>IF(AD$6=$C364,IF(INDEX('Surface DEET'!$Q$9:$W$38,COLUMN(AD357)-COLUMN($E$5),4)&gt;0,INDEX('Surface DEET'!$Q$9:$W$38,COLUMN(AD357)-COLUMN($E$5),4),$E364),0)</f>
        <v>0</v>
      </c>
      <c r="AE364" s="281">
        <f>IF(AE$6=$C364,IF(INDEX('Surface DEET'!$Q$9:$W$38,COLUMN(AE357)-COLUMN($E$5),4)&gt;0,INDEX('Surface DEET'!$Q$9:$W$38,COLUMN(AE357)-COLUMN($E$5),4),$E364),0)</f>
        <v>0</v>
      </c>
      <c r="AF364" s="281">
        <f>IF(AF$6=$C364,IF(INDEX('Surface DEET'!$Q$9:$W$38,COLUMN(AF357)-COLUMN($E$5),4)&gt;0,INDEX('Surface DEET'!$Q$9:$W$38,COLUMN(AF357)-COLUMN($E$5),4),$E364),0)</f>
        <v>0</v>
      </c>
      <c r="AG364" s="281">
        <f>IF(AG$6=$C364,IF(INDEX('Surface DEET'!$Q$9:$W$38,COLUMN(AG357)-COLUMN($E$5),4)&gt;0,INDEX('Surface DEET'!$Q$9:$W$38,COLUMN(AG357)-COLUMN($E$5),4),$E364),0)</f>
        <v>0</v>
      </c>
      <c r="AH364" s="281">
        <f>IF(AH$6=$C364,IF(INDEX('Surface DEET'!$Q$9:$W$38,COLUMN(AH357)-COLUMN($E$5),4)&gt;0,INDEX('Surface DEET'!$Q$9:$W$38,COLUMN(AH357)-COLUMN($E$5),4),$E364),0)</f>
        <v>0</v>
      </c>
      <c r="AI364" s="281">
        <f>IF(AI$6=$C364,INDEX('Surface DEET'!$Q$9:$W$38,COLUMN(AI357)-COLUMN($E$5),4),0)</f>
        <v>0</v>
      </c>
    </row>
    <row r="365" spans="2:35">
      <c r="B365" s="281" t="s">
        <v>548</v>
      </c>
      <c r="C365" s="281" t="s">
        <v>684</v>
      </c>
    </row>
    <row r="366" spans="2:35">
      <c r="B366" s="281" t="s">
        <v>538</v>
      </c>
      <c r="C366" s="281" t="s">
        <v>684</v>
      </c>
      <c r="D366" s="281" t="s">
        <v>538</v>
      </c>
      <c r="F366" s="281">
        <f>$E$360*($E$362*(F364/$E$364)+(1-$E$362)*(F363/$E$363))+0.28*$E$359*(F363-$E$363)/$E$363</f>
        <v>-16.240000000000002</v>
      </c>
      <c r="G366" s="281">
        <f t="shared" ref="G366:AI366" si="44">$E$360*($E$362*(G364/$E$364)+(1-$E$362)*(G363/$E$363))+0.28*$E$359*(G363-$E$363)/$E$363</f>
        <v>-16.240000000000002</v>
      </c>
      <c r="H366" s="281">
        <f t="shared" si="44"/>
        <v>-16.240000000000002</v>
      </c>
      <c r="I366" s="281">
        <f t="shared" si="44"/>
        <v>-16.240000000000002</v>
      </c>
      <c r="J366" s="281">
        <f t="shared" si="44"/>
        <v>-16.240000000000002</v>
      </c>
      <c r="K366" s="281">
        <f t="shared" si="44"/>
        <v>-16.240000000000002</v>
      </c>
      <c r="L366" s="281">
        <f t="shared" si="44"/>
        <v>-16.240000000000002</v>
      </c>
      <c r="M366" s="281">
        <f t="shared" si="44"/>
        <v>-16.240000000000002</v>
      </c>
      <c r="N366" s="281">
        <f t="shared" si="44"/>
        <v>-16.240000000000002</v>
      </c>
      <c r="O366" s="281">
        <f t="shared" si="44"/>
        <v>-16.240000000000002</v>
      </c>
      <c r="P366" s="281">
        <f t="shared" si="44"/>
        <v>-16.240000000000002</v>
      </c>
      <c r="Q366" s="281">
        <f t="shared" si="44"/>
        <v>-16.240000000000002</v>
      </c>
      <c r="R366" s="281">
        <f t="shared" si="44"/>
        <v>-16.240000000000002</v>
      </c>
      <c r="S366" s="281">
        <f t="shared" si="44"/>
        <v>-16.240000000000002</v>
      </c>
      <c r="T366" s="281">
        <f t="shared" si="44"/>
        <v>-16.240000000000002</v>
      </c>
      <c r="U366" s="281">
        <f t="shared" si="44"/>
        <v>-16.240000000000002</v>
      </c>
      <c r="V366" s="281">
        <f t="shared" si="44"/>
        <v>-16.240000000000002</v>
      </c>
      <c r="W366" s="281">
        <f t="shared" si="44"/>
        <v>-16.240000000000002</v>
      </c>
      <c r="X366" s="281">
        <f t="shared" si="44"/>
        <v>-16.240000000000002</v>
      </c>
      <c r="Y366" s="281">
        <f t="shared" si="44"/>
        <v>-16.240000000000002</v>
      </c>
      <c r="Z366" s="281">
        <f t="shared" si="44"/>
        <v>-16.240000000000002</v>
      </c>
      <c r="AA366" s="281">
        <f t="shared" si="44"/>
        <v>-16.240000000000002</v>
      </c>
      <c r="AB366" s="281">
        <f t="shared" si="44"/>
        <v>-16.240000000000002</v>
      </c>
      <c r="AC366" s="281">
        <f t="shared" si="44"/>
        <v>-16.240000000000002</v>
      </c>
      <c r="AD366" s="281">
        <f t="shared" si="44"/>
        <v>-16.240000000000002</v>
      </c>
      <c r="AE366" s="281">
        <f t="shared" si="44"/>
        <v>-16.240000000000002</v>
      </c>
      <c r="AF366" s="281">
        <f t="shared" si="44"/>
        <v>-16.240000000000002</v>
      </c>
      <c r="AG366" s="281">
        <f t="shared" si="44"/>
        <v>-16.240000000000002</v>
      </c>
      <c r="AH366" s="281">
        <f t="shared" si="44"/>
        <v>-16.240000000000002</v>
      </c>
      <c r="AI366" s="281">
        <f t="shared" si="44"/>
        <v>-16.240000000000002</v>
      </c>
    </row>
    <row r="367" spans="2:35">
      <c r="B367" s="92" t="s">
        <v>298</v>
      </c>
      <c r="C367" s="281" t="s">
        <v>685</v>
      </c>
      <c r="D367" s="92" t="s">
        <v>298</v>
      </c>
      <c r="E367" s="281">
        <f t="array" ref="E367">INDEX(CABS_CVC!$C$3:$O$894,MATCH(1, (CABS_CVC!$A$3:$A$894=Calculs_CABS!C367)*(CABS_CVC!$B$3:$B$894=Calculs_CABS!$D$2),0),MATCH(Calculs_CABS!$D$1,Liste_CABS!$B$3:$B$15,0))</f>
        <v>50</v>
      </c>
    </row>
    <row r="368" spans="2:35">
      <c r="B368" s="281" t="s">
        <v>539</v>
      </c>
      <c r="C368" s="281" t="s">
        <v>685</v>
      </c>
      <c r="D368" s="281" t="s">
        <v>539</v>
      </c>
      <c r="E368" s="281">
        <v>477</v>
      </c>
    </row>
    <row r="369" spans="2:35">
      <c r="B369" s="281" t="s">
        <v>540</v>
      </c>
      <c r="C369" s="281" t="s">
        <v>685</v>
      </c>
      <c r="D369" s="281" t="s">
        <v>540</v>
      </c>
      <c r="E369" s="281">
        <f>E367+E368</f>
        <v>527</v>
      </c>
    </row>
    <row r="370" spans="2:35">
      <c r="B370" s="281" t="s">
        <v>541</v>
      </c>
      <c r="C370" s="281" t="s">
        <v>685</v>
      </c>
      <c r="D370" s="281" t="s">
        <v>541</v>
      </c>
      <c r="E370" s="281">
        <v>0.95</v>
      </c>
    </row>
    <row r="371" spans="2:35">
      <c r="B371" s="281" t="s">
        <v>542</v>
      </c>
      <c r="C371" s="281" t="s">
        <v>685</v>
      </c>
      <c r="D371" s="281" t="s">
        <v>686</v>
      </c>
      <c r="E371" s="281">
        <v>3120</v>
      </c>
      <c r="F371" s="281">
        <f>IF(F$6=$C371,IF(INDEX('Surface DEET'!$Q$9:$W$38,COLUMN(F364)-COLUMN($E$5),1)&gt;0,INDEX('Surface DEET'!$Q$9:$W$38,COLUMN(F364)-COLUMN($E$5),1),$E371),0)</f>
        <v>0</v>
      </c>
      <c r="G371" s="281">
        <f>IF(G$6=$C371,IF(INDEX('Surface DEET'!$Q$9:$W$38,COLUMN(G364)-COLUMN($E$5),1)&gt;0,INDEX('Surface DEET'!$Q$9:$W$38,COLUMN(G364)-COLUMN($E$5),1),$E371),0)</f>
        <v>0</v>
      </c>
      <c r="H371" s="281">
        <f>IF(H$6=$C371,IF(INDEX('Surface DEET'!$Q$9:$W$38,COLUMN(H364)-COLUMN($E$5),1)&gt;0,INDEX('Surface DEET'!$Q$9:$W$38,COLUMN(H364)-COLUMN($E$5),1),$E371),0)</f>
        <v>0</v>
      </c>
      <c r="I371" s="281">
        <f>IF(I$6=$C371,IF(INDEX('Surface DEET'!$Q$9:$W$38,COLUMN(I364)-COLUMN($E$5),1)&gt;0,INDEX('Surface DEET'!$Q$9:$W$38,COLUMN(I364)-COLUMN($E$5),1),$E371),0)</f>
        <v>0</v>
      </c>
      <c r="J371" s="281">
        <f>IF(J$6=$C371,IF(INDEX('Surface DEET'!$Q$9:$W$38,COLUMN(J364)-COLUMN($E$5),1)&gt;0,INDEX('Surface DEET'!$Q$9:$W$38,COLUMN(J364)-COLUMN($E$5),1),$E371),0)</f>
        <v>0</v>
      </c>
      <c r="K371" s="281">
        <f>IF(K$6=$C371,IF(INDEX('Surface DEET'!$Q$9:$W$38,COLUMN(K364)-COLUMN($E$5),1)&gt;0,INDEX('Surface DEET'!$Q$9:$W$38,COLUMN(K364)-COLUMN($E$5),1),$E371),0)</f>
        <v>0</v>
      </c>
      <c r="L371" s="281">
        <f>IF(L$6=$C371,IF(INDEX('Surface DEET'!$Q$9:$W$38,COLUMN(L364)-COLUMN($E$5),1)&gt;0,INDEX('Surface DEET'!$Q$9:$W$38,COLUMN(L364)-COLUMN($E$5),1),$E371),0)</f>
        <v>0</v>
      </c>
      <c r="M371" s="281">
        <f>IF(M$6=$C371,IF(INDEX('Surface DEET'!$Q$9:$W$38,COLUMN(M364)-COLUMN($E$5),1)&gt;0,INDEX('Surface DEET'!$Q$9:$W$38,COLUMN(M364)-COLUMN($E$5),1),$E371),0)</f>
        <v>0</v>
      </c>
      <c r="N371" s="281">
        <f>IF(N$6=$C371,IF(INDEX('Surface DEET'!$Q$9:$W$38,COLUMN(N364)-COLUMN($E$5),1)&gt;0,INDEX('Surface DEET'!$Q$9:$W$38,COLUMN(N364)-COLUMN($E$5),1),$E371),0)</f>
        <v>0</v>
      </c>
      <c r="O371" s="281">
        <f>IF(O$6=$C371,IF(INDEX('Surface DEET'!$Q$9:$W$38,COLUMN(O364)-COLUMN($E$5),1)&gt;0,INDEX('Surface DEET'!$Q$9:$W$38,COLUMN(O364)-COLUMN($E$5),1),$E371),0)</f>
        <v>0</v>
      </c>
      <c r="P371" s="281">
        <f>IF(P$6=$C371,IF(INDEX('Surface DEET'!$Q$9:$W$38,COLUMN(P364)-COLUMN($E$5),1)&gt;0,INDEX('Surface DEET'!$Q$9:$W$38,COLUMN(P364)-COLUMN($E$5),1),$E371),0)</f>
        <v>0</v>
      </c>
      <c r="Q371" s="281">
        <f>IF(Q$6=$C371,IF(INDEX('Surface DEET'!$Q$9:$W$38,COLUMN(Q364)-COLUMN($E$5),1)&gt;0,INDEX('Surface DEET'!$Q$9:$W$38,COLUMN(Q364)-COLUMN($E$5),1),$E371),0)</f>
        <v>0</v>
      </c>
      <c r="R371" s="281">
        <f>IF(R$6=$C371,IF(INDEX('Surface DEET'!$Q$9:$W$38,COLUMN(R364)-COLUMN($E$5),1)&gt;0,INDEX('Surface DEET'!$Q$9:$W$38,COLUMN(R364)-COLUMN($E$5),1),$E371),0)</f>
        <v>0</v>
      </c>
      <c r="S371" s="281">
        <f>IF(S$6=$C371,IF(INDEX('Surface DEET'!$Q$9:$W$38,COLUMN(S364)-COLUMN($E$5),1)&gt;0,INDEX('Surface DEET'!$Q$9:$W$38,COLUMN(S364)-COLUMN($E$5),1),$E371),0)</f>
        <v>0</v>
      </c>
      <c r="T371" s="281">
        <f>IF(T$6=$C371,IF(INDEX('Surface DEET'!$Q$9:$W$38,COLUMN(T364)-COLUMN($E$5),1)&gt;0,INDEX('Surface DEET'!$Q$9:$W$38,COLUMN(T364)-COLUMN($E$5),1),$E371),0)</f>
        <v>0</v>
      </c>
      <c r="U371" s="281">
        <f>IF(U$6=$C371,IF(INDEX('Surface DEET'!$Q$9:$W$38,COLUMN(U364)-COLUMN($E$5),1)&gt;0,INDEX('Surface DEET'!$Q$9:$W$38,COLUMN(U364)-COLUMN($E$5),1),$E371),0)</f>
        <v>0</v>
      </c>
      <c r="V371" s="281">
        <f>IF(V$6=$C371,IF(INDEX('Surface DEET'!$Q$9:$W$38,COLUMN(V364)-COLUMN($E$5),1)&gt;0,INDEX('Surface DEET'!$Q$9:$W$38,COLUMN(V364)-COLUMN($E$5),1),$E371),0)</f>
        <v>0</v>
      </c>
      <c r="W371" s="281">
        <f>IF(W$6=$C371,IF(INDEX('Surface DEET'!$Q$9:$W$38,COLUMN(W364)-COLUMN($E$5),1)&gt;0,INDEX('Surface DEET'!$Q$9:$W$38,COLUMN(W364)-COLUMN($E$5),1),$E371),0)</f>
        <v>0</v>
      </c>
      <c r="X371" s="281">
        <f>IF(X$6=$C371,IF(INDEX('Surface DEET'!$Q$9:$W$38,COLUMN(X364)-COLUMN($E$5),1)&gt;0,INDEX('Surface DEET'!$Q$9:$W$38,COLUMN(X364)-COLUMN($E$5),1),$E371),0)</f>
        <v>0</v>
      </c>
      <c r="Y371" s="281">
        <f>IF(Y$6=$C371,IF(INDEX('Surface DEET'!$Q$9:$W$38,COLUMN(Y364)-COLUMN($E$5),1)&gt;0,INDEX('Surface DEET'!$Q$9:$W$38,COLUMN(Y364)-COLUMN($E$5),1),$E371),0)</f>
        <v>0</v>
      </c>
      <c r="Z371" s="281">
        <f>IF(Z$6=$C371,IF(INDEX('Surface DEET'!$Q$9:$W$38,COLUMN(Z364)-COLUMN($E$5),1)&gt;0,INDEX('Surface DEET'!$Q$9:$W$38,COLUMN(Z364)-COLUMN($E$5),1),$E371),0)</f>
        <v>0</v>
      </c>
      <c r="AA371" s="281">
        <f>IF(AA$6=$C371,IF(INDEX('Surface DEET'!$Q$9:$W$38,COLUMN(AA364)-COLUMN($E$5),1)&gt;0,INDEX('Surface DEET'!$Q$9:$W$38,COLUMN(AA364)-COLUMN($E$5),1),$E371),0)</f>
        <v>0</v>
      </c>
      <c r="AB371" s="281">
        <f>IF(AB$6=$C371,IF(INDEX('Surface DEET'!$Q$9:$W$38,COLUMN(AB364)-COLUMN($E$5),1)&gt;0,INDEX('Surface DEET'!$Q$9:$W$38,COLUMN(AB364)-COLUMN($E$5),1),$E371),0)</f>
        <v>0</v>
      </c>
      <c r="AC371" s="281">
        <f>IF(AC$6=$C371,IF(INDEX('Surface DEET'!$Q$9:$W$38,COLUMN(AC364)-COLUMN($E$5),1)&gt;0,INDEX('Surface DEET'!$Q$9:$W$38,COLUMN(AC364)-COLUMN($E$5),1),$E371),0)</f>
        <v>0</v>
      </c>
      <c r="AD371" s="281">
        <f>IF(AD$6=$C371,IF(INDEX('Surface DEET'!$Q$9:$W$38,COLUMN(AD364)-COLUMN($E$5),1)&gt;0,INDEX('Surface DEET'!$Q$9:$W$38,COLUMN(AD364)-COLUMN($E$5),1),$E371),0)</f>
        <v>0</v>
      </c>
      <c r="AE371" s="281">
        <f>IF(AE$6=$C371,IF(INDEX('Surface DEET'!$Q$9:$W$38,COLUMN(AE364)-COLUMN($E$5),1)&gt;0,INDEX('Surface DEET'!$Q$9:$W$38,COLUMN(AE364)-COLUMN($E$5),1),$E371),0)</f>
        <v>0</v>
      </c>
      <c r="AF371" s="281">
        <f>IF(AF$6=$C371,IF(INDEX('Surface DEET'!$Q$9:$W$38,COLUMN(AF364)-COLUMN($E$5),1)&gt;0,INDEX('Surface DEET'!$Q$9:$W$38,COLUMN(AF364)-COLUMN($E$5),1),$E371),0)</f>
        <v>0</v>
      </c>
      <c r="AG371" s="281">
        <f>IF(AG$6=$C371,IF(INDEX('Surface DEET'!$Q$9:$W$38,COLUMN(AG364)-COLUMN($E$5),1)&gt;0,INDEX('Surface DEET'!$Q$9:$W$38,COLUMN(AG364)-COLUMN($E$5),1),$E371),0)</f>
        <v>0</v>
      </c>
      <c r="AH371" s="281">
        <f>IF(AH$6=$C371,IF(INDEX('Surface DEET'!$Q$9:$W$38,COLUMN(AH364)-COLUMN($E$5),1)&gt;0,INDEX('Surface DEET'!$Q$9:$W$38,COLUMN(AH364)-COLUMN($E$5),1),$E371),0)</f>
        <v>0</v>
      </c>
      <c r="AI371" s="281">
        <f>IF(AI$6=$C371,INDEX('Surface DEET'!$Q$9:$W$38,COLUMN(AI364)-COLUMN($E$5),1),0)</f>
        <v>0</v>
      </c>
    </row>
    <row r="372" spans="2:35">
      <c r="B372" s="281" t="s">
        <v>545</v>
      </c>
      <c r="C372" s="281" t="s">
        <v>685</v>
      </c>
      <c r="D372" s="281" t="s">
        <v>687</v>
      </c>
      <c r="E372" s="281">
        <v>391</v>
      </c>
      <c r="F372" s="281">
        <f>IF(F$6=$C372,IF(INDEX('Surface DEET'!$Q$9:$W$38,COLUMN(F365)-COLUMN($E$5),4)&gt;0,INDEX('Surface DEET'!$Q$9:$W$38,COLUMN(F365)-COLUMN($E$5),4),$E372),0)</f>
        <v>0</v>
      </c>
      <c r="G372" s="281">
        <f>IF(G$6=$C372,IF(INDEX('Surface DEET'!$Q$9:$W$38,COLUMN(G365)-COLUMN($E$5),4)&gt;0,INDEX('Surface DEET'!$Q$9:$W$38,COLUMN(G365)-COLUMN($E$5),4),$E372),0)</f>
        <v>0</v>
      </c>
      <c r="H372" s="281">
        <f>IF(H$6=$C372,IF(INDEX('Surface DEET'!$Q$9:$W$38,COLUMN(H365)-COLUMN($E$5),4)&gt;0,INDEX('Surface DEET'!$Q$9:$W$38,COLUMN(H365)-COLUMN($E$5),4),$E372),0)</f>
        <v>0</v>
      </c>
      <c r="I372" s="281">
        <f>IF(I$6=$C372,IF(INDEX('Surface DEET'!$Q$9:$W$38,COLUMN(I365)-COLUMN($E$5),4)&gt;0,INDEX('Surface DEET'!$Q$9:$W$38,COLUMN(I365)-COLUMN($E$5),4),$E372),0)</f>
        <v>0</v>
      </c>
      <c r="J372" s="281">
        <f>IF(J$6=$C372,IF(INDEX('Surface DEET'!$Q$9:$W$38,COLUMN(J365)-COLUMN($E$5),4)&gt;0,INDEX('Surface DEET'!$Q$9:$W$38,COLUMN(J365)-COLUMN($E$5),4),$E372),0)</f>
        <v>0</v>
      </c>
      <c r="K372" s="281">
        <f>IF(K$6=$C372,IF(INDEX('Surface DEET'!$Q$9:$W$38,COLUMN(K365)-COLUMN($E$5),4)&gt;0,INDEX('Surface DEET'!$Q$9:$W$38,COLUMN(K365)-COLUMN($E$5),4),$E372),0)</f>
        <v>0</v>
      </c>
      <c r="L372" s="281">
        <f>IF(L$6=$C372,IF(INDEX('Surface DEET'!$Q$9:$W$38,COLUMN(L365)-COLUMN($E$5),4)&gt;0,INDEX('Surface DEET'!$Q$9:$W$38,COLUMN(L365)-COLUMN($E$5),4),$E372),0)</f>
        <v>0</v>
      </c>
      <c r="M372" s="281">
        <f>IF(M$6=$C372,IF(INDEX('Surface DEET'!$Q$9:$W$38,COLUMN(M365)-COLUMN($E$5),4)&gt;0,INDEX('Surface DEET'!$Q$9:$W$38,COLUMN(M365)-COLUMN($E$5),4),$E372),0)</f>
        <v>0</v>
      </c>
      <c r="N372" s="281">
        <f>IF(N$6=$C372,IF(INDEX('Surface DEET'!$Q$9:$W$38,COLUMN(N365)-COLUMN($E$5),4)&gt;0,INDEX('Surface DEET'!$Q$9:$W$38,COLUMN(N365)-COLUMN($E$5),4),$E372),0)</f>
        <v>0</v>
      </c>
      <c r="O372" s="281">
        <f>IF(O$6=$C372,IF(INDEX('Surface DEET'!$Q$9:$W$38,COLUMN(O365)-COLUMN($E$5),4)&gt;0,INDEX('Surface DEET'!$Q$9:$W$38,COLUMN(O365)-COLUMN($E$5),4),$E372),0)</f>
        <v>0</v>
      </c>
      <c r="P372" s="281">
        <f>IF(P$6=$C372,IF(INDEX('Surface DEET'!$Q$9:$W$38,COLUMN(P365)-COLUMN($E$5),4)&gt;0,INDEX('Surface DEET'!$Q$9:$W$38,COLUMN(P365)-COLUMN($E$5),4),$E372),0)</f>
        <v>0</v>
      </c>
      <c r="Q372" s="281">
        <f>IF(Q$6=$C372,IF(INDEX('Surface DEET'!$Q$9:$W$38,COLUMN(Q365)-COLUMN($E$5),4)&gt;0,INDEX('Surface DEET'!$Q$9:$W$38,COLUMN(Q365)-COLUMN($E$5),4),$E372),0)</f>
        <v>0</v>
      </c>
      <c r="R372" s="281">
        <f>IF(R$6=$C372,IF(INDEX('Surface DEET'!$Q$9:$W$38,COLUMN(R365)-COLUMN($E$5),4)&gt;0,INDEX('Surface DEET'!$Q$9:$W$38,COLUMN(R365)-COLUMN($E$5),4),$E372),0)</f>
        <v>0</v>
      </c>
      <c r="S372" s="281">
        <f>IF(S$6=$C372,IF(INDEX('Surface DEET'!$Q$9:$W$38,COLUMN(S365)-COLUMN($E$5),4)&gt;0,INDEX('Surface DEET'!$Q$9:$W$38,COLUMN(S365)-COLUMN($E$5),4),$E372),0)</f>
        <v>0</v>
      </c>
      <c r="T372" s="281">
        <f>IF(T$6=$C372,IF(INDEX('Surface DEET'!$Q$9:$W$38,COLUMN(T365)-COLUMN($E$5),4)&gt;0,INDEX('Surface DEET'!$Q$9:$W$38,COLUMN(T365)-COLUMN($E$5),4),$E372),0)</f>
        <v>0</v>
      </c>
      <c r="U372" s="281">
        <f>IF(U$6=$C372,IF(INDEX('Surface DEET'!$Q$9:$W$38,COLUMN(U365)-COLUMN($E$5),4)&gt;0,INDEX('Surface DEET'!$Q$9:$W$38,COLUMN(U365)-COLUMN($E$5),4),$E372),0)</f>
        <v>0</v>
      </c>
      <c r="V372" s="281">
        <f>IF(V$6=$C372,IF(INDEX('Surface DEET'!$Q$9:$W$38,COLUMN(V365)-COLUMN($E$5),4)&gt;0,INDEX('Surface DEET'!$Q$9:$W$38,COLUMN(V365)-COLUMN($E$5),4),$E372),0)</f>
        <v>0</v>
      </c>
      <c r="W372" s="281">
        <f>IF(W$6=$C372,IF(INDEX('Surface DEET'!$Q$9:$W$38,COLUMN(W365)-COLUMN($E$5),4)&gt;0,INDEX('Surface DEET'!$Q$9:$W$38,COLUMN(W365)-COLUMN($E$5),4),$E372),0)</f>
        <v>0</v>
      </c>
      <c r="X372" s="281">
        <f>IF(X$6=$C372,IF(INDEX('Surface DEET'!$Q$9:$W$38,COLUMN(X365)-COLUMN($E$5),4)&gt;0,INDEX('Surface DEET'!$Q$9:$W$38,COLUMN(X365)-COLUMN($E$5),4),$E372),0)</f>
        <v>0</v>
      </c>
      <c r="Y372" s="281">
        <f>IF(Y$6=$C372,IF(INDEX('Surface DEET'!$Q$9:$W$38,COLUMN(Y365)-COLUMN($E$5),4)&gt;0,INDEX('Surface DEET'!$Q$9:$W$38,COLUMN(Y365)-COLUMN($E$5),4),$E372),0)</f>
        <v>0</v>
      </c>
      <c r="Z372" s="281">
        <f>IF(Z$6=$C372,IF(INDEX('Surface DEET'!$Q$9:$W$38,COLUMN(Z365)-COLUMN($E$5),4)&gt;0,INDEX('Surface DEET'!$Q$9:$W$38,COLUMN(Z365)-COLUMN($E$5),4),$E372),0)</f>
        <v>0</v>
      </c>
      <c r="AA372" s="281">
        <f>IF(AA$6=$C372,IF(INDEX('Surface DEET'!$Q$9:$W$38,COLUMN(AA365)-COLUMN($E$5),4)&gt;0,INDEX('Surface DEET'!$Q$9:$W$38,COLUMN(AA365)-COLUMN($E$5),4),$E372),0)</f>
        <v>0</v>
      </c>
      <c r="AB372" s="281">
        <f>IF(AB$6=$C372,IF(INDEX('Surface DEET'!$Q$9:$W$38,COLUMN(AB365)-COLUMN($E$5),4)&gt;0,INDEX('Surface DEET'!$Q$9:$W$38,COLUMN(AB365)-COLUMN($E$5),4),$E372),0)</f>
        <v>0</v>
      </c>
      <c r="AC372" s="281">
        <f>IF(AC$6=$C372,IF(INDEX('Surface DEET'!$Q$9:$W$38,COLUMN(AC365)-COLUMN($E$5),4)&gt;0,INDEX('Surface DEET'!$Q$9:$W$38,COLUMN(AC365)-COLUMN($E$5),4),$E372),0)</f>
        <v>0</v>
      </c>
      <c r="AD372" s="281">
        <f>IF(AD$6=$C372,IF(INDEX('Surface DEET'!$Q$9:$W$38,COLUMN(AD365)-COLUMN($E$5),4)&gt;0,INDEX('Surface DEET'!$Q$9:$W$38,COLUMN(AD365)-COLUMN($E$5),4),$E372),0)</f>
        <v>0</v>
      </c>
      <c r="AE372" s="281">
        <f>IF(AE$6=$C372,IF(INDEX('Surface DEET'!$Q$9:$W$38,COLUMN(AE365)-COLUMN($E$5),4)&gt;0,INDEX('Surface DEET'!$Q$9:$W$38,COLUMN(AE365)-COLUMN($E$5),4),$E372),0)</f>
        <v>0</v>
      </c>
      <c r="AF372" s="281">
        <f>IF(AF$6=$C372,IF(INDEX('Surface DEET'!$Q$9:$W$38,COLUMN(AF365)-COLUMN($E$5),4)&gt;0,INDEX('Surface DEET'!$Q$9:$W$38,COLUMN(AF365)-COLUMN($E$5),4),$E372),0)</f>
        <v>0</v>
      </c>
      <c r="AG372" s="281">
        <f>IF(AG$6=$C372,IF(INDEX('Surface DEET'!$Q$9:$W$38,COLUMN(AG365)-COLUMN($E$5),4)&gt;0,INDEX('Surface DEET'!$Q$9:$W$38,COLUMN(AG365)-COLUMN($E$5),4),$E372),0)</f>
        <v>0</v>
      </c>
      <c r="AH372" s="281">
        <f>IF(AH$6=$C372,IF(INDEX('Surface DEET'!$Q$9:$W$38,COLUMN(AH365)-COLUMN($E$5),4)&gt;0,INDEX('Surface DEET'!$Q$9:$W$38,COLUMN(AH365)-COLUMN($E$5),4),$E372),0)</f>
        <v>0</v>
      </c>
      <c r="AI372" s="281">
        <f>IF(AI$6=$C372,INDEX('Surface DEET'!$Q$9:$W$38,COLUMN(AI365)-COLUMN($E$5),4),0)</f>
        <v>0</v>
      </c>
    </row>
    <row r="373" spans="2:35">
      <c r="B373" s="281" t="s">
        <v>548</v>
      </c>
      <c r="C373" s="281" t="s">
        <v>685</v>
      </c>
    </row>
    <row r="374" spans="2:35">
      <c r="B374" s="281" t="s">
        <v>538</v>
      </c>
      <c r="C374" s="281" t="s">
        <v>685</v>
      </c>
      <c r="D374" s="281" t="s">
        <v>538</v>
      </c>
      <c r="F374" s="281">
        <f>$E$368*($E$370*(F372/$E$372)+(1-$E$370)*(F371/$E$371))+0.28*$E$367*(F371-$E$371)/$E$371</f>
        <v>-14.000000000000002</v>
      </c>
      <c r="G374" s="281">
        <f t="shared" ref="G374:AI374" si="45">$E$368*($E$370*(G372/$E$372)+(1-$E$370)*(G371/$E$371))+0.28*$E$367*(G371-$E$371)/$E$371</f>
        <v>-14.000000000000002</v>
      </c>
      <c r="H374" s="281">
        <f t="shared" si="45"/>
        <v>-14.000000000000002</v>
      </c>
      <c r="I374" s="281">
        <f t="shared" si="45"/>
        <v>-14.000000000000002</v>
      </c>
      <c r="J374" s="281">
        <f t="shared" si="45"/>
        <v>-14.000000000000002</v>
      </c>
      <c r="K374" s="281">
        <f t="shared" si="45"/>
        <v>-14.000000000000002</v>
      </c>
      <c r="L374" s="281">
        <f t="shared" si="45"/>
        <v>-14.000000000000002</v>
      </c>
      <c r="M374" s="281">
        <f t="shared" si="45"/>
        <v>-14.000000000000002</v>
      </c>
      <c r="N374" s="281">
        <f t="shared" si="45"/>
        <v>-14.000000000000002</v>
      </c>
      <c r="O374" s="281">
        <f t="shared" si="45"/>
        <v>-14.000000000000002</v>
      </c>
      <c r="P374" s="281">
        <f t="shared" si="45"/>
        <v>-14.000000000000002</v>
      </c>
      <c r="Q374" s="281">
        <f t="shared" si="45"/>
        <v>-14.000000000000002</v>
      </c>
      <c r="R374" s="281">
        <f t="shared" si="45"/>
        <v>-14.000000000000002</v>
      </c>
      <c r="S374" s="281">
        <f t="shared" si="45"/>
        <v>-14.000000000000002</v>
      </c>
      <c r="T374" s="281">
        <f t="shared" si="45"/>
        <v>-14.000000000000002</v>
      </c>
      <c r="U374" s="281">
        <f t="shared" si="45"/>
        <v>-14.000000000000002</v>
      </c>
      <c r="V374" s="281">
        <f t="shared" si="45"/>
        <v>-14.000000000000002</v>
      </c>
      <c r="W374" s="281">
        <f t="shared" si="45"/>
        <v>-14.000000000000002</v>
      </c>
      <c r="X374" s="281">
        <f t="shared" si="45"/>
        <v>-14.000000000000002</v>
      </c>
      <c r="Y374" s="281">
        <f t="shared" si="45"/>
        <v>-14.000000000000002</v>
      </c>
      <c r="Z374" s="281">
        <f t="shared" si="45"/>
        <v>-14.000000000000002</v>
      </c>
      <c r="AA374" s="281">
        <f t="shared" si="45"/>
        <v>-14.000000000000002</v>
      </c>
      <c r="AB374" s="281">
        <f t="shared" si="45"/>
        <v>-14.000000000000002</v>
      </c>
      <c r="AC374" s="281">
        <f t="shared" si="45"/>
        <v>-14.000000000000002</v>
      </c>
      <c r="AD374" s="281">
        <f t="shared" si="45"/>
        <v>-14.000000000000002</v>
      </c>
      <c r="AE374" s="281">
        <f t="shared" si="45"/>
        <v>-14.000000000000002</v>
      </c>
      <c r="AF374" s="281">
        <f t="shared" si="45"/>
        <v>-14.000000000000002</v>
      </c>
      <c r="AG374" s="281">
        <f t="shared" si="45"/>
        <v>-14.000000000000002</v>
      </c>
      <c r="AH374" s="281">
        <f t="shared" si="45"/>
        <v>-14.000000000000002</v>
      </c>
      <c r="AI374" s="281">
        <f t="shared" si="45"/>
        <v>-14.000000000000002</v>
      </c>
    </row>
    <row r="375" spans="2:35">
      <c r="B375" s="92" t="s">
        <v>298</v>
      </c>
      <c r="C375" s="281" t="s">
        <v>688</v>
      </c>
      <c r="D375" s="92" t="s">
        <v>298</v>
      </c>
      <c r="E375" s="281">
        <f t="array" ref="E375">INDEX(CABS_CVC!$C$3:$O$894,MATCH(1, (CABS_CVC!$A$3:$A$894=Calculs_CABS!C375)*(CABS_CVC!$B$3:$B$894=Calculs_CABS!$D$2),0),MATCH(Calculs_CABS!$D$1,Liste_CABS!$B$3:$B$15,0))</f>
        <v>50</v>
      </c>
    </row>
    <row r="376" spans="2:35">
      <c r="B376" s="281" t="s">
        <v>539</v>
      </c>
      <c r="C376" s="281" t="s">
        <v>688</v>
      </c>
      <c r="D376" s="281" t="s">
        <v>539</v>
      </c>
      <c r="E376" s="281">
        <v>166</v>
      </c>
    </row>
    <row r="377" spans="2:35">
      <c r="B377" s="281" t="s">
        <v>540</v>
      </c>
      <c r="C377" s="281" t="s">
        <v>688</v>
      </c>
      <c r="D377" s="281" t="s">
        <v>540</v>
      </c>
      <c r="E377" s="281">
        <f>E375+E376</f>
        <v>216</v>
      </c>
    </row>
    <row r="378" spans="2:35">
      <c r="B378" s="281" t="s">
        <v>541</v>
      </c>
      <c r="C378" s="281" t="s">
        <v>688</v>
      </c>
      <c r="D378" s="281" t="s">
        <v>541</v>
      </c>
      <c r="E378" s="281">
        <v>0.85</v>
      </c>
    </row>
    <row r="379" spans="2:35">
      <c r="B379" s="281" t="s">
        <v>542</v>
      </c>
      <c r="C379" s="281" t="s">
        <v>688</v>
      </c>
      <c r="D379" s="281" t="s">
        <v>686</v>
      </c>
      <c r="E379" s="281">
        <v>3120</v>
      </c>
      <c r="F379" s="281">
        <f>IF(F$6=$C379,IF(INDEX('Surface DEET'!$Q$9:$W$38,COLUMN(F372)-COLUMN($E$5),1)&gt;0,INDEX('Surface DEET'!$Q$9:$W$38,COLUMN(F372)-COLUMN($E$5),1),$E379),0)</f>
        <v>0</v>
      </c>
      <c r="G379" s="281">
        <f>IF(G$6=$C379,IF(INDEX('Surface DEET'!$Q$9:$W$38,COLUMN(G372)-COLUMN($E$5),1)&gt;0,INDEX('Surface DEET'!$Q$9:$W$38,COLUMN(G372)-COLUMN($E$5),1),$E379),0)</f>
        <v>0</v>
      </c>
      <c r="H379" s="281">
        <f>IF(H$6=$C379,IF(INDEX('Surface DEET'!$Q$9:$W$38,COLUMN(H372)-COLUMN($E$5),1)&gt;0,INDEX('Surface DEET'!$Q$9:$W$38,COLUMN(H372)-COLUMN($E$5),1),$E379),0)</f>
        <v>0</v>
      </c>
      <c r="I379" s="281">
        <f>IF(I$6=$C379,IF(INDEX('Surface DEET'!$Q$9:$W$38,COLUMN(I372)-COLUMN($E$5),1)&gt;0,INDEX('Surface DEET'!$Q$9:$W$38,COLUMN(I372)-COLUMN($E$5),1),$E379),0)</f>
        <v>0</v>
      </c>
      <c r="J379" s="281">
        <f>IF(J$6=$C379,IF(INDEX('Surface DEET'!$Q$9:$W$38,COLUMN(J372)-COLUMN($E$5),1)&gt;0,INDEX('Surface DEET'!$Q$9:$W$38,COLUMN(J372)-COLUMN($E$5),1),$E379),0)</f>
        <v>0</v>
      </c>
      <c r="K379" s="281">
        <f>IF(K$6=$C379,IF(INDEX('Surface DEET'!$Q$9:$W$38,COLUMN(K372)-COLUMN($E$5),1)&gt;0,INDEX('Surface DEET'!$Q$9:$W$38,COLUMN(K372)-COLUMN($E$5),1),$E379),0)</f>
        <v>0</v>
      </c>
      <c r="L379" s="281">
        <f>IF(L$6=$C379,IF(INDEX('Surface DEET'!$Q$9:$W$38,COLUMN(L372)-COLUMN($E$5),1)&gt;0,INDEX('Surface DEET'!$Q$9:$W$38,COLUMN(L372)-COLUMN($E$5),1),$E379),0)</f>
        <v>0</v>
      </c>
      <c r="M379" s="281">
        <f>IF(M$6=$C379,IF(INDEX('Surface DEET'!$Q$9:$W$38,COLUMN(M372)-COLUMN($E$5),1)&gt;0,INDEX('Surface DEET'!$Q$9:$W$38,COLUMN(M372)-COLUMN($E$5),1),$E379),0)</f>
        <v>0</v>
      </c>
      <c r="N379" s="281">
        <f>IF(N$6=$C379,IF(INDEX('Surface DEET'!$Q$9:$W$38,COLUMN(N372)-COLUMN($E$5),1)&gt;0,INDEX('Surface DEET'!$Q$9:$W$38,COLUMN(N372)-COLUMN($E$5),1),$E379),0)</f>
        <v>0</v>
      </c>
      <c r="O379" s="281">
        <f>IF(O$6=$C379,IF(INDEX('Surface DEET'!$Q$9:$W$38,COLUMN(O372)-COLUMN($E$5),1)&gt;0,INDEX('Surface DEET'!$Q$9:$W$38,COLUMN(O372)-COLUMN($E$5),1),$E379),0)</f>
        <v>0</v>
      </c>
      <c r="P379" s="281">
        <f>IF(P$6=$C379,IF(INDEX('Surface DEET'!$Q$9:$W$38,COLUMN(P372)-COLUMN($E$5),1)&gt;0,INDEX('Surface DEET'!$Q$9:$W$38,COLUMN(P372)-COLUMN($E$5),1),$E379),0)</f>
        <v>0</v>
      </c>
      <c r="Q379" s="281">
        <f>IF(Q$6=$C379,IF(INDEX('Surface DEET'!$Q$9:$W$38,COLUMN(Q372)-COLUMN($E$5),1)&gt;0,INDEX('Surface DEET'!$Q$9:$W$38,COLUMN(Q372)-COLUMN($E$5),1),$E379),0)</f>
        <v>0</v>
      </c>
      <c r="R379" s="281">
        <f>IF(R$6=$C379,IF(INDEX('Surface DEET'!$Q$9:$W$38,COLUMN(R372)-COLUMN($E$5),1)&gt;0,INDEX('Surface DEET'!$Q$9:$W$38,COLUMN(R372)-COLUMN($E$5),1),$E379),0)</f>
        <v>0</v>
      </c>
      <c r="S379" s="281">
        <f>IF(S$6=$C379,IF(INDEX('Surface DEET'!$Q$9:$W$38,COLUMN(S372)-COLUMN($E$5),1)&gt;0,INDEX('Surface DEET'!$Q$9:$W$38,COLUMN(S372)-COLUMN($E$5),1),$E379),0)</f>
        <v>0</v>
      </c>
      <c r="T379" s="281">
        <f>IF(T$6=$C379,IF(INDEX('Surface DEET'!$Q$9:$W$38,COLUMN(T372)-COLUMN($E$5),1)&gt;0,INDEX('Surface DEET'!$Q$9:$W$38,COLUMN(T372)-COLUMN($E$5),1),$E379),0)</f>
        <v>0</v>
      </c>
      <c r="U379" s="281">
        <f>IF(U$6=$C379,IF(INDEX('Surface DEET'!$Q$9:$W$38,COLUMN(U372)-COLUMN($E$5),1)&gt;0,INDEX('Surface DEET'!$Q$9:$W$38,COLUMN(U372)-COLUMN($E$5),1),$E379),0)</f>
        <v>0</v>
      </c>
      <c r="V379" s="281">
        <f>IF(V$6=$C379,IF(INDEX('Surface DEET'!$Q$9:$W$38,COLUMN(V372)-COLUMN($E$5),1)&gt;0,INDEX('Surface DEET'!$Q$9:$W$38,COLUMN(V372)-COLUMN($E$5),1),$E379),0)</f>
        <v>0</v>
      </c>
      <c r="W379" s="281">
        <f>IF(W$6=$C379,IF(INDEX('Surface DEET'!$Q$9:$W$38,COLUMN(W372)-COLUMN($E$5),1)&gt;0,INDEX('Surface DEET'!$Q$9:$W$38,COLUMN(W372)-COLUMN($E$5),1),$E379),0)</f>
        <v>0</v>
      </c>
      <c r="X379" s="281">
        <f>IF(X$6=$C379,IF(INDEX('Surface DEET'!$Q$9:$W$38,COLUMN(X372)-COLUMN($E$5),1)&gt;0,INDEX('Surface DEET'!$Q$9:$W$38,COLUMN(X372)-COLUMN($E$5),1),$E379),0)</f>
        <v>0</v>
      </c>
      <c r="Y379" s="281">
        <f>IF(Y$6=$C379,IF(INDEX('Surface DEET'!$Q$9:$W$38,COLUMN(Y372)-COLUMN($E$5),1)&gt;0,INDEX('Surface DEET'!$Q$9:$W$38,COLUMN(Y372)-COLUMN($E$5),1),$E379),0)</f>
        <v>0</v>
      </c>
      <c r="Z379" s="281">
        <f>IF(Z$6=$C379,IF(INDEX('Surface DEET'!$Q$9:$W$38,COLUMN(Z372)-COLUMN($E$5),1)&gt;0,INDEX('Surface DEET'!$Q$9:$W$38,COLUMN(Z372)-COLUMN($E$5),1),$E379),0)</f>
        <v>0</v>
      </c>
      <c r="AA379" s="281">
        <f>IF(AA$6=$C379,IF(INDEX('Surface DEET'!$Q$9:$W$38,COLUMN(AA372)-COLUMN($E$5),1)&gt;0,INDEX('Surface DEET'!$Q$9:$W$38,COLUMN(AA372)-COLUMN($E$5),1),$E379),0)</f>
        <v>0</v>
      </c>
      <c r="AB379" s="281">
        <f>IF(AB$6=$C379,IF(INDEX('Surface DEET'!$Q$9:$W$38,COLUMN(AB372)-COLUMN($E$5),1)&gt;0,INDEX('Surface DEET'!$Q$9:$W$38,COLUMN(AB372)-COLUMN($E$5),1),$E379),0)</f>
        <v>0</v>
      </c>
      <c r="AC379" s="281">
        <f>IF(AC$6=$C379,IF(INDEX('Surface DEET'!$Q$9:$W$38,COLUMN(AC372)-COLUMN($E$5),1)&gt;0,INDEX('Surface DEET'!$Q$9:$W$38,COLUMN(AC372)-COLUMN($E$5),1),$E379),0)</f>
        <v>0</v>
      </c>
      <c r="AD379" s="281">
        <f>IF(AD$6=$C379,IF(INDEX('Surface DEET'!$Q$9:$W$38,COLUMN(AD372)-COLUMN($E$5),1)&gt;0,INDEX('Surface DEET'!$Q$9:$W$38,COLUMN(AD372)-COLUMN($E$5),1),$E379),0)</f>
        <v>0</v>
      </c>
      <c r="AE379" s="281">
        <f>IF(AE$6=$C379,IF(INDEX('Surface DEET'!$Q$9:$W$38,COLUMN(AE372)-COLUMN($E$5),1)&gt;0,INDEX('Surface DEET'!$Q$9:$W$38,COLUMN(AE372)-COLUMN($E$5),1),$E379),0)</f>
        <v>0</v>
      </c>
      <c r="AF379" s="281">
        <f>IF(AF$6=$C379,IF(INDEX('Surface DEET'!$Q$9:$W$38,COLUMN(AF372)-COLUMN($E$5),1)&gt;0,INDEX('Surface DEET'!$Q$9:$W$38,COLUMN(AF372)-COLUMN($E$5),1),$E379),0)</f>
        <v>0</v>
      </c>
      <c r="AG379" s="281">
        <f>IF(AG$6=$C379,IF(INDEX('Surface DEET'!$Q$9:$W$38,COLUMN(AG372)-COLUMN($E$5),1)&gt;0,INDEX('Surface DEET'!$Q$9:$W$38,COLUMN(AG372)-COLUMN($E$5),1),$E379),0)</f>
        <v>0</v>
      </c>
      <c r="AH379" s="281">
        <f>IF(AH$6=$C379,IF(INDEX('Surface DEET'!$Q$9:$W$38,COLUMN(AH372)-COLUMN($E$5),1)&gt;0,INDEX('Surface DEET'!$Q$9:$W$38,COLUMN(AH372)-COLUMN($E$5),1),$E379),0)</f>
        <v>0</v>
      </c>
      <c r="AI379" s="281">
        <f>IF(AI$6=$C379,INDEX('Surface DEET'!$Q$9:$W$38,COLUMN(AI372)-COLUMN($E$5),1),0)</f>
        <v>0</v>
      </c>
    </row>
    <row r="380" spans="2:35">
      <c r="B380" s="281" t="s">
        <v>545</v>
      </c>
      <c r="C380" s="281" t="s">
        <v>688</v>
      </c>
      <c r="D380" s="281" t="s">
        <v>687</v>
      </c>
      <c r="E380" s="281">
        <v>95</v>
      </c>
      <c r="F380" s="281">
        <f>IF(F$6=$C380,IF(INDEX('Surface DEET'!$Q$9:$W$38,COLUMN(F373)-COLUMN($E$5),4)&gt;0,INDEX('Surface DEET'!$Q$9:$W$38,COLUMN(F373)-COLUMN($E$5),4),$E380),0)</f>
        <v>0</v>
      </c>
      <c r="G380" s="281">
        <f>IF(G$6=$C380,IF(INDEX('Surface DEET'!$Q$9:$W$38,COLUMN(G373)-COLUMN($E$5),4)&gt;0,INDEX('Surface DEET'!$Q$9:$W$38,COLUMN(G373)-COLUMN($E$5),4),$E380),0)</f>
        <v>0</v>
      </c>
      <c r="H380" s="281">
        <f>IF(H$6=$C380,IF(INDEX('Surface DEET'!$Q$9:$W$38,COLUMN(H373)-COLUMN($E$5),4)&gt;0,INDEX('Surface DEET'!$Q$9:$W$38,COLUMN(H373)-COLUMN($E$5),4),$E380),0)</f>
        <v>0</v>
      </c>
      <c r="I380" s="281">
        <f>IF(I$6=$C380,IF(INDEX('Surface DEET'!$Q$9:$W$38,COLUMN(I373)-COLUMN($E$5),4)&gt;0,INDEX('Surface DEET'!$Q$9:$W$38,COLUMN(I373)-COLUMN($E$5),4),$E380),0)</f>
        <v>0</v>
      </c>
      <c r="J380" s="281">
        <f>IF(J$6=$C380,IF(INDEX('Surface DEET'!$Q$9:$W$38,COLUMN(J373)-COLUMN($E$5),4)&gt;0,INDEX('Surface DEET'!$Q$9:$W$38,COLUMN(J373)-COLUMN($E$5),4),$E380),0)</f>
        <v>0</v>
      </c>
      <c r="K380" s="281">
        <f>IF(K$6=$C380,IF(INDEX('Surface DEET'!$Q$9:$W$38,COLUMN(K373)-COLUMN($E$5),4)&gt;0,INDEX('Surface DEET'!$Q$9:$W$38,COLUMN(K373)-COLUMN($E$5),4),$E380),0)</f>
        <v>0</v>
      </c>
      <c r="L380" s="281">
        <f>IF(L$6=$C380,IF(INDEX('Surface DEET'!$Q$9:$W$38,COLUMN(L373)-COLUMN($E$5),4)&gt;0,INDEX('Surface DEET'!$Q$9:$W$38,COLUMN(L373)-COLUMN($E$5),4),$E380),0)</f>
        <v>0</v>
      </c>
      <c r="M380" s="281">
        <f>IF(M$6=$C380,IF(INDEX('Surface DEET'!$Q$9:$W$38,COLUMN(M373)-COLUMN($E$5),4)&gt;0,INDEX('Surface DEET'!$Q$9:$W$38,COLUMN(M373)-COLUMN($E$5),4),$E380),0)</f>
        <v>0</v>
      </c>
      <c r="N380" s="281">
        <f>IF(N$6=$C380,IF(INDEX('Surface DEET'!$Q$9:$W$38,COLUMN(N373)-COLUMN($E$5),4)&gt;0,INDEX('Surface DEET'!$Q$9:$W$38,COLUMN(N373)-COLUMN($E$5),4),$E380),0)</f>
        <v>0</v>
      </c>
      <c r="O380" s="281">
        <f>IF(O$6=$C380,IF(INDEX('Surface DEET'!$Q$9:$W$38,COLUMN(O373)-COLUMN($E$5),4)&gt;0,INDEX('Surface DEET'!$Q$9:$W$38,COLUMN(O373)-COLUMN($E$5),4),$E380),0)</f>
        <v>0</v>
      </c>
      <c r="P380" s="281">
        <f>IF(P$6=$C380,IF(INDEX('Surface DEET'!$Q$9:$W$38,COLUMN(P373)-COLUMN($E$5),4)&gt;0,INDEX('Surface DEET'!$Q$9:$W$38,COLUMN(P373)-COLUMN($E$5),4),$E380),0)</f>
        <v>0</v>
      </c>
      <c r="Q380" s="281">
        <f>IF(Q$6=$C380,IF(INDEX('Surface DEET'!$Q$9:$W$38,COLUMN(Q373)-COLUMN($E$5),4)&gt;0,INDEX('Surface DEET'!$Q$9:$W$38,COLUMN(Q373)-COLUMN($E$5),4),$E380),0)</f>
        <v>0</v>
      </c>
      <c r="R380" s="281">
        <f>IF(R$6=$C380,IF(INDEX('Surface DEET'!$Q$9:$W$38,COLUMN(R373)-COLUMN($E$5),4)&gt;0,INDEX('Surface DEET'!$Q$9:$W$38,COLUMN(R373)-COLUMN($E$5),4),$E380),0)</f>
        <v>0</v>
      </c>
      <c r="S380" s="281">
        <f>IF(S$6=$C380,IF(INDEX('Surface DEET'!$Q$9:$W$38,COLUMN(S373)-COLUMN($E$5),4)&gt;0,INDEX('Surface DEET'!$Q$9:$W$38,COLUMN(S373)-COLUMN($E$5),4),$E380),0)</f>
        <v>0</v>
      </c>
      <c r="T380" s="281">
        <f>IF(T$6=$C380,IF(INDEX('Surface DEET'!$Q$9:$W$38,COLUMN(T373)-COLUMN($E$5),4)&gt;0,INDEX('Surface DEET'!$Q$9:$W$38,COLUMN(T373)-COLUMN($E$5),4),$E380),0)</f>
        <v>0</v>
      </c>
      <c r="U380" s="281">
        <f>IF(U$6=$C380,IF(INDEX('Surface DEET'!$Q$9:$W$38,COLUMN(U373)-COLUMN($E$5),4)&gt;0,INDEX('Surface DEET'!$Q$9:$W$38,COLUMN(U373)-COLUMN($E$5),4),$E380),0)</f>
        <v>0</v>
      </c>
      <c r="V380" s="281">
        <f>IF(V$6=$C380,IF(INDEX('Surface DEET'!$Q$9:$W$38,COLUMN(V373)-COLUMN($E$5),4)&gt;0,INDEX('Surface DEET'!$Q$9:$W$38,COLUMN(V373)-COLUMN($E$5),4),$E380),0)</f>
        <v>0</v>
      </c>
      <c r="W380" s="281">
        <f>IF(W$6=$C380,IF(INDEX('Surface DEET'!$Q$9:$W$38,COLUMN(W373)-COLUMN($E$5),4)&gt;0,INDEX('Surface DEET'!$Q$9:$W$38,COLUMN(W373)-COLUMN($E$5),4),$E380),0)</f>
        <v>0</v>
      </c>
      <c r="X380" s="281">
        <f>IF(X$6=$C380,IF(INDEX('Surface DEET'!$Q$9:$W$38,COLUMN(X373)-COLUMN($E$5),4)&gt;0,INDEX('Surface DEET'!$Q$9:$W$38,COLUMN(X373)-COLUMN($E$5),4),$E380),0)</f>
        <v>0</v>
      </c>
      <c r="Y380" s="281">
        <f>IF(Y$6=$C380,IF(INDEX('Surface DEET'!$Q$9:$W$38,COLUMN(Y373)-COLUMN($E$5),4)&gt;0,INDEX('Surface DEET'!$Q$9:$W$38,COLUMN(Y373)-COLUMN($E$5),4),$E380),0)</f>
        <v>0</v>
      </c>
      <c r="Z380" s="281">
        <f>IF(Z$6=$C380,IF(INDEX('Surface DEET'!$Q$9:$W$38,COLUMN(Z373)-COLUMN($E$5),4)&gt;0,INDEX('Surface DEET'!$Q$9:$W$38,COLUMN(Z373)-COLUMN($E$5),4),$E380),0)</f>
        <v>0</v>
      </c>
      <c r="AA380" s="281">
        <f>IF(AA$6=$C380,IF(INDEX('Surface DEET'!$Q$9:$W$38,COLUMN(AA373)-COLUMN($E$5),4)&gt;0,INDEX('Surface DEET'!$Q$9:$W$38,COLUMN(AA373)-COLUMN($E$5),4),$E380),0)</f>
        <v>0</v>
      </c>
      <c r="AB380" s="281">
        <f>IF(AB$6=$C380,IF(INDEX('Surface DEET'!$Q$9:$W$38,COLUMN(AB373)-COLUMN($E$5),4)&gt;0,INDEX('Surface DEET'!$Q$9:$W$38,COLUMN(AB373)-COLUMN($E$5),4),$E380),0)</f>
        <v>0</v>
      </c>
      <c r="AC380" s="281">
        <f>IF(AC$6=$C380,IF(INDEX('Surface DEET'!$Q$9:$W$38,COLUMN(AC373)-COLUMN($E$5),4)&gt;0,INDEX('Surface DEET'!$Q$9:$W$38,COLUMN(AC373)-COLUMN($E$5),4),$E380),0)</f>
        <v>0</v>
      </c>
      <c r="AD380" s="281">
        <f>IF(AD$6=$C380,IF(INDEX('Surface DEET'!$Q$9:$W$38,COLUMN(AD373)-COLUMN($E$5),4)&gt;0,INDEX('Surface DEET'!$Q$9:$W$38,COLUMN(AD373)-COLUMN($E$5),4),$E380),0)</f>
        <v>0</v>
      </c>
      <c r="AE380" s="281">
        <f>IF(AE$6=$C380,IF(INDEX('Surface DEET'!$Q$9:$W$38,COLUMN(AE373)-COLUMN($E$5),4)&gt;0,INDEX('Surface DEET'!$Q$9:$W$38,COLUMN(AE373)-COLUMN($E$5),4),$E380),0)</f>
        <v>0</v>
      </c>
      <c r="AF380" s="281">
        <f>IF(AF$6=$C380,IF(INDEX('Surface DEET'!$Q$9:$W$38,COLUMN(AF373)-COLUMN($E$5),4)&gt;0,INDEX('Surface DEET'!$Q$9:$W$38,COLUMN(AF373)-COLUMN($E$5),4),$E380),0)</f>
        <v>0</v>
      </c>
      <c r="AG380" s="281">
        <f>IF(AG$6=$C380,IF(INDEX('Surface DEET'!$Q$9:$W$38,COLUMN(AG373)-COLUMN($E$5),4)&gt;0,INDEX('Surface DEET'!$Q$9:$W$38,COLUMN(AG373)-COLUMN($E$5),4),$E380),0)</f>
        <v>0</v>
      </c>
      <c r="AH380" s="281">
        <f>IF(AH$6=$C380,IF(INDEX('Surface DEET'!$Q$9:$W$38,COLUMN(AH373)-COLUMN($E$5),4)&gt;0,INDEX('Surface DEET'!$Q$9:$W$38,COLUMN(AH373)-COLUMN($E$5),4),$E380),0)</f>
        <v>0</v>
      </c>
      <c r="AI380" s="281">
        <f>IF(AI$6=$C380,INDEX('Surface DEET'!$Q$9:$W$38,COLUMN(AI373)-COLUMN($E$5),4),0)</f>
        <v>0</v>
      </c>
    </row>
    <row r="381" spans="2:35">
      <c r="B381" s="281" t="s">
        <v>548</v>
      </c>
      <c r="C381" s="281" t="s">
        <v>688</v>
      </c>
    </row>
    <row r="382" spans="2:35">
      <c r="B382" s="281" t="s">
        <v>538</v>
      </c>
      <c r="C382" s="281" t="s">
        <v>688</v>
      </c>
      <c r="D382" s="281" t="s">
        <v>538</v>
      </c>
      <c r="F382" s="281">
        <f>$E$376*($E$378*(F380/$E$380)+(1-$E$378)*(F379/$E$379))+0.28*$E$375*(F379-$E$379)/$E$379</f>
        <v>-14.000000000000002</v>
      </c>
      <c r="G382" s="281">
        <f t="shared" ref="G382:AI382" si="46">$E$376*($E$378*(G380/$E$380)+(1-$E$378)*(G379/$E$379))+0.28*$E$375*(G379-$E$379)/$E$379</f>
        <v>-14.000000000000002</v>
      </c>
      <c r="H382" s="281">
        <f t="shared" si="46"/>
        <v>-14.000000000000002</v>
      </c>
      <c r="I382" s="281">
        <f t="shared" si="46"/>
        <v>-14.000000000000002</v>
      </c>
      <c r="J382" s="281">
        <f t="shared" si="46"/>
        <v>-14.000000000000002</v>
      </c>
      <c r="K382" s="281">
        <f t="shared" si="46"/>
        <v>-14.000000000000002</v>
      </c>
      <c r="L382" s="281">
        <f t="shared" si="46"/>
        <v>-14.000000000000002</v>
      </c>
      <c r="M382" s="281">
        <f t="shared" si="46"/>
        <v>-14.000000000000002</v>
      </c>
      <c r="N382" s="281">
        <f t="shared" si="46"/>
        <v>-14.000000000000002</v>
      </c>
      <c r="O382" s="281">
        <f t="shared" si="46"/>
        <v>-14.000000000000002</v>
      </c>
      <c r="P382" s="281">
        <f t="shared" si="46"/>
        <v>-14.000000000000002</v>
      </c>
      <c r="Q382" s="281">
        <f t="shared" si="46"/>
        <v>-14.000000000000002</v>
      </c>
      <c r="R382" s="281">
        <f t="shared" si="46"/>
        <v>-14.000000000000002</v>
      </c>
      <c r="S382" s="281">
        <f t="shared" si="46"/>
        <v>-14.000000000000002</v>
      </c>
      <c r="T382" s="281">
        <f t="shared" si="46"/>
        <v>-14.000000000000002</v>
      </c>
      <c r="U382" s="281">
        <f t="shared" si="46"/>
        <v>-14.000000000000002</v>
      </c>
      <c r="V382" s="281">
        <f t="shared" si="46"/>
        <v>-14.000000000000002</v>
      </c>
      <c r="W382" s="281">
        <f t="shared" si="46"/>
        <v>-14.000000000000002</v>
      </c>
      <c r="X382" s="281">
        <f t="shared" si="46"/>
        <v>-14.000000000000002</v>
      </c>
      <c r="Y382" s="281">
        <f t="shared" si="46"/>
        <v>-14.000000000000002</v>
      </c>
      <c r="Z382" s="281">
        <f t="shared" si="46"/>
        <v>-14.000000000000002</v>
      </c>
      <c r="AA382" s="281">
        <f t="shared" si="46"/>
        <v>-14.000000000000002</v>
      </c>
      <c r="AB382" s="281">
        <f t="shared" si="46"/>
        <v>-14.000000000000002</v>
      </c>
      <c r="AC382" s="281">
        <f t="shared" si="46"/>
        <v>-14.000000000000002</v>
      </c>
      <c r="AD382" s="281">
        <f t="shared" si="46"/>
        <v>-14.000000000000002</v>
      </c>
      <c r="AE382" s="281">
        <f t="shared" si="46"/>
        <v>-14.000000000000002</v>
      </c>
      <c r="AF382" s="281">
        <f t="shared" si="46"/>
        <v>-14.000000000000002</v>
      </c>
      <c r="AG382" s="281">
        <f t="shared" si="46"/>
        <v>-14.000000000000002</v>
      </c>
      <c r="AH382" s="281">
        <f t="shared" si="46"/>
        <v>-14.000000000000002</v>
      </c>
      <c r="AI382" s="281">
        <f t="shared" si="46"/>
        <v>-14.000000000000002</v>
      </c>
    </row>
    <row r="383" spans="2:35">
      <c r="B383" s="92" t="s">
        <v>298</v>
      </c>
      <c r="C383" s="281" t="s">
        <v>689</v>
      </c>
      <c r="D383" s="92" t="s">
        <v>298</v>
      </c>
      <c r="E383" s="281">
        <f t="array" ref="E383">INDEX(CABS_CVC!$C$3:$O$894,MATCH(1, (CABS_CVC!$A$3:$A$894=Calculs_CABS!C383)*(CABS_CVC!$B$3:$B$894=Calculs_CABS!$D$2),0),MATCH(Calculs_CABS!$D$1,Liste_CABS!$B$3:$B$15,0))</f>
        <v>60</v>
      </c>
    </row>
    <row r="384" spans="2:35">
      <c r="B384" s="281" t="s">
        <v>539</v>
      </c>
      <c r="C384" s="281" t="s">
        <v>689</v>
      </c>
      <c r="D384" s="281" t="s">
        <v>539</v>
      </c>
      <c r="E384" s="281">
        <v>20</v>
      </c>
    </row>
    <row r="385" spans="2:35">
      <c r="B385" s="281" t="s">
        <v>540</v>
      </c>
      <c r="C385" s="281" t="s">
        <v>689</v>
      </c>
      <c r="D385" s="281" t="s">
        <v>540</v>
      </c>
      <c r="E385" s="281">
        <f>E383+E384</f>
        <v>80</v>
      </c>
    </row>
    <row r="386" spans="2:35">
      <c r="B386" s="281" t="s">
        <v>541</v>
      </c>
      <c r="C386" s="281" t="s">
        <v>689</v>
      </c>
      <c r="D386" s="281" t="s">
        <v>541</v>
      </c>
      <c r="E386" s="281">
        <v>0</v>
      </c>
    </row>
    <row r="387" spans="2:35">
      <c r="B387" s="281" t="s">
        <v>542</v>
      </c>
      <c r="C387" s="281" t="s">
        <v>689</v>
      </c>
      <c r="D387" s="281" t="s">
        <v>686</v>
      </c>
      <c r="E387" s="281">
        <v>1900</v>
      </c>
      <c r="F387" s="281">
        <f>IF(F$6=$C387,IF(INDEX('Surface DEET'!$Q$9:$W$38,COLUMN(F380)-COLUMN($E$5),1)&gt;0,INDEX('Surface DEET'!$Q$9:$W$38,COLUMN(F380)-COLUMN($E$5),1),$E387),0)</f>
        <v>0</v>
      </c>
      <c r="G387" s="281">
        <f>IF(G$6=$C387,IF(INDEX('Surface DEET'!$Q$9:$W$38,COLUMN(G380)-COLUMN($E$5),1)&gt;0,INDEX('Surface DEET'!$Q$9:$W$38,COLUMN(G380)-COLUMN($E$5),1),$E387),0)</f>
        <v>0</v>
      </c>
      <c r="H387" s="281">
        <f>IF(H$6=$C387,IF(INDEX('Surface DEET'!$Q$9:$W$38,COLUMN(H380)-COLUMN($E$5),1)&gt;0,INDEX('Surface DEET'!$Q$9:$W$38,COLUMN(H380)-COLUMN($E$5),1),$E387),0)</f>
        <v>0</v>
      </c>
      <c r="I387" s="281">
        <f>IF(I$6=$C387,IF(INDEX('Surface DEET'!$Q$9:$W$38,COLUMN(I380)-COLUMN($E$5),1)&gt;0,INDEX('Surface DEET'!$Q$9:$W$38,COLUMN(I380)-COLUMN($E$5),1),$E387),0)</f>
        <v>0</v>
      </c>
      <c r="J387" s="281">
        <f>IF(J$6=$C387,IF(INDEX('Surface DEET'!$Q$9:$W$38,COLUMN(J380)-COLUMN($E$5),1)&gt;0,INDEX('Surface DEET'!$Q$9:$W$38,COLUMN(J380)-COLUMN($E$5),1),$E387),0)</f>
        <v>0</v>
      </c>
      <c r="K387" s="281">
        <f>IF(K$6=$C387,IF(INDEX('Surface DEET'!$Q$9:$W$38,COLUMN(K380)-COLUMN($E$5),1)&gt;0,INDEX('Surface DEET'!$Q$9:$W$38,COLUMN(K380)-COLUMN($E$5),1),$E387),0)</f>
        <v>0</v>
      </c>
      <c r="L387" s="281">
        <f>IF(L$6=$C387,IF(INDEX('Surface DEET'!$Q$9:$W$38,COLUMN(L380)-COLUMN($E$5),1)&gt;0,INDEX('Surface DEET'!$Q$9:$W$38,COLUMN(L380)-COLUMN($E$5),1),$E387),0)</f>
        <v>0</v>
      </c>
      <c r="M387" s="281">
        <f>IF(M$6=$C387,IF(INDEX('Surface DEET'!$Q$9:$W$38,COLUMN(M380)-COLUMN($E$5),1)&gt;0,INDEX('Surface DEET'!$Q$9:$W$38,COLUMN(M380)-COLUMN($E$5),1),$E387),0)</f>
        <v>0</v>
      </c>
      <c r="N387" s="281">
        <f>IF(N$6=$C387,IF(INDEX('Surface DEET'!$Q$9:$W$38,COLUMN(N380)-COLUMN($E$5),1)&gt;0,INDEX('Surface DEET'!$Q$9:$W$38,COLUMN(N380)-COLUMN($E$5),1),$E387),0)</f>
        <v>0</v>
      </c>
      <c r="O387" s="281">
        <f>IF(O$6=$C387,IF(INDEX('Surface DEET'!$Q$9:$W$38,COLUMN(O380)-COLUMN($E$5),1)&gt;0,INDEX('Surface DEET'!$Q$9:$W$38,COLUMN(O380)-COLUMN($E$5),1),$E387),0)</f>
        <v>0</v>
      </c>
      <c r="P387" s="281">
        <f>IF(P$6=$C387,IF(INDEX('Surface DEET'!$Q$9:$W$38,COLUMN(P380)-COLUMN($E$5),1)&gt;0,INDEX('Surface DEET'!$Q$9:$W$38,COLUMN(P380)-COLUMN($E$5),1),$E387),0)</f>
        <v>0</v>
      </c>
      <c r="Q387" s="281">
        <f>IF(Q$6=$C387,IF(INDEX('Surface DEET'!$Q$9:$W$38,COLUMN(Q380)-COLUMN($E$5),1)&gt;0,INDEX('Surface DEET'!$Q$9:$W$38,COLUMN(Q380)-COLUMN($E$5),1),$E387),0)</f>
        <v>0</v>
      </c>
      <c r="R387" s="281">
        <f>IF(R$6=$C387,IF(INDEX('Surface DEET'!$Q$9:$W$38,COLUMN(R380)-COLUMN($E$5),1)&gt;0,INDEX('Surface DEET'!$Q$9:$W$38,COLUMN(R380)-COLUMN($E$5),1),$E387),0)</f>
        <v>0</v>
      </c>
      <c r="S387" s="281">
        <f>IF(S$6=$C387,IF(INDEX('Surface DEET'!$Q$9:$W$38,COLUMN(S380)-COLUMN($E$5),1)&gt;0,INDEX('Surface DEET'!$Q$9:$W$38,COLUMN(S380)-COLUMN($E$5),1),$E387),0)</f>
        <v>0</v>
      </c>
      <c r="T387" s="281">
        <f>IF(T$6=$C387,IF(INDEX('Surface DEET'!$Q$9:$W$38,COLUMN(T380)-COLUMN($E$5),1)&gt;0,INDEX('Surface DEET'!$Q$9:$W$38,COLUMN(T380)-COLUMN($E$5),1),$E387),0)</f>
        <v>0</v>
      </c>
      <c r="U387" s="281">
        <f>IF(U$6=$C387,IF(INDEX('Surface DEET'!$Q$9:$W$38,COLUMN(U380)-COLUMN($E$5),1)&gt;0,INDEX('Surface DEET'!$Q$9:$W$38,COLUMN(U380)-COLUMN($E$5),1),$E387),0)</f>
        <v>0</v>
      </c>
      <c r="V387" s="281">
        <f>IF(V$6=$C387,IF(INDEX('Surface DEET'!$Q$9:$W$38,COLUMN(V380)-COLUMN($E$5),1)&gt;0,INDEX('Surface DEET'!$Q$9:$W$38,COLUMN(V380)-COLUMN($E$5),1),$E387),0)</f>
        <v>0</v>
      </c>
      <c r="W387" s="281">
        <f>IF(W$6=$C387,IF(INDEX('Surface DEET'!$Q$9:$W$38,COLUMN(W380)-COLUMN($E$5),1)&gt;0,INDEX('Surface DEET'!$Q$9:$W$38,COLUMN(W380)-COLUMN($E$5),1),$E387),0)</f>
        <v>0</v>
      </c>
      <c r="X387" s="281">
        <f>IF(X$6=$C387,IF(INDEX('Surface DEET'!$Q$9:$W$38,COLUMN(X380)-COLUMN($E$5),1)&gt;0,INDEX('Surface DEET'!$Q$9:$W$38,COLUMN(X380)-COLUMN($E$5),1),$E387),0)</f>
        <v>0</v>
      </c>
      <c r="Y387" s="281">
        <f>IF(Y$6=$C387,IF(INDEX('Surface DEET'!$Q$9:$W$38,COLUMN(Y380)-COLUMN($E$5),1)&gt;0,INDEX('Surface DEET'!$Q$9:$W$38,COLUMN(Y380)-COLUMN($E$5),1),$E387),0)</f>
        <v>0</v>
      </c>
      <c r="Z387" s="281">
        <f>IF(Z$6=$C387,IF(INDEX('Surface DEET'!$Q$9:$W$38,COLUMN(Z380)-COLUMN($E$5),1)&gt;0,INDEX('Surface DEET'!$Q$9:$W$38,COLUMN(Z380)-COLUMN($E$5),1),$E387),0)</f>
        <v>0</v>
      </c>
      <c r="AA387" s="281">
        <f>IF(AA$6=$C387,IF(INDEX('Surface DEET'!$Q$9:$W$38,COLUMN(AA380)-COLUMN($E$5),1)&gt;0,INDEX('Surface DEET'!$Q$9:$W$38,COLUMN(AA380)-COLUMN($E$5),1),$E387),0)</f>
        <v>0</v>
      </c>
      <c r="AB387" s="281">
        <f>IF(AB$6=$C387,IF(INDEX('Surface DEET'!$Q$9:$W$38,COLUMN(AB380)-COLUMN($E$5),1)&gt;0,INDEX('Surface DEET'!$Q$9:$W$38,COLUMN(AB380)-COLUMN($E$5),1),$E387),0)</f>
        <v>0</v>
      </c>
      <c r="AC387" s="281">
        <f>IF(AC$6=$C387,IF(INDEX('Surface DEET'!$Q$9:$W$38,COLUMN(AC380)-COLUMN($E$5),1)&gt;0,INDEX('Surface DEET'!$Q$9:$W$38,COLUMN(AC380)-COLUMN($E$5),1),$E387),0)</f>
        <v>0</v>
      </c>
      <c r="AD387" s="281">
        <f>IF(AD$6=$C387,IF(INDEX('Surface DEET'!$Q$9:$W$38,COLUMN(AD380)-COLUMN($E$5),1)&gt;0,INDEX('Surface DEET'!$Q$9:$W$38,COLUMN(AD380)-COLUMN($E$5),1),$E387),0)</f>
        <v>0</v>
      </c>
      <c r="AE387" s="281">
        <f>IF(AE$6=$C387,IF(INDEX('Surface DEET'!$Q$9:$W$38,COLUMN(AE380)-COLUMN($E$5),1)&gt;0,INDEX('Surface DEET'!$Q$9:$W$38,COLUMN(AE380)-COLUMN($E$5),1),$E387),0)</f>
        <v>0</v>
      </c>
      <c r="AF387" s="281">
        <f>IF(AF$6=$C387,IF(INDEX('Surface DEET'!$Q$9:$W$38,COLUMN(AF380)-COLUMN($E$5),1)&gt;0,INDEX('Surface DEET'!$Q$9:$W$38,COLUMN(AF380)-COLUMN($E$5),1),$E387),0)</f>
        <v>0</v>
      </c>
      <c r="AG387" s="281">
        <f>IF(AG$6=$C387,IF(INDEX('Surface DEET'!$Q$9:$W$38,COLUMN(AG380)-COLUMN($E$5),1)&gt;0,INDEX('Surface DEET'!$Q$9:$W$38,COLUMN(AG380)-COLUMN($E$5),1),$E387),0)</f>
        <v>0</v>
      </c>
      <c r="AH387" s="281">
        <f>IF(AH$6=$C387,IF(INDEX('Surface DEET'!$Q$9:$W$38,COLUMN(AH380)-COLUMN($E$5),1)&gt;0,INDEX('Surface DEET'!$Q$9:$W$38,COLUMN(AH380)-COLUMN($E$5),1),$E387),0)</f>
        <v>0</v>
      </c>
      <c r="AI387" s="281">
        <f>IF(AI$6=$C387,IF(INDEX('Surface DEET'!$Q$9:$W$38,COLUMN(AI380)-COLUMN($E$5),1)&gt;0,INDEX('Surface DEET'!$Q$9:$W$38,COLUMN(AI380)-COLUMN($E$5),1),$E387),0)</f>
        <v>0</v>
      </c>
    </row>
    <row r="388" spans="2:35">
      <c r="B388" s="281" t="s">
        <v>538</v>
      </c>
      <c r="C388" s="281" t="s">
        <v>689</v>
      </c>
      <c r="D388" s="281" t="s">
        <v>538</v>
      </c>
      <c r="F388" s="281">
        <f>$E384*F387/$E387+0.28*$E383*(F387-$E387)/$E387</f>
        <v>-16.8</v>
      </c>
      <c r="G388" s="281">
        <f t="shared" ref="G388:AI388" si="47">$E384*G387/$E387+0.28*$E383*(G387-$E387)/$E387</f>
        <v>-16.8</v>
      </c>
      <c r="H388" s="281">
        <f t="shared" si="47"/>
        <v>-16.8</v>
      </c>
      <c r="I388" s="281">
        <f t="shared" si="47"/>
        <v>-16.8</v>
      </c>
      <c r="J388" s="281">
        <f t="shared" si="47"/>
        <v>-16.8</v>
      </c>
      <c r="K388" s="281">
        <f t="shared" si="47"/>
        <v>-16.8</v>
      </c>
      <c r="L388" s="281">
        <f t="shared" si="47"/>
        <v>-16.8</v>
      </c>
      <c r="M388" s="281">
        <f t="shared" si="47"/>
        <v>-16.8</v>
      </c>
      <c r="N388" s="281">
        <f t="shared" si="47"/>
        <v>-16.8</v>
      </c>
      <c r="O388" s="281">
        <f t="shared" si="47"/>
        <v>-16.8</v>
      </c>
      <c r="P388" s="281">
        <f t="shared" si="47"/>
        <v>-16.8</v>
      </c>
      <c r="Q388" s="281">
        <f t="shared" si="47"/>
        <v>-16.8</v>
      </c>
      <c r="R388" s="281">
        <f t="shared" si="47"/>
        <v>-16.8</v>
      </c>
      <c r="S388" s="281">
        <f t="shared" si="47"/>
        <v>-16.8</v>
      </c>
      <c r="T388" s="281">
        <f t="shared" si="47"/>
        <v>-16.8</v>
      </c>
      <c r="U388" s="281">
        <f t="shared" si="47"/>
        <v>-16.8</v>
      </c>
      <c r="V388" s="281">
        <f t="shared" si="47"/>
        <v>-16.8</v>
      </c>
      <c r="W388" s="281">
        <f t="shared" si="47"/>
        <v>-16.8</v>
      </c>
      <c r="X388" s="281">
        <f t="shared" si="47"/>
        <v>-16.8</v>
      </c>
      <c r="Y388" s="281">
        <f t="shared" si="47"/>
        <v>-16.8</v>
      </c>
      <c r="Z388" s="281">
        <f t="shared" si="47"/>
        <v>-16.8</v>
      </c>
      <c r="AA388" s="281">
        <f t="shared" si="47"/>
        <v>-16.8</v>
      </c>
      <c r="AB388" s="281">
        <f t="shared" si="47"/>
        <v>-16.8</v>
      </c>
      <c r="AC388" s="281">
        <f t="shared" si="47"/>
        <v>-16.8</v>
      </c>
      <c r="AD388" s="281">
        <f t="shared" si="47"/>
        <v>-16.8</v>
      </c>
      <c r="AE388" s="281">
        <f t="shared" si="47"/>
        <v>-16.8</v>
      </c>
      <c r="AF388" s="281">
        <f t="shared" si="47"/>
        <v>-16.8</v>
      </c>
      <c r="AG388" s="281">
        <f t="shared" si="47"/>
        <v>-16.8</v>
      </c>
      <c r="AH388" s="281">
        <f t="shared" si="47"/>
        <v>-16.8</v>
      </c>
      <c r="AI388" s="281">
        <f t="shared" si="47"/>
        <v>-16.8</v>
      </c>
    </row>
    <row r="389" spans="2:35">
      <c r="B389" s="92" t="s">
        <v>298</v>
      </c>
      <c r="C389" s="281" t="s">
        <v>690</v>
      </c>
      <c r="D389" s="92" t="s">
        <v>298</v>
      </c>
      <c r="E389" s="281">
        <f t="array" ref="E389">INDEX(CABS_CVC!$C$3:$O$894,MATCH(1, (CABS_CVC!$A$3:$A$894=Calculs_CABS!C389)*(CABS_CVC!$B$3:$B$894=Calculs_CABS!$D$2),0),MATCH(Calculs_CABS!$D$1,Liste_CABS!$B$3:$B$15,0))</f>
        <v>60</v>
      </c>
    </row>
    <row r="390" spans="2:35">
      <c r="B390" s="281" t="s">
        <v>539</v>
      </c>
      <c r="C390" s="281" t="s">
        <v>690</v>
      </c>
      <c r="D390" s="281" t="s">
        <v>539</v>
      </c>
      <c r="E390" s="281">
        <v>90</v>
      </c>
    </row>
    <row r="391" spans="2:35">
      <c r="B391" s="281" t="s">
        <v>540</v>
      </c>
      <c r="C391" s="281" t="s">
        <v>690</v>
      </c>
      <c r="D391" s="281" t="s">
        <v>540</v>
      </c>
      <c r="E391" s="281">
        <f>E389+E390</f>
        <v>150</v>
      </c>
    </row>
    <row r="392" spans="2:35">
      <c r="B392" s="281" t="s">
        <v>541</v>
      </c>
      <c r="C392" s="281" t="s">
        <v>690</v>
      </c>
      <c r="D392" s="281" t="s">
        <v>541</v>
      </c>
      <c r="E392" s="281">
        <v>0.89</v>
      </c>
    </row>
    <row r="393" spans="2:35">
      <c r="B393" s="281" t="s">
        <v>542</v>
      </c>
      <c r="C393" s="281" t="s">
        <v>690</v>
      </c>
      <c r="D393" s="281" t="s">
        <v>686</v>
      </c>
      <c r="E393" s="281">
        <v>1900</v>
      </c>
      <c r="F393" s="281">
        <f>IF(F$6=$C393,IF(INDEX('Surface DEET'!$Q$9:$W$38,COLUMN(F386)-COLUMN($E$5),1)&gt;0,INDEX('Surface DEET'!$Q$9:$W$38,COLUMN(F386)-COLUMN($E$5),1),$E393),0)</f>
        <v>0</v>
      </c>
      <c r="G393" s="281">
        <f>IF(G$6=$C393,IF(INDEX('Surface DEET'!$Q$9:$W$38,COLUMN(G386)-COLUMN($E$5),1)&gt;0,INDEX('Surface DEET'!$Q$9:$W$38,COLUMN(G386)-COLUMN($E$5),1),$E393),0)</f>
        <v>0</v>
      </c>
      <c r="H393" s="281">
        <f>IF(H$6=$C393,IF(INDEX('Surface DEET'!$Q$9:$W$38,COLUMN(H386)-COLUMN($E$5),1)&gt;0,INDEX('Surface DEET'!$Q$9:$W$38,COLUMN(H386)-COLUMN($E$5),1),$E393),0)</f>
        <v>0</v>
      </c>
      <c r="I393" s="281">
        <f>IF(I$6=$C393,IF(INDEX('Surface DEET'!$Q$9:$W$38,COLUMN(I386)-COLUMN($E$5),1)&gt;0,INDEX('Surface DEET'!$Q$9:$W$38,COLUMN(I386)-COLUMN($E$5),1),$E393),0)</f>
        <v>0</v>
      </c>
      <c r="J393" s="281">
        <f>IF(J$6=$C393,IF(INDEX('Surface DEET'!$Q$9:$W$38,COLUMN(J386)-COLUMN($E$5),1)&gt;0,INDEX('Surface DEET'!$Q$9:$W$38,COLUMN(J386)-COLUMN($E$5),1),$E393),0)</f>
        <v>0</v>
      </c>
      <c r="K393" s="281">
        <f>IF(K$6=$C393,IF(INDEX('Surface DEET'!$Q$9:$W$38,COLUMN(K386)-COLUMN($E$5),1)&gt;0,INDEX('Surface DEET'!$Q$9:$W$38,COLUMN(K386)-COLUMN($E$5),1),$E393),0)</f>
        <v>0</v>
      </c>
      <c r="L393" s="281">
        <f>IF(L$6=$C393,IF(INDEX('Surface DEET'!$Q$9:$W$38,COLUMN(L386)-COLUMN($E$5),1)&gt;0,INDEX('Surface DEET'!$Q$9:$W$38,COLUMN(L386)-COLUMN($E$5),1),$E393),0)</f>
        <v>0</v>
      </c>
      <c r="M393" s="281">
        <f>IF(M$6=$C393,IF(INDEX('Surface DEET'!$Q$9:$W$38,COLUMN(M386)-COLUMN($E$5),1)&gt;0,INDEX('Surface DEET'!$Q$9:$W$38,COLUMN(M386)-COLUMN($E$5),1),$E393),0)</f>
        <v>0</v>
      </c>
      <c r="N393" s="281">
        <f>IF(N$6=$C393,IF(INDEX('Surface DEET'!$Q$9:$W$38,COLUMN(N386)-COLUMN($E$5),1)&gt;0,INDEX('Surface DEET'!$Q$9:$W$38,COLUMN(N386)-COLUMN($E$5),1),$E393),0)</f>
        <v>0</v>
      </c>
      <c r="O393" s="281">
        <f>IF(O$6=$C393,IF(INDEX('Surface DEET'!$Q$9:$W$38,COLUMN(O386)-COLUMN($E$5),1)&gt;0,INDEX('Surface DEET'!$Q$9:$W$38,COLUMN(O386)-COLUMN($E$5),1),$E393),0)</f>
        <v>0</v>
      </c>
      <c r="P393" s="281">
        <f>IF(P$6=$C393,IF(INDEX('Surface DEET'!$Q$9:$W$38,COLUMN(P386)-COLUMN($E$5),1)&gt;0,INDEX('Surface DEET'!$Q$9:$W$38,COLUMN(P386)-COLUMN($E$5),1),$E393),0)</f>
        <v>0</v>
      </c>
      <c r="Q393" s="281">
        <f>IF(Q$6=$C393,IF(INDEX('Surface DEET'!$Q$9:$W$38,COLUMN(Q386)-COLUMN($E$5),1)&gt;0,INDEX('Surface DEET'!$Q$9:$W$38,COLUMN(Q386)-COLUMN($E$5),1),$E393),0)</f>
        <v>0</v>
      </c>
      <c r="R393" s="281">
        <f>IF(R$6=$C393,IF(INDEX('Surface DEET'!$Q$9:$W$38,COLUMN(R386)-COLUMN($E$5),1)&gt;0,INDEX('Surface DEET'!$Q$9:$W$38,COLUMN(R386)-COLUMN($E$5),1),$E393),0)</f>
        <v>0</v>
      </c>
      <c r="S393" s="281">
        <f>IF(S$6=$C393,IF(INDEX('Surface DEET'!$Q$9:$W$38,COLUMN(S386)-COLUMN($E$5),1)&gt;0,INDEX('Surface DEET'!$Q$9:$W$38,COLUMN(S386)-COLUMN($E$5),1),$E393),0)</f>
        <v>0</v>
      </c>
      <c r="T393" s="281">
        <f>IF(T$6=$C393,IF(INDEX('Surface DEET'!$Q$9:$W$38,COLUMN(T386)-COLUMN($E$5),1)&gt;0,INDEX('Surface DEET'!$Q$9:$W$38,COLUMN(T386)-COLUMN($E$5),1),$E393),0)</f>
        <v>0</v>
      </c>
      <c r="U393" s="281">
        <f>IF(U$6=$C393,IF(INDEX('Surface DEET'!$Q$9:$W$38,COLUMN(U386)-COLUMN($E$5),1)&gt;0,INDEX('Surface DEET'!$Q$9:$W$38,COLUMN(U386)-COLUMN($E$5),1),$E393),0)</f>
        <v>0</v>
      </c>
      <c r="V393" s="281">
        <f>IF(V$6=$C393,IF(INDEX('Surface DEET'!$Q$9:$W$38,COLUMN(V386)-COLUMN($E$5),1)&gt;0,INDEX('Surface DEET'!$Q$9:$W$38,COLUMN(V386)-COLUMN($E$5),1),$E393),0)</f>
        <v>0</v>
      </c>
      <c r="W393" s="281">
        <f>IF(W$6=$C393,IF(INDEX('Surface DEET'!$Q$9:$W$38,COLUMN(W386)-COLUMN($E$5),1)&gt;0,INDEX('Surface DEET'!$Q$9:$W$38,COLUMN(W386)-COLUMN($E$5),1),$E393),0)</f>
        <v>0</v>
      </c>
      <c r="X393" s="281">
        <f>IF(X$6=$C393,IF(INDEX('Surface DEET'!$Q$9:$W$38,COLUMN(X386)-COLUMN($E$5),1)&gt;0,INDEX('Surface DEET'!$Q$9:$W$38,COLUMN(X386)-COLUMN($E$5),1),$E393),0)</f>
        <v>0</v>
      </c>
      <c r="Y393" s="281">
        <f>IF(Y$6=$C393,IF(INDEX('Surface DEET'!$Q$9:$W$38,COLUMN(Y386)-COLUMN($E$5),1)&gt;0,INDEX('Surface DEET'!$Q$9:$W$38,COLUMN(Y386)-COLUMN($E$5),1),$E393),0)</f>
        <v>0</v>
      </c>
      <c r="Z393" s="281">
        <f>IF(Z$6=$C393,IF(INDEX('Surface DEET'!$Q$9:$W$38,COLUMN(Z386)-COLUMN($E$5),1)&gt;0,INDEX('Surface DEET'!$Q$9:$W$38,COLUMN(Z386)-COLUMN($E$5),1),$E393),0)</f>
        <v>0</v>
      </c>
      <c r="AA393" s="281">
        <f>IF(AA$6=$C393,IF(INDEX('Surface DEET'!$Q$9:$W$38,COLUMN(AA386)-COLUMN($E$5),1)&gt;0,INDEX('Surface DEET'!$Q$9:$W$38,COLUMN(AA386)-COLUMN($E$5),1),$E393),0)</f>
        <v>0</v>
      </c>
      <c r="AB393" s="281">
        <f>IF(AB$6=$C393,IF(INDEX('Surface DEET'!$Q$9:$W$38,COLUMN(AB386)-COLUMN($E$5),1)&gt;0,INDEX('Surface DEET'!$Q$9:$W$38,COLUMN(AB386)-COLUMN($E$5),1),$E393),0)</f>
        <v>0</v>
      </c>
      <c r="AC393" s="281">
        <f>IF(AC$6=$C393,IF(INDEX('Surface DEET'!$Q$9:$W$38,COLUMN(AC386)-COLUMN($E$5),1)&gt;0,INDEX('Surface DEET'!$Q$9:$W$38,COLUMN(AC386)-COLUMN($E$5),1),$E393),0)</f>
        <v>0</v>
      </c>
      <c r="AD393" s="281">
        <f>IF(AD$6=$C393,IF(INDEX('Surface DEET'!$Q$9:$W$38,COLUMN(AD386)-COLUMN($E$5),1)&gt;0,INDEX('Surface DEET'!$Q$9:$W$38,COLUMN(AD386)-COLUMN($E$5),1),$E393),0)</f>
        <v>0</v>
      </c>
      <c r="AE393" s="281">
        <f>IF(AE$6=$C393,IF(INDEX('Surface DEET'!$Q$9:$W$38,COLUMN(AE386)-COLUMN($E$5),1)&gt;0,INDEX('Surface DEET'!$Q$9:$W$38,COLUMN(AE386)-COLUMN($E$5),1),$E393),0)</f>
        <v>0</v>
      </c>
      <c r="AF393" s="281">
        <f>IF(AF$6=$C393,IF(INDEX('Surface DEET'!$Q$9:$W$38,COLUMN(AF386)-COLUMN($E$5),1)&gt;0,INDEX('Surface DEET'!$Q$9:$W$38,COLUMN(AF386)-COLUMN($E$5),1),$E393),0)</f>
        <v>0</v>
      </c>
      <c r="AG393" s="281">
        <f>IF(AG$6=$C393,IF(INDEX('Surface DEET'!$Q$9:$W$38,COLUMN(AG386)-COLUMN($E$5),1)&gt;0,INDEX('Surface DEET'!$Q$9:$W$38,COLUMN(AG386)-COLUMN($E$5),1),$E393),0)</f>
        <v>0</v>
      </c>
      <c r="AH393" s="281">
        <f>IF(AH$6=$C393,IF(INDEX('Surface DEET'!$Q$9:$W$38,COLUMN(AH386)-COLUMN($E$5),1)&gt;0,INDEX('Surface DEET'!$Q$9:$W$38,COLUMN(AH386)-COLUMN($E$5),1),$E393),0)</f>
        <v>0</v>
      </c>
      <c r="AI393" s="281">
        <f>IF(AI$6=$C393,INDEX('Surface DEET'!$Q$9:$W$38,COLUMN(AI386)-COLUMN($E$5),1),0)</f>
        <v>0</v>
      </c>
    </row>
    <row r="394" spans="2:35">
      <c r="B394" s="281" t="s">
        <v>545</v>
      </c>
      <c r="C394" s="281" t="s">
        <v>690</v>
      </c>
      <c r="D394" s="281" t="s">
        <v>687</v>
      </c>
      <c r="E394" s="281">
        <v>80</v>
      </c>
      <c r="F394" s="281">
        <f>IF(F$6=$C394,IF(INDEX('Surface DEET'!$Q$9:$W$38,COLUMN(F387)-COLUMN($E$5),4)&gt;0,INDEX('Surface DEET'!$Q$9:$W$38,COLUMN(F387)-COLUMN($E$5),4),$E394),0)</f>
        <v>0</v>
      </c>
      <c r="G394" s="281">
        <f>IF(G$6=$C394,IF(INDEX('Surface DEET'!$Q$9:$W$38,COLUMN(G387)-COLUMN($E$5),4)&gt;0,INDEX('Surface DEET'!$Q$9:$W$38,COLUMN(G387)-COLUMN($E$5),4),$E394),0)</f>
        <v>0</v>
      </c>
      <c r="H394" s="281">
        <f>IF(H$6=$C394,IF(INDEX('Surface DEET'!$Q$9:$W$38,COLUMN(H387)-COLUMN($E$5),4)&gt;0,INDEX('Surface DEET'!$Q$9:$W$38,COLUMN(H387)-COLUMN($E$5),4),$E394),0)</f>
        <v>0</v>
      </c>
      <c r="I394" s="281">
        <f>IF(I$6=$C394,IF(INDEX('Surface DEET'!$Q$9:$W$38,COLUMN(I387)-COLUMN($E$5),4)&gt;0,INDEX('Surface DEET'!$Q$9:$W$38,COLUMN(I387)-COLUMN($E$5),4),$E394),0)</f>
        <v>0</v>
      </c>
      <c r="J394" s="281">
        <f>IF(J$6=$C394,IF(INDEX('Surface DEET'!$Q$9:$W$38,COLUMN(J387)-COLUMN($E$5),4)&gt;0,INDEX('Surface DEET'!$Q$9:$W$38,COLUMN(J387)-COLUMN($E$5),4),$E394),0)</f>
        <v>0</v>
      </c>
      <c r="K394" s="281">
        <f>IF(K$6=$C394,IF(INDEX('Surface DEET'!$Q$9:$W$38,COLUMN(K387)-COLUMN($E$5),4)&gt;0,INDEX('Surface DEET'!$Q$9:$W$38,COLUMN(K387)-COLUMN($E$5),4),$E394),0)</f>
        <v>0</v>
      </c>
      <c r="L394" s="281">
        <f>IF(L$6=$C394,IF(INDEX('Surface DEET'!$Q$9:$W$38,COLUMN(L387)-COLUMN($E$5),4)&gt;0,INDEX('Surface DEET'!$Q$9:$W$38,COLUMN(L387)-COLUMN($E$5),4),$E394),0)</f>
        <v>0</v>
      </c>
      <c r="M394" s="281">
        <f>IF(M$6=$C394,IF(INDEX('Surface DEET'!$Q$9:$W$38,COLUMN(M387)-COLUMN($E$5),4)&gt;0,INDEX('Surface DEET'!$Q$9:$W$38,COLUMN(M387)-COLUMN($E$5),4),$E394),0)</f>
        <v>0</v>
      </c>
      <c r="N394" s="281">
        <f>IF(N$6=$C394,IF(INDEX('Surface DEET'!$Q$9:$W$38,COLUMN(N387)-COLUMN($E$5),4)&gt;0,INDEX('Surface DEET'!$Q$9:$W$38,COLUMN(N387)-COLUMN($E$5),4),$E394),0)</f>
        <v>0</v>
      </c>
      <c r="O394" s="281">
        <f>IF(O$6=$C394,IF(INDEX('Surface DEET'!$Q$9:$W$38,COLUMN(O387)-COLUMN($E$5),4)&gt;0,INDEX('Surface DEET'!$Q$9:$W$38,COLUMN(O387)-COLUMN($E$5),4),$E394),0)</f>
        <v>0</v>
      </c>
      <c r="P394" s="281">
        <f>IF(P$6=$C394,IF(INDEX('Surface DEET'!$Q$9:$W$38,COLUMN(P387)-COLUMN($E$5),4)&gt;0,INDEX('Surface DEET'!$Q$9:$W$38,COLUMN(P387)-COLUMN($E$5),4),$E394),0)</f>
        <v>0</v>
      </c>
      <c r="Q394" s="281">
        <f>IF(Q$6=$C394,IF(INDEX('Surface DEET'!$Q$9:$W$38,COLUMN(Q387)-COLUMN($E$5),4)&gt;0,INDEX('Surface DEET'!$Q$9:$W$38,COLUMN(Q387)-COLUMN($E$5),4),$E394),0)</f>
        <v>0</v>
      </c>
      <c r="R394" s="281">
        <f>IF(R$6=$C394,IF(INDEX('Surface DEET'!$Q$9:$W$38,COLUMN(R387)-COLUMN($E$5),4)&gt;0,INDEX('Surface DEET'!$Q$9:$W$38,COLUMN(R387)-COLUMN($E$5),4),$E394),0)</f>
        <v>0</v>
      </c>
      <c r="S394" s="281">
        <f>IF(S$6=$C394,IF(INDEX('Surface DEET'!$Q$9:$W$38,COLUMN(S387)-COLUMN($E$5),4)&gt;0,INDEX('Surface DEET'!$Q$9:$W$38,COLUMN(S387)-COLUMN($E$5),4),$E394),0)</f>
        <v>0</v>
      </c>
      <c r="T394" s="281">
        <f>IF(T$6=$C394,IF(INDEX('Surface DEET'!$Q$9:$W$38,COLUMN(T387)-COLUMN($E$5),4)&gt;0,INDEX('Surface DEET'!$Q$9:$W$38,COLUMN(T387)-COLUMN($E$5),4),$E394),0)</f>
        <v>0</v>
      </c>
      <c r="U394" s="281">
        <f>IF(U$6=$C394,IF(INDEX('Surface DEET'!$Q$9:$W$38,COLUMN(U387)-COLUMN($E$5),4)&gt;0,INDEX('Surface DEET'!$Q$9:$W$38,COLUMN(U387)-COLUMN($E$5),4),$E394),0)</f>
        <v>0</v>
      </c>
      <c r="V394" s="281">
        <f>IF(V$6=$C394,IF(INDEX('Surface DEET'!$Q$9:$W$38,COLUMN(V387)-COLUMN($E$5),4)&gt;0,INDEX('Surface DEET'!$Q$9:$W$38,COLUMN(V387)-COLUMN($E$5),4),$E394),0)</f>
        <v>0</v>
      </c>
      <c r="W394" s="281">
        <f>IF(W$6=$C394,IF(INDEX('Surface DEET'!$Q$9:$W$38,COLUMN(W387)-COLUMN($E$5),4)&gt;0,INDEX('Surface DEET'!$Q$9:$W$38,COLUMN(W387)-COLUMN($E$5),4),$E394),0)</f>
        <v>0</v>
      </c>
      <c r="X394" s="281">
        <f>IF(X$6=$C394,IF(INDEX('Surface DEET'!$Q$9:$W$38,COLUMN(X387)-COLUMN($E$5),4)&gt;0,INDEX('Surface DEET'!$Q$9:$W$38,COLUMN(X387)-COLUMN($E$5),4),$E394),0)</f>
        <v>0</v>
      </c>
      <c r="Y394" s="281">
        <f>IF(Y$6=$C394,IF(INDEX('Surface DEET'!$Q$9:$W$38,COLUMN(Y387)-COLUMN($E$5),4)&gt;0,INDEX('Surface DEET'!$Q$9:$W$38,COLUMN(Y387)-COLUMN($E$5),4),$E394),0)</f>
        <v>0</v>
      </c>
      <c r="Z394" s="281">
        <f>IF(Z$6=$C394,IF(INDEX('Surface DEET'!$Q$9:$W$38,COLUMN(Z387)-COLUMN($E$5),4)&gt;0,INDEX('Surface DEET'!$Q$9:$W$38,COLUMN(Z387)-COLUMN($E$5),4),$E394),0)</f>
        <v>0</v>
      </c>
      <c r="AA394" s="281">
        <f>IF(AA$6=$C394,IF(INDEX('Surface DEET'!$Q$9:$W$38,COLUMN(AA387)-COLUMN($E$5),4)&gt;0,INDEX('Surface DEET'!$Q$9:$W$38,COLUMN(AA387)-COLUMN($E$5),4),$E394),0)</f>
        <v>0</v>
      </c>
      <c r="AB394" s="281">
        <f>IF(AB$6=$C394,IF(INDEX('Surface DEET'!$Q$9:$W$38,COLUMN(AB387)-COLUMN($E$5),4)&gt;0,INDEX('Surface DEET'!$Q$9:$W$38,COLUMN(AB387)-COLUMN($E$5),4),$E394),0)</f>
        <v>0</v>
      </c>
      <c r="AC394" s="281">
        <f>IF(AC$6=$C394,IF(INDEX('Surface DEET'!$Q$9:$W$38,COLUMN(AC387)-COLUMN($E$5),4)&gt;0,INDEX('Surface DEET'!$Q$9:$W$38,COLUMN(AC387)-COLUMN($E$5),4),$E394),0)</f>
        <v>0</v>
      </c>
      <c r="AD394" s="281">
        <f>IF(AD$6=$C394,IF(INDEX('Surface DEET'!$Q$9:$W$38,COLUMN(AD387)-COLUMN($E$5),4)&gt;0,INDEX('Surface DEET'!$Q$9:$W$38,COLUMN(AD387)-COLUMN($E$5),4),$E394),0)</f>
        <v>0</v>
      </c>
      <c r="AE394" s="281">
        <f>IF(AE$6=$C394,IF(INDEX('Surface DEET'!$Q$9:$W$38,COLUMN(AE387)-COLUMN($E$5),4)&gt;0,INDEX('Surface DEET'!$Q$9:$W$38,COLUMN(AE387)-COLUMN($E$5),4),$E394),0)</f>
        <v>0</v>
      </c>
      <c r="AF394" s="281">
        <f>IF(AF$6=$C394,IF(INDEX('Surface DEET'!$Q$9:$W$38,COLUMN(AF387)-COLUMN($E$5),4)&gt;0,INDEX('Surface DEET'!$Q$9:$W$38,COLUMN(AF387)-COLUMN($E$5),4),$E394),0)</f>
        <v>0</v>
      </c>
      <c r="AG394" s="281">
        <f>IF(AG$6=$C394,IF(INDEX('Surface DEET'!$Q$9:$W$38,COLUMN(AG387)-COLUMN($E$5),4)&gt;0,INDEX('Surface DEET'!$Q$9:$W$38,COLUMN(AG387)-COLUMN($E$5),4),$E394),0)</f>
        <v>0</v>
      </c>
      <c r="AH394" s="281">
        <f>IF(AH$6=$C394,IF(INDEX('Surface DEET'!$Q$9:$W$38,COLUMN(AH387)-COLUMN($E$5),4)&gt;0,INDEX('Surface DEET'!$Q$9:$W$38,COLUMN(AH387)-COLUMN($E$5),4),$E394),0)</f>
        <v>0</v>
      </c>
      <c r="AI394" s="281">
        <f>IF(AI$6=$C394,INDEX('Surface DEET'!$Q$9:$W$38,COLUMN(AI387)-COLUMN($E$5),4),0)</f>
        <v>0</v>
      </c>
    </row>
    <row r="395" spans="2:35">
      <c r="B395" s="281" t="s">
        <v>538</v>
      </c>
      <c r="C395" s="281" t="s">
        <v>690</v>
      </c>
      <c r="D395" s="281" t="s">
        <v>538</v>
      </c>
      <c r="F395" s="281">
        <f>$E$390*($E$392*(F394/$E$394)+(1-$E$392)*(F393/$E$393))+0.28*$E$389*(F393-$E393)/$E$393</f>
        <v>-16.8</v>
      </c>
      <c r="G395" s="281">
        <f t="shared" ref="G395:AI395" si="48">$E$390*($E$392*(G394/$E$394)+(1-$E$392)*(G393/$E$393))+0.28*$E$389*(G393-$E393)/$E$393</f>
        <v>-16.8</v>
      </c>
      <c r="H395" s="281">
        <f t="shared" si="48"/>
        <v>-16.8</v>
      </c>
      <c r="I395" s="281">
        <f t="shared" si="48"/>
        <v>-16.8</v>
      </c>
      <c r="J395" s="281">
        <f t="shared" si="48"/>
        <v>-16.8</v>
      </c>
      <c r="K395" s="281">
        <f t="shared" si="48"/>
        <v>-16.8</v>
      </c>
      <c r="L395" s="281">
        <f t="shared" si="48"/>
        <v>-16.8</v>
      </c>
      <c r="M395" s="281">
        <f t="shared" si="48"/>
        <v>-16.8</v>
      </c>
      <c r="N395" s="281">
        <f t="shared" si="48"/>
        <v>-16.8</v>
      </c>
      <c r="O395" s="281">
        <f t="shared" si="48"/>
        <v>-16.8</v>
      </c>
      <c r="P395" s="281">
        <f t="shared" si="48"/>
        <v>-16.8</v>
      </c>
      <c r="Q395" s="281">
        <f t="shared" si="48"/>
        <v>-16.8</v>
      </c>
      <c r="R395" s="281">
        <f t="shared" si="48"/>
        <v>-16.8</v>
      </c>
      <c r="S395" s="281">
        <f t="shared" si="48"/>
        <v>-16.8</v>
      </c>
      <c r="T395" s="281">
        <f t="shared" si="48"/>
        <v>-16.8</v>
      </c>
      <c r="U395" s="281">
        <f t="shared" si="48"/>
        <v>-16.8</v>
      </c>
      <c r="V395" s="281">
        <f t="shared" si="48"/>
        <v>-16.8</v>
      </c>
      <c r="W395" s="281">
        <f t="shared" si="48"/>
        <v>-16.8</v>
      </c>
      <c r="X395" s="281">
        <f t="shared" si="48"/>
        <v>-16.8</v>
      </c>
      <c r="Y395" s="281">
        <f t="shared" si="48"/>
        <v>-16.8</v>
      </c>
      <c r="Z395" s="281">
        <f t="shared" si="48"/>
        <v>-16.8</v>
      </c>
      <c r="AA395" s="281">
        <f t="shared" si="48"/>
        <v>-16.8</v>
      </c>
      <c r="AB395" s="281">
        <f t="shared" si="48"/>
        <v>-16.8</v>
      </c>
      <c r="AC395" s="281">
        <f t="shared" si="48"/>
        <v>-16.8</v>
      </c>
      <c r="AD395" s="281">
        <f t="shared" si="48"/>
        <v>-16.8</v>
      </c>
      <c r="AE395" s="281">
        <f t="shared" si="48"/>
        <v>-16.8</v>
      </c>
      <c r="AF395" s="281">
        <f t="shared" si="48"/>
        <v>-16.8</v>
      </c>
      <c r="AG395" s="281">
        <f t="shared" si="48"/>
        <v>-16.8</v>
      </c>
      <c r="AH395" s="281">
        <f t="shared" si="48"/>
        <v>-16.8</v>
      </c>
      <c r="AI395" s="281">
        <f t="shared" si="48"/>
        <v>-16.8</v>
      </c>
    </row>
  </sheetData>
  <mergeCells count="20">
    <mergeCell ref="A149:A156"/>
    <mergeCell ref="A157:A164"/>
    <mergeCell ref="A106:A113"/>
    <mergeCell ref="A114:A120"/>
    <mergeCell ref="A121:A128"/>
    <mergeCell ref="A129:A136"/>
    <mergeCell ref="A137:A142"/>
    <mergeCell ref="A143:A148"/>
    <mergeCell ref="A96:A105"/>
    <mergeCell ref="A10:A16"/>
    <mergeCell ref="A17:A23"/>
    <mergeCell ref="A24:A30"/>
    <mergeCell ref="A31:A38"/>
    <mergeCell ref="A39:A46"/>
    <mergeCell ref="A47:A53"/>
    <mergeCell ref="A54:A60"/>
    <mergeCell ref="A61:A70"/>
    <mergeCell ref="A72:A77"/>
    <mergeCell ref="A78:A84"/>
    <mergeCell ref="A85:A9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theme="5"/>
  </sheetPr>
  <dimension ref="A1:K57"/>
  <sheetViews>
    <sheetView zoomScale="115" zoomScaleNormal="115" workbookViewId="0">
      <selection activeCell="I3" sqref="I3"/>
    </sheetView>
  </sheetViews>
  <sheetFormatPr baseColWidth="10" defaultColWidth="0" defaultRowHeight="15" zeroHeight="1"/>
  <cols>
    <col min="1" max="1" width="10.42578125" customWidth="1"/>
    <col min="2" max="8" width="11.42578125" customWidth="1"/>
    <col min="9" max="9" width="12.5703125" customWidth="1"/>
    <col min="10" max="11" width="11.42578125" customWidth="1"/>
    <col min="12" max="16384" width="11.42578125" hidden="1"/>
  </cols>
  <sheetData>
    <row r="1" spans="1:11">
      <c r="A1" s="38"/>
      <c r="B1" s="38"/>
      <c r="C1" s="38"/>
      <c r="D1" s="38"/>
      <c r="E1" s="38"/>
      <c r="F1" s="38"/>
      <c r="G1" s="38"/>
      <c r="H1" s="38"/>
      <c r="I1" s="38"/>
      <c r="J1" s="38"/>
      <c r="K1" s="38"/>
    </row>
    <row r="2" spans="1:11">
      <c r="A2" s="38"/>
      <c r="B2" s="38"/>
      <c r="C2" s="38"/>
      <c r="D2" s="38"/>
      <c r="E2" s="38"/>
      <c r="F2" s="38"/>
      <c r="G2" s="38"/>
      <c r="H2" s="38"/>
      <c r="I2" s="38"/>
      <c r="J2" s="38"/>
      <c r="K2" s="38"/>
    </row>
    <row r="3" spans="1:11">
      <c r="A3" s="38"/>
      <c r="B3" s="106" t="s">
        <v>0</v>
      </c>
      <c r="C3" s="576">
        <f>Site!C2</f>
        <v>0</v>
      </c>
      <c r="D3" s="576"/>
      <c r="E3" s="576"/>
      <c r="F3" s="38"/>
      <c r="G3" s="105" t="s">
        <v>58</v>
      </c>
      <c r="H3" s="79">
        <f>'CALCUL DEET'!R14</f>
        <v>2025</v>
      </c>
      <c r="I3" s="485">
        <f>IFERROR(IF(VLOOKUP('Suivi DEET'!H3,DJU!$O$14:$Q$44,2,0)=12,0,"/!\ DJU Incomplets"),"/!\ DJU Incomplets")</f>
        <v>0</v>
      </c>
      <c r="J3" s="38"/>
      <c r="K3" s="38"/>
    </row>
    <row r="4" spans="1:11">
      <c r="A4" s="38"/>
      <c r="B4" s="38"/>
      <c r="C4" s="105" t="s">
        <v>56</v>
      </c>
      <c r="D4" s="79" t="str">
        <f>DJU!A2</f>
        <v>Le Mans</v>
      </c>
      <c r="E4" s="38"/>
      <c r="F4" s="38"/>
      <c r="G4" s="105" t="s">
        <v>59</v>
      </c>
      <c r="H4" s="79" t="str">
        <f>'CALCUL DEET'!C7</f>
        <v>Année</v>
      </c>
      <c r="I4" s="38"/>
      <c r="J4" s="38"/>
      <c r="K4" s="38"/>
    </row>
    <row r="5" spans="1:11">
      <c r="A5" s="38"/>
      <c r="B5" s="38"/>
      <c r="E5" s="38"/>
      <c r="F5" s="38"/>
      <c r="G5" s="38"/>
      <c r="H5" s="38"/>
      <c r="I5" s="38"/>
      <c r="J5" s="38"/>
      <c r="K5" s="38"/>
    </row>
    <row r="6" spans="1:11">
      <c r="A6" s="38"/>
      <c r="B6" s="38"/>
      <c r="E6" s="38"/>
      <c r="F6" s="38"/>
      <c r="G6" s="38"/>
      <c r="H6" s="38"/>
      <c r="I6" s="38"/>
      <c r="J6" s="38"/>
      <c r="K6" s="38"/>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38"/>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G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c r="A33" s="38"/>
      <c r="B33" s="38"/>
      <c r="C33" s="38"/>
      <c r="D33" s="38"/>
      <c r="E33" s="38"/>
      <c r="F33" s="38"/>
      <c r="G33" s="38"/>
      <c r="H33" s="38"/>
      <c r="I33" s="38"/>
      <c r="J33" s="38"/>
      <c r="K33" s="38"/>
    </row>
    <row r="49" customFormat="1" hidden="1"/>
    <row r="50" customFormat="1" hidden="1"/>
    <row r="51" customFormat="1" hidden="1"/>
    <row r="52" customFormat="1" hidden="1"/>
    <row r="53" customFormat="1" hidden="1"/>
    <row r="54" customFormat="1" hidden="1"/>
    <row r="55" customFormat="1" hidden="1"/>
    <row r="56" customFormat="1" hidden="1"/>
    <row r="57" customFormat="1" hidden="1"/>
  </sheetData>
  <sheetProtection sheet="1" objects="1" scenarios="1"/>
  <protectedRanges>
    <protectedRange sqref="C3:E3" name="Plage1"/>
  </protectedRanges>
  <mergeCells count="1">
    <mergeCell ref="C3:E3"/>
  </mergeCells>
  <conditionalFormatting sqref="I3">
    <cfRule type="cellIs" dxfId="20" priority="1" operator="notEqual">
      <formula>"/!\ DJU Incomplets"</formula>
    </cfRule>
    <cfRule type="cellIs" dxfId="19" priority="2" operator="equal">
      <formula>"/!\ DJU Incomplets"</formula>
    </cfRule>
  </conditionalFormatting>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1"/>
  <dimension ref="B2:W91"/>
  <sheetViews>
    <sheetView topLeftCell="A7" zoomScale="85" zoomScaleNormal="85" workbookViewId="0">
      <selection activeCell="R44" sqref="R44"/>
    </sheetView>
  </sheetViews>
  <sheetFormatPr baseColWidth="10" defaultColWidth="11.42578125" defaultRowHeight="15"/>
  <cols>
    <col min="2" max="2" width="18.85546875" customWidth="1"/>
    <col min="3" max="3" width="15.42578125" customWidth="1"/>
    <col min="4" max="4" width="12.7109375" bestFit="1" customWidth="1"/>
    <col min="5" max="5" width="14.7109375" customWidth="1"/>
    <col min="9" max="9" width="13" customWidth="1"/>
    <col min="15" max="15" width="11.42578125" customWidth="1"/>
    <col min="18" max="18" width="24.85546875" customWidth="1"/>
  </cols>
  <sheetData>
    <row r="2" spans="2:23">
      <c r="G2" t="s">
        <v>343</v>
      </c>
      <c r="H2" t="s">
        <v>344</v>
      </c>
    </row>
    <row r="3" spans="2:23">
      <c r="B3" t="s">
        <v>345</v>
      </c>
      <c r="F3" t="s">
        <v>72</v>
      </c>
      <c r="G3">
        <f>'CALCUL DEET'!V7</f>
        <v>2322.9499999999998</v>
      </c>
      <c r="H3">
        <f>'CALCUL DEET'!W7</f>
        <v>369.95</v>
      </c>
    </row>
    <row r="4" spans="2:23">
      <c r="B4" t="s">
        <v>346</v>
      </c>
    </row>
    <row r="5" spans="2:23">
      <c r="B5" t="s">
        <v>347</v>
      </c>
    </row>
    <row r="6" spans="2:23">
      <c r="B6" t="s">
        <v>348</v>
      </c>
      <c r="U6" s="385" t="s">
        <v>714</v>
      </c>
    </row>
    <row r="7" spans="2:23">
      <c r="B7" t="s">
        <v>349</v>
      </c>
      <c r="C7" t="str">
        <f>INDEX(Site!$B$7:$B$20,'CALCUL DEET'!$D$7,1)</f>
        <v>Année</v>
      </c>
      <c r="D7">
        <v>1</v>
      </c>
      <c r="Q7" t="s">
        <v>350</v>
      </c>
      <c r="U7" t="s">
        <v>711</v>
      </c>
      <c r="V7">
        <f>AVERAGE(V8:V27)</f>
        <v>2322.9499999999998</v>
      </c>
      <c r="W7" s="281">
        <f>AVERAGE(W8:W27)</f>
        <v>369.95</v>
      </c>
    </row>
    <row r="8" spans="2:23">
      <c r="Q8" t="s">
        <v>351</v>
      </c>
      <c r="R8" s="143">
        <f>ROUND(D39,1)</f>
        <v>0</v>
      </c>
      <c r="U8">
        <v>2001</v>
      </c>
      <c r="V8">
        <f>IFERROR(GETPIVOTDATA("DJU(chauffagiste)",DJU!$H$13,"annee",U8),"")</f>
        <v>2423</v>
      </c>
      <c r="W8">
        <f>IFERROR(GETPIVOTDATA("DJU(climaticien)",DJU!$L$13,"annee",U8),"")</f>
        <v>315</v>
      </c>
    </row>
    <row r="9" spans="2:23">
      <c r="D9" s="116">
        <f>IF(D10="",0,-30%)</f>
        <v>0</v>
      </c>
      <c r="E9" s="116">
        <f>IF(E10="",0,30%)</f>
        <v>0</v>
      </c>
      <c r="F9" s="116">
        <f>IF(F10="",0,-20%)</f>
        <v>0</v>
      </c>
      <c r="G9" s="116">
        <f>IF(G10="",0,20%)</f>
        <v>0</v>
      </c>
      <c r="H9" s="116">
        <f>IF(H10="",0,-30%)</f>
        <v>0</v>
      </c>
      <c r="I9" s="116">
        <f>IF(I10="",0,30%)</f>
        <v>0</v>
      </c>
      <c r="J9" s="116">
        <f>IF(J10="",0,-20%)</f>
        <v>0</v>
      </c>
      <c r="K9" s="116">
        <f>IF(K10="",0,20%)</f>
        <v>0</v>
      </c>
      <c r="L9" s="116">
        <f>IF(L10="",0,-30%)</f>
        <v>0</v>
      </c>
      <c r="M9" s="116">
        <f>IF(M10="",0,30%)</f>
        <v>0</v>
      </c>
      <c r="N9" s="116">
        <f>IF(N10="",0,-20%)</f>
        <v>0</v>
      </c>
      <c r="O9" s="116">
        <f>IF(O10="",0,20%)</f>
        <v>0</v>
      </c>
      <c r="Q9" t="s">
        <v>352</v>
      </c>
      <c r="R9">
        <f>R8*0.6</f>
        <v>0</v>
      </c>
      <c r="U9">
        <v>2002</v>
      </c>
      <c r="V9" s="383">
        <f>IFERROR(GETPIVOTDATA("DJU(chauffagiste)",DJU!$H$13,"annee",U9),"")</f>
        <v>2195</v>
      </c>
      <c r="W9" s="383">
        <f>IFERROR(GETPIVOTDATA("DJU(climaticien)",DJU!$L$13,"annee",U9),"")</f>
        <v>234</v>
      </c>
    </row>
    <row r="10" spans="2:23">
      <c r="E10" t="str">
        <f>IF(VLOOKUP('CALCUL DEET'!E11,Site!$B$8:$M$28,8,0)=0,"",VLOOKUP('CALCUL DEET'!E11,Site!$B$8:$M$28,8,0))</f>
        <v/>
      </c>
      <c r="F10" s="454" t="str">
        <f>IF(VLOOKUP('CALCUL DEET'!F11,Site!$B$8:$M$28,8,0)=0,"",VLOOKUP('CALCUL DEET'!F11,Site!$B$8:$M$28,8,0))</f>
        <v/>
      </c>
      <c r="G10" s="454" t="str">
        <f>IF(VLOOKUP('CALCUL DEET'!G11,Site!$B$8:$M$28,8,0)=0,"",VLOOKUP('CALCUL DEET'!G11,Site!$B$8:$M$28,8,0))</f>
        <v/>
      </c>
      <c r="H10" s="454" t="str">
        <f>IF(VLOOKUP('CALCUL DEET'!H11,Site!$B$8:$M$28,8,0)=0,"",VLOOKUP('CALCUL DEET'!H11,Site!$B$8:$M$28,8,0))</f>
        <v/>
      </c>
      <c r="I10" s="454" t="str">
        <f>IF(VLOOKUP('CALCUL DEET'!I11,Site!$B$8:$M$28,8,0)=0,"",VLOOKUP('CALCUL DEET'!I11,Site!$B$8:$M$28,8,0))</f>
        <v/>
      </c>
      <c r="J10" s="454" t="str">
        <f>IF(VLOOKUP('CALCUL DEET'!J11,Site!$B$8:$M$28,8,0)=0,"",VLOOKUP('CALCUL DEET'!J11,Site!$B$8:$M$28,8,0))</f>
        <v/>
      </c>
      <c r="K10" s="454" t="str">
        <f>IF(VLOOKUP('CALCUL DEET'!K11,Site!$B$8:$M$28,8,0)=0,"",VLOOKUP('CALCUL DEET'!K11,Site!$B$8:$M$28,8,0))</f>
        <v/>
      </c>
      <c r="L10" s="454" t="str">
        <f>IF(VLOOKUP('CALCUL DEET'!L11,Site!$B$8:$M$28,8,0)=0,"",VLOOKUP('CALCUL DEET'!L11,Site!$B$8:$M$28,8,0))</f>
        <v/>
      </c>
      <c r="M10" s="454" t="str">
        <f>IF(VLOOKUP('CALCUL DEET'!M11,Site!$B$8:$M$28,8,0)=0,"",VLOOKUP('CALCUL DEET'!M11,Site!$B$8:$M$28,8,0))</f>
        <v/>
      </c>
      <c r="N10" s="454" t="str">
        <f>IF(VLOOKUP('CALCUL DEET'!N11,Site!$B$8:$M$28,8,0)=0,"",VLOOKUP('CALCUL DEET'!N11,Site!$B$8:$M$28,8,0))</f>
        <v/>
      </c>
      <c r="O10" s="454" t="str">
        <f>IF(VLOOKUP('CALCUL DEET'!O11,Site!$B$8:$M$28,8,0)=0,"",VLOOKUP('CALCUL DEET'!O11,Site!$B$8:$M$28,8,0))</f>
        <v/>
      </c>
      <c r="Q10" t="s">
        <v>353</v>
      </c>
      <c r="R10">
        <f>R8*0.5</f>
        <v>0</v>
      </c>
      <c r="U10" s="383">
        <v>2003</v>
      </c>
      <c r="V10" s="383">
        <f>IFERROR(GETPIVOTDATA("DJU(chauffagiste)",DJU!$H$13,"annee",U10),"")</f>
        <v>2384</v>
      </c>
      <c r="W10" s="383">
        <f>IFERROR(GETPIVOTDATA("DJU(climaticien)",DJU!$L$13,"annee",U10),"")</f>
        <v>517</v>
      </c>
    </row>
    <row r="11" spans="2:23">
      <c r="B11" s="31" t="s">
        <v>7</v>
      </c>
      <c r="D11" t="str">
        <f>C7</f>
        <v>Année</v>
      </c>
      <c r="E11">
        <v>2020</v>
      </c>
      <c r="F11">
        <v>2021</v>
      </c>
      <c r="G11">
        <v>2022</v>
      </c>
      <c r="H11">
        <v>2023</v>
      </c>
      <c r="I11">
        <v>2024</v>
      </c>
      <c r="J11">
        <v>2025</v>
      </c>
      <c r="K11">
        <v>2026</v>
      </c>
      <c r="L11">
        <v>2027</v>
      </c>
      <c r="M11">
        <v>2028</v>
      </c>
      <c r="N11">
        <v>2029</v>
      </c>
      <c r="O11">
        <v>2030</v>
      </c>
      <c r="Q11" t="s">
        <v>354</v>
      </c>
      <c r="R11">
        <f>R8*0.4</f>
        <v>0</v>
      </c>
      <c r="U11" s="383">
        <v>2004</v>
      </c>
      <c r="V11" s="383">
        <f>IFERROR(GETPIVOTDATA("DJU(chauffagiste)",DJU!$H$13,"annee",U11),"")</f>
        <v>2472</v>
      </c>
      <c r="W11" s="383">
        <f>IFERROR(GETPIVOTDATA("DJU(climaticien)",DJU!$L$13,"annee",U11),"")</f>
        <v>341</v>
      </c>
    </row>
    <row r="12" spans="2:23">
      <c r="B12" s="577" t="s">
        <v>27</v>
      </c>
      <c r="C12" t="s">
        <v>28</v>
      </c>
      <c r="D12">
        <f>IFERROR(GETPIVOTDATA("[Measures].[Somme de Conso_kWh_PCI]",TCD_Conso!$B$3,"[Tab_concat].[Type]","[Tab_concat].[Type].&amp;[Consommation]","[Tab_concat].[Detail usage]","[Tab_concat].[Detail usage].&amp;["&amp;$C12&amp;"]","[Tab_concat].[Annee]","[Tab_concat].[Annee].&amp;["&amp;D$11&amp;"]"),0)</f>
        <v>0</v>
      </c>
      <c r="E12" s="436">
        <f>IFERROR(GETPIVOTDATA("[Measures].[Somme de Conso_kWh_PCI]",TCD_Conso!$B$3,"[Tab_concat].[Type]","[Tab_concat].[Type].&amp;[Consommation]","[Tab_concat].[Detail usage]","[Tab_concat].[Detail usage].&amp;["&amp;$C12&amp;"]","[Tab_concat].[Annee]","[Tab_concat].[Annee].&amp;["&amp;E$11&amp;"]"),0)</f>
        <v>0</v>
      </c>
      <c r="F12" s="436">
        <f>IFERROR(GETPIVOTDATA("[Measures].[Somme de Conso_kWh_PCI]",TCD_Conso!$B$3,"[Tab_concat].[Type]","[Tab_concat].[Type].&amp;[Consommation]","[Tab_concat].[Detail usage]","[Tab_concat].[Detail usage].&amp;["&amp;$C12&amp;"]","[Tab_concat].[Annee]","[Tab_concat].[Annee].&amp;["&amp;F$11&amp;"]"),0)</f>
        <v>0</v>
      </c>
      <c r="G12" s="436">
        <f>IFERROR(GETPIVOTDATA("[Measures].[Somme de Conso_kWh_PCI]",TCD_Conso!$B$3,"[Tab_concat].[Type]","[Tab_concat].[Type].&amp;[Consommation]","[Tab_concat].[Detail usage]","[Tab_concat].[Detail usage].&amp;["&amp;$C12&amp;"]","[Tab_concat].[Annee]","[Tab_concat].[Annee].&amp;["&amp;G$11&amp;"]"),0)</f>
        <v>0</v>
      </c>
      <c r="H12" s="436">
        <f>IFERROR(GETPIVOTDATA("[Measures].[Somme de Conso_kWh_PCI]",TCD_Conso!$B$3,"[Tab_concat].[Type]","[Tab_concat].[Type].&amp;[Consommation]","[Tab_concat].[Detail usage]","[Tab_concat].[Detail usage].&amp;["&amp;$C12&amp;"]","[Tab_concat].[Annee]","[Tab_concat].[Annee].&amp;["&amp;H$11&amp;"]"),0)</f>
        <v>0</v>
      </c>
      <c r="I12" s="436">
        <f>IFERROR(GETPIVOTDATA("[Measures].[Somme de Conso_kWh_PCI]",TCD_Conso!$B$3,"[Tab_concat].[Type]","[Tab_concat].[Type].&amp;[Consommation]","[Tab_concat].[Detail usage]","[Tab_concat].[Detail usage].&amp;["&amp;$C12&amp;"]","[Tab_concat].[Annee]","[Tab_concat].[Annee].&amp;["&amp;I$11&amp;"]"),0)</f>
        <v>0</v>
      </c>
      <c r="J12" s="436">
        <f>IFERROR(GETPIVOTDATA("[Measures].[Somme de Conso_kWh_PCI]",TCD_Conso!$B$3,"[Tab_concat].[Type]","[Tab_concat].[Type].&amp;[Consommation]","[Tab_concat].[Detail usage]","[Tab_concat].[Detail usage].&amp;["&amp;$C12&amp;"]","[Tab_concat].[Annee]","[Tab_concat].[Annee].&amp;["&amp;J$11&amp;"]"),0)</f>
        <v>0</v>
      </c>
      <c r="K12" s="436">
        <f>IFERROR(GETPIVOTDATA("[Measures].[Somme de Conso_kWh_PCI]",TCD_Conso!$B$3,"[Tab_concat].[Type]","[Tab_concat].[Type].&amp;[Consommation]","[Tab_concat].[Detail usage]","[Tab_concat].[Detail usage].&amp;["&amp;$C12&amp;"]","[Tab_concat].[Annee]","[Tab_concat].[Annee].&amp;["&amp;K$11&amp;"]"),0)</f>
        <v>0</v>
      </c>
      <c r="L12" s="436">
        <f>IFERROR(GETPIVOTDATA("[Measures].[Somme de Conso_kWh_PCI]",TCD_Conso!$B$3,"[Tab_concat].[Type]","[Tab_concat].[Type].&amp;[Consommation]","[Tab_concat].[Detail usage]","[Tab_concat].[Detail usage].&amp;["&amp;$C12&amp;"]","[Tab_concat].[Annee]","[Tab_concat].[Annee].&amp;["&amp;L$11&amp;"]"),0)</f>
        <v>0</v>
      </c>
      <c r="M12" s="436">
        <f>IFERROR(GETPIVOTDATA("[Measures].[Somme de Conso_kWh_PCI]",TCD_Conso!$B$3,"[Tab_concat].[Type]","[Tab_concat].[Type].&amp;[Consommation]","[Tab_concat].[Detail usage]","[Tab_concat].[Detail usage].&amp;["&amp;$C12&amp;"]","[Tab_concat].[Annee]","[Tab_concat].[Annee].&amp;["&amp;M$11&amp;"]"),0)</f>
        <v>0</v>
      </c>
      <c r="N12" s="436">
        <f>IFERROR(GETPIVOTDATA("[Measures].[Somme de Conso_kWh_PCI]",TCD_Conso!$B$3,"[Tab_concat].[Type]","[Tab_concat].[Type].&amp;[Consommation]","[Tab_concat].[Detail usage]","[Tab_concat].[Detail usage].&amp;["&amp;$C12&amp;"]","[Tab_concat].[Annee]","[Tab_concat].[Annee].&amp;["&amp;N$11&amp;"]"),0)</f>
        <v>0</v>
      </c>
      <c r="O12" s="436">
        <f>IFERROR(GETPIVOTDATA("[Measures].[Somme de Conso_kWh_PCI]",TCD_Conso!$B$3,"[Tab_concat].[Type]","[Tab_concat].[Type].&amp;[Consommation]","[Tab_concat].[Detail usage]","[Tab_concat].[Detail usage].&amp;["&amp;$C12&amp;"]","[Tab_concat].[Annee]","[Tab_concat].[Annee].&amp;["&amp;O$11&amp;"]"),0)</f>
        <v>0</v>
      </c>
      <c r="U12" s="383">
        <v>2005</v>
      </c>
      <c r="V12" s="383">
        <f>IFERROR(GETPIVOTDATA("DJU(chauffagiste)",DJU!$H$13,"annee",U12),"")</f>
        <v>2428</v>
      </c>
      <c r="W12" s="383">
        <f>IFERROR(GETPIVOTDATA("DJU(climaticien)",DJU!$L$13,"annee",U12),"")</f>
        <v>414</v>
      </c>
    </row>
    <row r="13" spans="2:23">
      <c r="B13" s="578"/>
      <c r="C13" t="s">
        <v>153</v>
      </c>
      <c r="D13" s="436">
        <f>IFERROR(GETPIVOTDATA("[Measures].[Somme de Conso_kWh_PCI]",TCD_Conso!$B$3,"[Tab_concat].[Type]","[Tab_concat].[Type].&amp;[Consommation]","[Tab_concat].[Detail usage]","[Tab_concat].[Detail usage].&amp;["&amp;$C13&amp;"]","[Tab_concat].[Annee]","[Tab_concat].[Annee].&amp;["&amp;D$11&amp;"]"),0)</f>
        <v>0</v>
      </c>
      <c r="E13" s="436">
        <f>IFERROR(GETPIVOTDATA("[Measures].[Somme de Conso_kWh_PCI]",TCD_Conso!$B$3,"[Tab_concat].[Type]","[Tab_concat].[Type].&amp;[Consommation]","[Tab_concat].[Detail usage]","[Tab_concat].[Detail usage].&amp;["&amp;$C13&amp;"]","[Tab_concat].[Annee]","[Tab_concat].[Annee].&amp;["&amp;E$11&amp;"]"),0)</f>
        <v>0</v>
      </c>
      <c r="F13" s="436">
        <f>IFERROR(GETPIVOTDATA("[Measures].[Somme de Conso_kWh_PCI]",TCD_Conso!$B$3,"[Tab_concat].[Type]","[Tab_concat].[Type].&amp;[Consommation]","[Tab_concat].[Detail usage]","[Tab_concat].[Detail usage].&amp;["&amp;$C13&amp;"]","[Tab_concat].[Annee]","[Tab_concat].[Annee].&amp;["&amp;F$11&amp;"]"),0)</f>
        <v>0</v>
      </c>
      <c r="G13" s="436">
        <f>IFERROR(GETPIVOTDATA("[Measures].[Somme de Conso_kWh_PCI]",TCD_Conso!$B$3,"[Tab_concat].[Type]","[Tab_concat].[Type].&amp;[Consommation]","[Tab_concat].[Detail usage]","[Tab_concat].[Detail usage].&amp;["&amp;$C13&amp;"]","[Tab_concat].[Annee]","[Tab_concat].[Annee].&amp;["&amp;G$11&amp;"]"),0)</f>
        <v>0</v>
      </c>
      <c r="H13" s="436">
        <f>IFERROR(GETPIVOTDATA("[Measures].[Somme de Conso_kWh_PCI]",TCD_Conso!$B$3,"[Tab_concat].[Type]","[Tab_concat].[Type].&amp;[Consommation]","[Tab_concat].[Detail usage]","[Tab_concat].[Detail usage].&amp;["&amp;$C13&amp;"]","[Tab_concat].[Annee]","[Tab_concat].[Annee].&amp;["&amp;H$11&amp;"]"),0)</f>
        <v>0</v>
      </c>
      <c r="I13" s="436">
        <f>IFERROR(GETPIVOTDATA("[Measures].[Somme de Conso_kWh_PCI]",TCD_Conso!$B$3,"[Tab_concat].[Type]","[Tab_concat].[Type].&amp;[Consommation]","[Tab_concat].[Detail usage]","[Tab_concat].[Detail usage].&amp;["&amp;$C13&amp;"]","[Tab_concat].[Annee]","[Tab_concat].[Annee].&amp;["&amp;I$11&amp;"]"),0)</f>
        <v>0</v>
      </c>
      <c r="J13" s="436">
        <f>IFERROR(GETPIVOTDATA("[Measures].[Somme de Conso_kWh_PCI]",TCD_Conso!$B$3,"[Tab_concat].[Type]","[Tab_concat].[Type].&amp;[Consommation]","[Tab_concat].[Detail usage]","[Tab_concat].[Detail usage].&amp;["&amp;$C13&amp;"]","[Tab_concat].[Annee]","[Tab_concat].[Annee].&amp;["&amp;J$11&amp;"]"),0)</f>
        <v>0</v>
      </c>
      <c r="K13" s="436">
        <f>IFERROR(GETPIVOTDATA("[Measures].[Somme de Conso_kWh_PCI]",TCD_Conso!$B$3,"[Tab_concat].[Type]","[Tab_concat].[Type].&amp;[Consommation]","[Tab_concat].[Detail usage]","[Tab_concat].[Detail usage].&amp;["&amp;$C13&amp;"]","[Tab_concat].[Annee]","[Tab_concat].[Annee].&amp;["&amp;K$11&amp;"]"),0)</f>
        <v>0</v>
      </c>
      <c r="L13" s="436">
        <f>IFERROR(GETPIVOTDATA("[Measures].[Somme de Conso_kWh_PCI]",TCD_Conso!$B$3,"[Tab_concat].[Type]","[Tab_concat].[Type].&amp;[Consommation]","[Tab_concat].[Detail usage]","[Tab_concat].[Detail usage].&amp;["&amp;$C13&amp;"]","[Tab_concat].[Annee]","[Tab_concat].[Annee].&amp;["&amp;L$11&amp;"]"),0)</f>
        <v>0</v>
      </c>
      <c r="M13" s="436">
        <f>IFERROR(GETPIVOTDATA("[Measures].[Somme de Conso_kWh_PCI]",TCD_Conso!$B$3,"[Tab_concat].[Type]","[Tab_concat].[Type].&amp;[Consommation]","[Tab_concat].[Detail usage]","[Tab_concat].[Detail usage].&amp;["&amp;$C13&amp;"]","[Tab_concat].[Annee]","[Tab_concat].[Annee].&amp;["&amp;M$11&amp;"]"),0)</f>
        <v>0</v>
      </c>
      <c r="N13" s="436">
        <f>IFERROR(GETPIVOTDATA("[Measures].[Somme de Conso_kWh_PCI]",TCD_Conso!$B$3,"[Tab_concat].[Type]","[Tab_concat].[Type].&amp;[Consommation]","[Tab_concat].[Detail usage]","[Tab_concat].[Detail usage].&amp;["&amp;$C13&amp;"]","[Tab_concat].[Annee]","[Tab_concat].[Annee].&amp;["&amp;N$11&amp;"]"),0)</f>
        <v>0</v>
      </c>
      <c r="O13" s="436">
        <f>IFERROR(GETPIVOTDATA("[Measures].[Somme de Conso_kWh_PCI]",TCD_Conso!$B$3,"[Tab_concat].[Type]","[Tab_concat].[Type].&amp;[Consommation]","[Tab_concat].[Detail usage]","[Tab_concat].[Detail usage].&amp;["&amp;$C13&amp;"]","[Tab_concat].[Annee]","[Tab_concat].[Annee].&amp;["&amp;O$11&amp;"]"),0)</f>
        <v>0</v>
      </c>
      <c r="Q13" t="s">
        <v>355</v>
      </c>
      <c r="R13">
        <v>6</v>
      </c>
      <c r="U13" s="383">
        <v>2006</v>
      </c>
      <c r="V13" s="383">
        <f>IFERROR(GETPIVOTDATA("DJU(chauffagiste)",DJU!$H$13,"annee",U13),"")</f>
        <v>2355</v>
      </c>
      <c r="W13" s="383">
        <f>IFERROR(GETPIVOTDATA("DJU(climaticien)",DJU!$L$13,"annee",U13),"")</f>
        <v>454</v>
      </c>
    </row>
    <row r="14" spans="2:23">
      <c r="B14" s="578"/>
      <c r="C14" s="32" t="s">
        <v>356</v>
      </c>
      <c r="D14">
        <f>IFERROR(D12-D13,"")</f>
        <v>0</v>
      </c>
      <c r="E14">
        <f t="shared" ref="E14:O14" si="0">IFERROR(E12-E13,"")</f>
        <v>0</v>
      </c>
      <c r="F14">
        <f t="shared" si="0"/>
        <v>0</v>
      </c>
      <c r="G14">
        <f t="shared" si="0"/>
        <v>0</v>
      </c>
      <c r="H14">
        <f t="shared" si="0"/>
        <v>0</v>
      </c>
      <c r="I14">
        <f t="shared" si="0"/>
        <v>0</v>
      </c>
      <c r="J14">
        <f t="shared" si="0"/>
        <v>0</v>
      </c>
      <c r="K14">
        <f t="shared" si="0"/>
        <v>0</v>
      </c>
      <c r="L14">
        <f t="shared" si="0"/>
        <v>0</v>
      </c>
      <c r="M14">
        <f t="shared" si="0"/>
        <v>0</v>
      </c>
      <c r="N14">
        <f t="shared" si="0"/>
        <v>0</v>
      </c>
      <c r="O14">
        <f t="shared" si="0"/>
        <v>0</v>
      </c>
      <c r="Q14" t="s">
        <v>357</v>
      </c>
      <c r="R14">
        <f>INDEX(E11:J11,1,R13)</f>
        <v>2025</v>
      </c>
      <c r="U14" s="383">
        <v>2007</v>
      </c>
      <c r="V14" s="383">
        <f>IFERROR(GETPIVOTDATA("DJU(chauffagiste)",DJU!$H$13,"annee",U14),"")</f>
        <v>2261</v>
      </c>
      <c r="W14" s="383">
        <f>IFERROR(GETPIVOTDATA("DJU(climaticien)",DJU!$L$13,"annee",U14),"")</f>
        <v>229</v>
      </c>
    </row>
    <row r="15" spans="2:23" ht="15" customHeight="1">
      <c r="B15" s="579" t="s">
        <v>358</v>
      </c>
      <c r="C15" s="32" t="s">
        <v>359</v>
      </c>
      <c r="D15" t="e">
        <f>ROUND(GETPIVOTDATA("Somme de DJU(chauffagiste)",DJU!$H$13,"annee",D11),0)</f>
        <v>#REF!</v>
      </c>
      <c r="E15">
        <f>ROUND(GETPIVOTDATA("Somme de DJU(chauffagiste)",DJU!$H$13,"annee",E11),0)</f>
        <v>1971</v>
      </c>
      <c r="F15">
        <f>ROUND(GETPIVOTDATA("Somme de DJU(chauffagiste)",DJU!$H$13,"annee",F11),0)</f>
        <v>2380</v>
      </c>
      <c r="G15">
        <f>ROUND(GETPIVOTDATA("Somme de DJU(chauffagiste)",DJU!$H$13,"annee",G11),0)</f>
        <v>2014</v>
      </c>
      <c r="H15">
        <f>ROUND(GETPIVOTDATA("Somme de DJU(chauffagiste)",DJU!$H$13,"annee",H11),0)</f>
        <v>1959</v>
      </c>
      <c r="I15">
        <f>ROUND(GETPIVOTDATA("Somme de DJU(chauffagiste)",DJU!$H$13,"annee",I11),0)</f>
        <v>2090</v>
      </c>
      <c r="J15">
        <f>ROUND(GETPIVOTDATA("Somme de DJU(chauffagiste)",DJU!$H$13,"annee",J11),0)</f>
        <v>2046</v>
      </c>
      <c r="K15">
        <f>ROUND(GETPIVOTDATA("Somme de DJU(chauffagiste)",DJU!$H$13,"annee",K11),0)</f>
        <v>567</v>
      </c>
      <c r="L15" t="e">
        <f>ROUND(GETPIVOTDATA("Somme de DJU(chauffagiste)",DJU!$H$13,"annee",L11),0)</f>
        <v>#REF!</v>
      </c>
      <c r="M15" t="e">
        <f>ROUND(GETPIVOTDATA("Somme de DJU(chauffagiste)",DJU!$H$13,"annee",M11),0)</f>
        <v>#REF!</v>
      </c>
      <c r="N15" t="e">
        <f>ROUND(GETPIVOTDATA("Somme de DJU(chauffagiste)",DJU!$H$13,"annee",N11),0)</f>
        <v>#REF!</v>
      </c>
      <c r="O15" t="e">
        <f>ROUND(GETPIVOTDATA("Somme de DJU(chauffagiste)",DJU!$H$13,"annee",O11),0)</f>
        <v>#REF!</v>
      </c>
      <c r="Q15" t="s">
        <v>360</v>
      </c>
      <c r="R15">
        <f>INDEX($E$11:$J$47,22,$R$13)</f>
        <v>0</v>
      </c>
      <c r="U15" s="383">
        <v>2008</v>
      </c>
      <c r="V15" s="383">
        <f>IFERROR(GETPIVOTDATA("DJU(chauffagiste)",DJU!$H$13,"annee",U15),"")</f>
        <v>2436</v>
      </c>
      <c r="W15" s="383">
        <f>IFERROR(GETPIVOTDATA("DJU(climaticien)",DJU!$L$13,"annee",U15),"")</f>
        <v>262</v>
      </c>
    </row>
    <row r="16" spans="2:23" ht="15" customHeight="1">
      <c r="B16" s="579"/>
      <c r="C16" s="32" t="s">
        <v>13</v>
      </c>
      <c r="D16" t="e">
        <f>VLOOKUP(D11,Site!$B$8:$H$23,7,FALSE)</f>
        <v>#N/A</v>
      </c>
      <c r="E16" t="str">
        <f>VLOOKUP(E11,Site!$B$8:$H$23,7,FALSE)</f>
        <v/>
      </c>
      <c r="F16" t="str">
        <f>VLOOKUP(F11,Site!$B$8:$H$23,7,FALSE)</f>
        <v/>
      </c>
      <c r="G16" t="str">
        <f>VLOOKUP(G11,Site!$B$8:$H$23,7,FALSE)</f>
        <v/>
      </c>
      <c r="H16" t="str">
        <f>VLOOKUP(H11,Site!$B$8:$H$23,7,FALSE)</f>
        <v/>
      </c>
      <c r="I16" t="str">
        <f>VLOOKUP(I11,Site!$B$8:$H$23,7,FALSE)</f>
        <v/>
      </c>
      <c r="J16" t="str">
        <f>VLOOKUP(J11,Site!$B$8:$H$23,7,FALSE)</f>
        <v/>
      </c>
      <c r="K16" t="e">
        <f>VLOOKUP(K11,Site!$B$8:$H$23,7,FALSE)</f>
        <v>#N/A</v>
      </c>
      <c r="L16" t="e">
        <f>VLOOKUP(L11,Site!$B$8:$H$23,7,FALSE)</f>
        <v>#N/A</v>
      </c>
      <c r="M16" t="e">
        <f>VLOOKUP(M11,Site!$B$8:$H$23,7,FALSE)</f>
        <v>#N/A</v>
      </c>
      <c r="N16" t="e">
        <f>VLOOKUP(N11,Site!$B$8:$H$23,7,FALSE)</f>
        <v>#N/A</v>
      </c>
      <c r="O16" t="e">
        <f>VLOOKUP(O11,Site!$B$8:$H$23,7,FALSE)</f>
        <v>#N/A</v>
      </c>
      <c r="U16" s="383">
        <v>2009</v>
      </c>
      <c r="V16" s="383">
        <f>IFERROR(GETPIVOTDATA("DJU(chauffagiste)",DJU!$H$13,"annee",U16),"")</f>
        <v>2448</v>
      </c>
      <c r="W16" s="383">
        <f>IFERROR(GETPIVOTDATA("DJU(climaticien)",DJU!$L$13,"annee",U16),"")</f>
        <v>359</v>
      </c>
    </row>
    <row r="17" spans="2:23" ht="15" customHeight="1">
      <c r="B17" s="579"/>
      <c r="C17" s="32" t="s">
        <v>361</v>
      </c>
      <c r="D17">
        <f>Controle_des_données!$B$34</f>
        <v>2.4699999999999999E-4</v>
      </c>
      <c r="E17">
        <f>Controle_des_données!$B$34</f>
        <v>2.4699999999999999E-4</v>
      </c>
      <c r="F17">
        <f>Controle_des_données!$B$34</f>
        <v>2.4699999999999999E-4</v>
      </c>
      <c r="G17">
        <f>Controle_des_données!$B$34</f>
        <v>2.4699999999999999E-4</v>
      </c>
      <c r="H17">
        <f>Controle_des_données!$B$34</f>
        <v>2.4699999999999999E-4</v>
      </c>
      <c r="I17">
        <f>Controle_des_données!$B$34</f>
        <v>2.4699999999999999E-4</v>
      </c>
      <c r="J17">
        <f>Controle_des_données!$B$34</f>
        <v>2.4699999999999999E-4</v>
      </c>
      <c r="K17">
        <f>Controle_des_données!$B$34</f>
        <v>2.4699999999999999E-4</v>
      </c>
      <c r="L17">
        <f>Controle_des_données!$B$34</f>
        <v>2.4699999999999999E-4</v>
      </c>
      <c r="M17">
        <f>Controle_des_données!$B$34</f>
        <v>2.4699999999999999E-4</v>
      </c>
      <c r="N17">
        <f>Controle_des_données!$B$34</f>
        <v>2.4699999999999999E-4</v>
      </c>
      <c r="O17">
        <f>Controle_des_données!$B$34</f>
        <v>2.4699999999999999E-4</v>
      </c>
      <c r="U17" s="383">
        <v>2010</v>
      </c>
      <c r="V17" s="383">
        <f>IFERROR(GETPIVOTDATA("DJU(chauffagiste)",DJU!$H$13,"annee",U17),"")</f>
        <v>2751</v>
      </c>
      <c r="W17" s="383">
        <f>IFERROR(GETPIVOTDATA("DJU(climaticien)",DJU!$L$13,"annee",U17),"")</f>
        <v>350</v>
      </c>
    </row>
    <row r="18" spans="2:23" ht="16.5" customHeight="1">
      <c r="B18" s="579"/>
      <c r="C18" s="32" t="s">
        <v>362</v>
      </c>
      <c r="D18" t="e">
        <f>VLOOKUP(D11,Site!$B$8:$E$28,3,FALSE)</f>
        <v>#N/A</v>
      </c>
      <c r="E18" s="459">
        <f>VLOOKUP(E11,Site!$B$8:$E$28,3,FALSE)</f>
        <v>0</v>
      </c>
      <c r="F18" s="459">
        <f>VLOOKUP(F11,Site!$B$8:$E$28,3,FALSE)</f>
        <v>0</v>
      </c>
      <c r="G18" s="459">
        <f>VLOOKUP(G11,Site!$B$8:$E$28,3,FALSE)</f>
        <v>0</v>
      </c>
      <c r="H18" s="459">
        <f>VLOOKUP(H11,Site!$B$8:$E$28,3,FALSE)</f>
        <v>0</v>
      </c>
      <c r="I18" s="459">
        <f>VLOOKUP(I11,Site!$B$8:$E$28,3,FALSE)</f>
        <v>0</v>
      </c>
      <c r="J18" s="459">
        <f>VLOOKUP(J11,Site!$B$8:$E$28,3,FALSE)</f>
        <v>0</v>
      </c>
      <c r="K18" s="459">
        <f>VLOOKUP(K11,Site!$B$8:$E$28,3,FALSE)</f>
        <v>0</v>
      </c>
      <c r="L18" s="459">
        <f>VLOOKUP(L11,Site!$B$8:$E$28,3,FALSE)</f>
        <v>0</v>
      </c>
      <c r="M18" s="459">
        <f>VLOOKUP(M11,Site!$B$8:$E$28,3,FALSE)</f>
        <v>0</v>
      </c>
      <c r="N18" s="459">
        <f>VLOOKUP(N11,Site!$B$8:$E$28,3,FALSE)</f>
        <v>0</v>
      </c>
      <c r="O18" s="459">
        <f>VLOOKUP(O11,Site!$B$8:$E$28,3,FALSE)</f>
        <v>0</v>
      </c>
      <c r="Q18" t="s">
        <v>363</v>
      </c>
      <c r="R18" s="52" t="e">
        <f>INDEX($E$11:$J$47,27,$R$13)</f>
        <v>#DIV/0!</v>
      </c>
      <c r="U18" s="383">
        <v>2011</v>
      </c>
      <c r="V18" s="383">
        <f>IFERROR(GETPIVOTDATA("DJU(chauffagiste)",DJU!$H$13,"annee",U18),"")</f>
        <v>2034</v>
      </c>
      <c r="W18" s="383">
        <f>IFERROR(GETPIVOTDATA("DJU(climaticien)",DJU!$L$13,"annee",U18),"")</f>
        <v>341</v>
      </c>
    </row>
    <row r="19" spans="2:23">
      <c r="B19" s="579"/>
      <c r="C19" s="32" t="s">
        <v>364</v>
      </c>
      <c r="D19">
        <f>IFERROR(IF(D27&gt;0,D27*MAX(-0.5,MIN(($G$3-D15)/D15,1)),D18/D32*MIN(D17*D15,1)*(D14+D30)*MAX(-0.5,MIN(($G$3-D15)/D15,1))),0)</f>
        <v>0</v>
      </c>
      <c r="E19">
        <f t="shared" ref="E19:O19" si="1">IFERROR(IF(E27&gt;0,E27*MAX(-0.5,MIN(($G$3-E15)/E15,1)),E18/E32*MIN(E17*E15,1)*(E14+E30)*MAX(-0.5,MIN(($G$3-E15)/E15,1))),0)</f>
        <v>0</v>
      </c>
      <c r="F19">
        <f t="shared" si="1"/>
        <v>0</v>
      </c>
      <c r="G19">
        <f t="shared" si="1"/>
        <v>0</v>
      </c>
      <c r="H19">
        <f t="shared" si="1"/>
        <v>0</v>
      </c>
      <c r="I19">
        <f t="shared" si="1"/>
        <v>0</v>
      </c>
      <c r="J19">
        <f t="shared" si="1"/>
        <v>0</v>
      </c>
      <c r="K19">
        <f t="shared" si="1"/>
        <v>0</v>
      </c>
      <c r="L19">
        <f t="shared" si="1"/>
        <v>0</v>
      </c>
      <c r="M19">
        <f t="shared" si="1"/>
        <v>0</v>
      </c>
      <c r="N19">
        <f t="shared" si="1"/>
        <v>0</v>
      </c>
      <c r="O19">
        <f t="shared" si="1"/>
        <v>0</v>
      </c>
      <c r="Q19" t="s">
        <v>365</v>
      </c>
      <c r="R19" s="52" t="e">
        <f>INDEX($E$11:$J$47,28,$R$13)</f>
        <v>#DIV/0!</v>
      </c>
      <c r="U19" s="383">
        <v>2012</v>
      </c>
      <c r="V19" s="383">
        <f>IFERROR(GETPIVOTDATA("DJU(chauffagiste)",DJU!$H$13,"annee",U19),"")</f>
        <v>2459</v>
      </c>
      <c r="W19" s="383">
        <f>IFERROR(GETPIVOTDATA("DJU(climaticien)",DJU!$L$13,"annee",U19),"")</f>
        <v>289</v>
      </c>
    </row>
    <row r="20" spans="2:23">
      <c r="B20" s="579" t="s">
        <v>366</v>
      </c>
      <c r="C20" t="s">
        <v>170</v>
      </c>
      <c r="D20" s="437">
        <f>IFERROR(GETPIVOTDATA("[Measures].[Somme de Conso_kWh_PCI]",TCD_Conso!$B$3,"[Tab_concat].[Type]","[Tab_concat].[Type].&amp;[Consommation]","[Tab_concat].[Detail usage]","[Tab_concat].[Detail usage].&amp;["&amp;$C20&amp;"]","[Tab_concat].[Annee]","[Tab_concat].[Annee].&amp;["&amp;D$11&amp;"]"),0)</f>
        <v>0</v>
      </c>
      <c r="E20" s="437">
        <f>IFERROR(GETPIVOTDATA("[Measures].[Somme de Conso_kWh_PCI]",TCD_Conso!$B$3,"[Tab_concat].[Type]","[Tab_concat].[Type].&amp;[Consommation]","[Tab_concat].[Detail usage]","[Tab_concat].[Detail usage].&amp;["&amp;$C20&amp;"]","[Tab_concat].[Annee]","[Tab_concat].[Annee].&amp;["&amp;E$11&amp;"]"),0)</f>
        <v>0</v>
      </c>
      <c r="F20" s="437">
        <f>IFERROR(GETPIVOTDATA("[Measures].[Somme de Conso_kWh_PCI]",TCD_Conso!$B$3,"[Tab_concat].[Type]","[Tab_concat].[Type].&amp;[Consommation]","[Tab_concat].[Detail usage]","[Tab_concat].[Detail usage].&amp;["&amp;$C20&amp;"]","[Tab_concat].[Annee]","[Tab_concat].[Annee].&amp;["&amp;F$11&amp;"]"),0)</f>
        <v>0</v>
      </c>
      <c r="G20" s="437">
        <f>IFERROR(GETPIVOTDATA("[Measures].[Somme de Conso_kWh_PCI]",TCD_Conso!$B$3,"[Tab_concat].[Type]","[Tab_concat].[Type].&amp;[Consommation]","[Tab_concat].[Detail usage]","[Tab_concat].[Detail usage].&amp;["&amp;$C20&amp;"]","[Tab_concat].[Annee]","[Tab_concat].[Annee].&amp;["&amp;G$11&amp;"]"),0)</f>
        <v>0</v>
      </c>
      <c r="H20" s="437">
        <f>IFERROR(GETPIVOTDATA("[Measures].[Somme de Conso_kWh_PCI]",TCD_Conso!$B$3,"[Tab_concat].[Type]","[Tab_concat].[Type].&amp;[Consommation]","[Tab_concat].[Detail usage]","[Tab_concat].[Detail usage].&amp;["&amp;$C20&amp;"]","[Tab_concat].[Annee]","[Tab_concat].[Annee].&amp;["&amp;H$11&amp;"]"),0)</f>
        <v>0</v>
      </c>
      <c r="I20" s="437">
        <f>IFERROR(GETPIVOTDATA("[Measures].[Somme de Conso_kWh_PCI]",TCD_Conso!$B$3,"[Tab_concat].[Type]","[Tab_concat].[Type].&amp;[Consommation]","[Tab_concat].[Detail usage]","[Tab_concat].[Detail usage].&amp;["&amp;$C20&amp;"]","[Tab_concat].[Annee]","[Tab_concat].[Annee].&amp;["&amp;I$11&amp;"]"),0)</f>
        <v>0</v>
      </c>
      <c r="J20" s="437">
        <f>IFERROR(GETPIVOTDATA("[Measures].[Somme de Conso_kWh_PCI]",TCD_Conso!$B$3,"[Tab_concat].[Type]","[Tab_concat].[Type].&amp;[Consommation]","[Tab_concat].[Detail usage]","[Tab_concat].[Detail usage].&amp;["&amp;$C20&amp;"]","[Tab_concat].[Annee]","[Tab_concat].[Annee].&amp;["&amp;J$11&amp;"]"),0)</f>
        <v>0</v>
      </c>
      <c r="K20" s="437">
        <f>IFERROR(GETPIVOTDATA("[Measures].[Somme de Conso_kWh_PCI]",TCD_Conso!$B$3,"[Tab_concat].[Type]","[Tab_concat].[Type].&amp;[Consommation]","[Tab_concat].[Detail usage]","[Tab_concat].[Detail usage].&amp;["&amp;$C20&amp;"]","[Tab_concat].[Annee]","[Tab_concat].[Annee].&amp;["&amp;K$11&amp;"]"),0)</f>
        <v>0</v>
      </c>
      <c r="L20" s="437">
        <f>IFERROR(GETPIVOTDATA("[Measures].[Somme de Conso_kWh_PCI]",TCD_Conso!$B$3,"[Tab_concat].[Type]","[Tab_concat].[Type].&amp;[Consommation]","[Tab_concat].[Detail usage]","[Tab_concat].[Detail usage].&amp;["&amp;$C20&amp;"]","[Tab_concat].[Annee]","[Tab_concat].[Annee].&amp;["&amp;L$11&amp;"]"),0)</f>
        <v>0</v>
      </c>
      <c r="M20" s="437">
        <f>IFERROR(GETPIVOTDATA("[Measures].[Somme de Conso_kWh_PCI]",TCD_Conso!$B$3,"[Tab_concat].[Type]","[Tab_concat].[Type].&amp;[Consommation]","[Tab_concat].[Detail usage]","[Tab_concat].[Detail usage].&amp;["&amp;$C20&amp;"]","[Tab_concat].[Annee]","[Tab_concat].[Annee].&amp;["&amp;M$11&amp;"]"),0)</f>
        <v>0</v>
      </c>
      <c r="N20" s="437">
        <f>IFERROR(GETPIVOTDATA("[Measures].[Somme de Conso_kWh_PCI]",TCD_Conso!$B$3,"[Tab_concat].[Type]","[Tab_concat].[Type].&amp;[Consommation]","[Tab_concat].[Detail usage]","[Tab_concat].[Detail usage].&amp;["&amp;$C20&amp;"]","[Tab_concat].[Annee]","[Tab_concat].[Annee].&amp;["&amp;N$11&amp;"]"),0)</f>
        <v>0</v>
      </c>
      <c r="O20" s="437">
        <f>IFERROR(GETPIVOTDATA("[Measures].[Somme de Conso_kWh_PCI]",TCD_Conso!$B$3,"[Tab_concat].[Type]","[Tab_concat].[Type].&amp;[Consommation]","[Tab_concat].[Detail usage]","[Tab_concat].[Detail usage].&amp;["&amp;$C20&amp;"]","[Tab_concat].[Annee]","[Tab_concat].[Annee].&amp;["&amp;O$11&amp;"]"),0)</f>
        <v>0</v>
      </c>
      <c r="Q20" t="s">
        <v>367</v>
      </c>
      <c r="R20" s="143" t="e">
        <f>INDEX($E$11:$J$47,29,$R$13)</f>
        <v>#DIV/0!</v>
      </c>
      <c r="U20" s="383">
        <v>2013</v>
      </c>
      <c r="V20" s="383">
        <f>IFERROR(GETPIVOTDATA("DJU(chauffagiste)",DJU!$H$13,"annee",U20),"")</f>
        <v>2576</v>
      </c>
      <c r="W20" s="383">
        <f>IFERROR(GETPIVOTDATA("DJU(climaticien)",DJU!$L$13,"annee",U20),"")</f>
        <v>354</v>
      </c>
    </row>
    <row r="21" spans="2:23" ht="15" customHeight="1">
      <c r="B21" s="579"/>
      <c r="C21" s="32" t="s">
        <v>368</v>
      </c>
      <c r="D21" t="e">
        <f>GETPIVOTDATA("DJU(climaticien)",DJU!$L$13,"annee",D11)</f>
        <v>#REF!</v>
      </c>
      <c r="E21">
        <f>GETPIVOTDATA("DJU(climaticien)",DJU!$L$13,"annee",E11)</f>
        <v>468</v>
      </c>
      <c r="F21">
        <f>GETPIVOTDATA("DJU(climaticien)",DJU!$L$13,"annee",F11)</f>
        <v>324</v>
      </c>
      <c r="G21">
        <f>GETPIVOTDATA("DJU(climaticien)",DJU!$L$13,"annee",G11)</f>
        <v>571</v>
      </c>
      <c r="H21">
        <f>GETPIVOTDATA("DJU(climaticien)",DJU!$L$13,"annee",H11)</f>
        <v>522</v>
      </c>
      <c r="I21">
        <f>GETPIVOTDATA("DJU(climaticien)",DJU!$L$13,"annee",I11)</f>
        <v>327</v>
      </c>
      <c r="J21">
        <f>GETPIVOTDATA("DJU(climaticien)",DJU!$L$13,"annee",J11)</f>
        <v>506.3</v>
      </c>
      <c r="K21">
        <f>GETPIVOTDATA("DJU(climaticien)",DJU!$L$13,"annee",K11)</f>
        <v>1</v>
      </c>
      <c r="L21" t="e">
        <f>GETPIVOTDATA("DJU(climaticien)",DJU!$L$13,"annee",L11)</f>
        <v>#REF!</v>
      </c>
      <c r="M21" t="e">
        <f>GETPIVOTDATA("DJU(climaticien)",DJU!$L$13,"annee",M11)</f>
        <v>#REF!</v>
      </c>
      <c r="N21" t="e">
        <f>GETPIVOTDATA("DJU(climaticien)",DJU!$L$13,"annee",N11)</f>
        <v>#REF!</v>
      </c>
      <c r="O21" t="e">
        <f>GETPIVOTDATA("DJU(climaticien)",DJU!$L$13,"annee",O11)</f>
        <v>#REF!</v>
      </c>
      <c r="Q21" t="s">
        <v>369</v>
      </c>
      <c r="R21" s="53" t="e">
        <f>(R20-R8)/R8</f>
        <v>#DIV/0!</v>
      </c>
      <c r="U21" s="383">
        <v>2014</v>
      </c>
      <c r="V21" s="383">
        <f>IFERROR(GETPIVOTDATA("DJU(chauffagiste)",DJU!$H$13,"annee",U21),"")</f>
        <v>2064</v>
      </c>
      <c r="W21" s="383">
        <f>IFERROR(GETPIVOTDATA("DJU(climaticien)",DJU!$L$13,"annee",U21),"")</f>
        <v>315</v>
      </c>
    </row>
    <row r="22" spans="2:23" ht="15" customHeight="1">
      <c r="B22" s="579"/>
      <c r="C22" s="32" t="s">
        <v>370</v>
      </c>
      <c r="D22">
        <f>Controle_des_données!$B$35</f>
        <v>5.3499999999999999E-5</v>
      </c>
      <c r="E22">
        <f>Controle_des_données!$B$35</f>
        <v>5.3499999999999999E-5</v>
      </c>
      <c r="F22">
        <f>Controle_des_données!$B$35</f>
        <v>5.3499999999999999E-5</v>
      </c>
      <c r="G22">
        <f>Controle_des_données!$B$35</f>
        <v>5.3499999999999999E-5</v>
      </c>
      <c r="H22">
        <f>Controle_des_données!$B$35</f>
        <v>5.3499999999999999E-5</v>
      </c>
      <c r="I22">
        <f>Controle_des_données!$B$35</f>
        <v>5.3499999999999999E-5</v>
      </c>
      <c r="J22">
        <f>Controle_des_données!$B$35</f>
        <v>5.3499999999999999E-5</v>
      </c>
      <c r="K22">
        <f>Controle_des_données!$B$35</f>
        <v>5.3499999999999999E-5</v>
      </c>
      <c r="L22">
        <f>Controle_des_données!$B$35</f>
        <v>5.3499999999999999E-5</v>
      </c>
      <c r="M22">
        <f>Controle_des_données!$B$35</f>
        <v>5.3499999999999999E-5</v>
      </c>
      <c r="N22">
        <f>Controle_des_données!$B$35</f>
        <v>5.3499999999999999E-5</v>
      </c>
      <c r="O22">
        <f>Controle_des_données!$B$35</f>
        <v>5.3499999999999999E-5</v>
      </c>
      <c r="R22" s="53"/>
      <c r="U22" s="383">
        <v>2015</v>
      </c>
      <c r="V22" s="383">
        <f>IFERROR(GETPIVOTDATA("DJU(chauffagiste)",DJU!$H$13,"annee",U22),"")</f>
        <v>2183</v>
      </c>
      <c r="W22" s="383">
        <f>IFERROR(GETPIVOTDATA("DJU(climaticien)",DJU!$L$13,"annee",U22),"")</f>
        <v>374</v>
      </c>
    </row>
    <row r="23" spans="2:23">
      <c r="B23" s="579"/>
      <c r="C23" s="32" t="s">
        <v>371</v>
      </c>
      <c r="D23" t="e">
        <f>VLOOKUP(D11,Site!$B$8:$E$23,4,FALSE)</f>
        <v>#N/A</v>
      </c>
      <c r="E23">
        <f>VLOOKUP(E11,Site!$B$8:$E$23,4,FALSE)</f>
        <v>0</v>
      </c>
      <c r="F23">
        <f>VLOOKUP(F11,Site!$B$8:$E$23,4,FALSE)</f>
        <v>0</v>
      </c>
      <c r="G23">
        <f>VLOOKUP(G11,Site!$B$8:$E$23,4,FALSE)</f>
        <v>0</v>
      </c>
      <c r="H23">
        <f>VLOOKUP(H11,Site!$B$8:$E$23,4,FALSE)</f>
        <v>0</v>
      </c>
      <c r="I23">
        <f>VLOOKUP(I11,Site!$B$8:$E$23,4,FALSE)</f>
        <v>0</v>
      </c>
      <c r="J23">
        <f>VLOOKUP(J11,Site!$B$8:$E$23,4,FALSE)</f>
        <v>0</v>
      </c>
      <c r="U23" s="383">
        <v>2016</v>
      </c>
      <c r="V23" s="383">
        <f>IFERROR(GETPIVOTDATA("DJU(chauffagiste)",DJU!$H$13,"annee",U23),"")</f>
        <v>2421</v>
      </c>
      <c r="W23" s="383">
        <f>IFERROR(GETPIVOTDATA("DJU(climaticien)",DJU!$L$13,"annee",U23),"")</f>
        <v>381</v>
      </c>
    </row>
    <row r="24" spans="2:23">
      <c r="B24" s="579"/>
      <c r="C24" s="32" t="s">
        <v>372</v>
      </c>
      <c r="D24">
        <f>IFERROR(IF(D20&gt;0,D20*MAX(-0.5,MIN(($H$3-D21)/D21,1)),D23/D32*MIN(D22*D21,1)*(D14+D30)*MAX(-0.5,MIN(($H$3-D21)/D21,1))),0)</f>
        <v>0</v>
      </c>
      <c r="E24">
        <f t="shared" ref="E24:O24" si="2">IFERROR(IF(E20&gt;0,E20*MAX(-0.5,MIN(($H$3-E21)/E21,1)),E23/E32*MIN(E22*E21,1)*(E14+E30)*MAX(-0.5,MIN(($H$3-E21)/E21,1))),0)</f>
        <v>0</v>
      </c>
      <c r="F24">
        <f t="shared" si="2"/>
        <v>0</v>
      </c>
      <c r="G24">
        <f t="shared" si="2"/>
        <v>0</v>
      </c>
      <c r="H24">
        <f t="shared" si="2"/>
        <v>0</v>
      </c>
      <c r="I24">
        <f t="shared" si="2"/>
        <v>0</v>
      </c>
      <c r="J24">
        <f t="shared" si="2"/>
        <v>0</v>
      </c>
      <c r="K24">
        <f t="shared" si="2"/>
        <v>0</v>
      </c>
      <c r="L24">
        <f t="shared" si="2"/>
        <v>0</v>
      </c>
      <c r="M24">
        <f t="shared" si="2"/>
        <v>0</v>
      </c>
      <c r="N24">
        <f t="shared" si="2"/>
        <v>0</v>
      </c>
      <c r="O24">
        <f t="shared" si="2"/>
        <v>0</v>
      </c>
      <c r="U24" s="383">
        <v>2017</v>
      </c>
      <c r="V24" s="383">
        <f>IFERROR(GETPIVOTDATA("DJU(chauffagiste)",DJU!$H$13,"annee",U24),"")</f>
        <v>2238</v>
      </c>
      <c r="W24" s="383">
        <f>IFERROR(GETPIVOTDATA("DJU(climaticien)",DJU!$L$13,"annee",U24),"")</f>
        <v>421</v>
      </c>
    </row>
    <row r="25" spans="2:23">
      <c r="B25" s="47"/>
      <c r="C25" s="32" t="s">
        <v>186</v>
      </c>
      <c r="D25" s="436">
        <f>IFERROR(GETPIVOTDATA("[Measures].[Somme de Conso_kWh_PCI]",TCD_Conso!$B$3,"[Tab_concat].[Type]","[Tab_concat].[Type].&amp;[Consommation]","[Tab_concat].[Detail usage]","[Tab_concat].[Detail usage].&amp;["&amp;$C25&amp;"]","[Tab_concat].[Annee]","[Tab_concat].[Annee].&amp;["&amp;D$11&amp;"]"),0)</f>
        <v>0</v>
      </c>
      <c r="E25" s="436">
        <f>IFERROR(GETPIVOTDATA("[Measures].[Somme de Conso_kWh_PCI]",TCD_Conso!$B$3,"[Tab_concat].[Type]","[Tab_concat].[Type].&amp;[Consommation]","[Tab_concat].[Detail usage]","[Tab_concat].[Detail usage].&amp;["&amp;$C25&amp;"]","[Tab_concat].[Annee]","[Tab_concat].[Annee].&amp;["&amp;E$11&amp;"]"),0)</f>
        <v>0</v>
      </c>
      <c r="F25" s="436">
        <f>IFERROR(GETPIVOTDATA("[Measures].[Somme de Conso_kWh_PCI]",TCD_Conso!$B$3,"[Tab_concat].[Type]","[Tab_concat].[Type].&amp;[Consommation]","[Tab_concat].[Detail usage]","[Tab_concat].[Detail usage].&amp;["&amp;$C25&amp;"]","[Tab_concat].[Annee]","[Tab_concat].[Annee].&amp;["&amp;F$11&amp;"]"),0)</f>
        <v>0</v>
      </c>
      <c r="G25" s="436">
        <f>IFERROR(GETPIVOTDATA("[Measures].[Somme de Conso_kWh_PCI]",TCD_Conso!$B$3,"[Tab_concat].[Type]","[Tab_concat].[Type].&amp;[Consommation]","[Tab_concat].[Detail usage]","[Tab_concat].[Detail usage].&amp;["&amp;$C25&amp;"]","[Tab_concat].[Annee]","[Tab_concat].[Annee].&amp;["&amp;G$11&amp;"]"),0)</f>
        <v>0</v>
      </c>
      <c r="H25" s="436">
        <f>IFERROR(GETPIVOTDATA("[Measures].[Somme de Conso_kWh_PCI]",TCD_Conso!$B$3,"[Tab_concat].[Type]","[Tab_concat].[Type].&amp;[Consommation]","[Tab_concat].[Detail usage]","[Tab_concat].[Detail usage].&amp;["&amp;$C25&amp;"]","[Tab_concat].[Annee]","[Tab_concat].[Annee].&amp;["&amp;H$11&amp;"]"),0)</f>
        <v>0</v>
      </c>
      <c r="I25" s="436">
        <f>IFERROR(GETPIVOTDATA("[Measures].[Somme de Conso_kWh_PCI]",TCD_Conso!$B$3,"[Tab_concat].[Type]","[Tab_concat].[Type].&amp;[Consommation]","[Tab_concat].[Detail usage]","[Tab_concat].[Detail usage].&amp;["&amp;$C25&amp;"]","[Tab_concat].[Annee]","[Tab_concat].[Annee].&amp;["&amp;I$11&amp;"]"),0)</f>
        <v>0</v>
      </c>
      <c r="J25" s="436">
        <f>IFERROR(GETPIVOTDATA("[Measures].[Somme de Conso_kWh_PCI]",TCD_Conso!$B$3,"[Tab_concat].[Type]","[Tab_concat].[Type].&amp;[Consommation]","[Tab_concat].[Detail usage]","[Tab_concat].[Detail usage].&amp;["&amp;$C25&amp;"]","[Tab_concat].[Annee]","[Tab_concat].[Annee].&amp;["&amp;J$11&amp;"]"),0)</f>
        <v>0</v>
      </c>
      <c r="K25" s="436">
        <f>IFERROR(GETPIVOTDATA("[Measures].[Somme de Conso_kWh_PCI]",TCD_Conso!$B$3,"[Tab_concat].[Type]","[Tab_concat].[Type].&amp;[Consommation]","[Tab_concat].[Detail usage]","[Tab_concat].[Detail usage].&amp;["&amp;$C25&amp;"]","[Tab_concat].[Annee]","[Tab_concat].[Annee].&amp;["&amp;K$11&amp;"]"),0)</f>
        <v>0</v>
      </c>
      <c r="L25" s="436">
        <f>IFERROR(GETPIVOTDATA("[Measures].[Somme de Conso_kWh_PCI]",TCD_Conso!$B$3,"[Tab_concat].[Type]","[Tab_concat].[Type].&amp;[Consommation]","[Tab_concat].[Detail usage]","[Tab_concat].[Detail usage].&amp;["&amp;$C25&amp;"]","[Tab_concat].[Annee]","[Tab_concat].[Annee].&amp;["&amp;L$11&amp;"]"),0)</f>
        <v>0</v>
      </c>
      <c r="M25" s="436">
        <f>IFERROR(GETPIVOTDATA("[Measures].[Somme de Conso_kWh_PCI]",TCD_Conso!$B$3,"[Tab_concat].[Type]","[Tab_concat].[Type].&amp;[Consommation]","[Tab_concat].[Detail usage]","[Tab_concat].[Detail usage].&amp;["&amp;$C25&amp;"]","[Tab_concat].[Annee]","[Tab_concat].[Annee].&amp;["&amp;M$11&amp;"]"),0)</f>
        <v>0</v>
      </c>
      <c r="N25" s="436">
        <f>IFERROR(GETPIVOTDATA("[Measures].[Somme de Conso_kWh_PCI]",TCD_Conso!$B$3,"[Tab_concat].[Type]","[Tab_concat].[Type].&amp;[Consommation]","[Tab_concat].[Detail usage]","[Tab_concat].[Detail usage].&amp;["&amp;$C25&amp;"]","[Tab_concat].[Annee]","[Tab_concat].[Annee].&amp;["&amp;N$11&amp;"]"),0)</f>
        <v>0</v>
      </c>
      <c r="O25" s="436">
        <f>IFERROR(GETPIVOTDATA("[Measures].[Somme de Conso_kWh_PCI]",TCD_Conso!$B$3,"[Tab_concat].[Type]","[Tab_concat].[Type].&amp;[Consommation]","[Tab_concat].[Detail usage]","[Tab_concat].[Detail usage].&amp;["&amp;$C25&amp;"]","[Tab_concat].[Annee]","[Tab_concat].[Annee].&amp;["&amp;O$11&amp;"]"),0)</f>
        <v>0</v>
      </c>
      <c r="U25" s="383">
        <v>2018</v>
      </c>
      <c r="V25" s="383">
        <f>IFERROR(GETPIVOTDATA("DJU(chauffagiste)",DJU!$H$13,"annee",U25),"")</f>
        <v>2147</v>
      </c>
      <c r="W25" s="383">
        <f>IFERROR(GETPIVOTDATA("DJU(climaticien)",DJU!$L$13,"annee",U25),"")</f>
        <v>529</v>
      </c>
    </row>
    <row r="26" spans="2:23">
      <c r="B26" s="578" t="s">
        <v>373</v>
      </c>
      <c r="C26" s="32" t="s">
        <v>146</v>
      </c>
      <c r="D26" s="436">
        <f>IFERROR(GETPIVOTDATA("[Measures].[Somme de Conso_kWh_PCI]",TCD_Conso!$B$3,"[Tab_concat].[Type]","[Tab_concat].[Type].&amp;[Consommation]","[Tab_concat].[Detail usage]","[Tab_concat].[Detail usage].&amp;["&amp;$C26&amp;"]","[Tab_concat].[Annee]","[Tab_concat].[Annee].&amp;["&amp;D$11&amp;"]"),0)</f>
        <v>0</v>
      </c>
      <c r="E26" s="436">
        <f>IFERROR(GETPIVOTDATA("[Measures].[Somme de Conso_kWh_PCI]",TCD_Conso!$B$3,"[Tab_concat].[Type]","[Tab_concat].[Type].&amp;[Consommation]","[Tab_concat].[Detail usage]","[Tab_concat].[Detail usage].&amp;["&amp;$C26&amp;"]","[Tab_concat].[Annee]","[Tab_concat].[Annee].&amp;["&amp;E$11&amp;"]"),0)</f>
        <v>0</v>
      </c>
      <c r="F26" s="436">
        <f>IFERROR(GETPIVOTDATA("[Measures].[Somme de Conso_kWh_PCI]",TCD_Conso!$B$3,"[Tab_concat].[Type]","[Tab_concat].[Type].&amp;[Consommation]","[Tab_concat].[Detail usage]","[Tab_concat].[Detail usage].&amp;["&amp;$C26&amp;"]","[Tab_concat].[Annee]","[Tab_concat].[Annee].&amp;["&amp;F$11&amp;"]"),0)</f>
        <v>0</v>
      </c>
      <c r="G26" s="436">
        <f>IFERROR(GETPIVOTDATA("[Measures].[Somme de Conso_kWh_PCI]",TCD_Conso!$B$3,"[Tab_concat].[Type]","[Tab_concat].[Type].&amp;[Consommation]","[Tab_concat].[Detail usage]","[Tab_concat].[Detail usage].&amp;["&amp;$C26&amp;"]","[Tab_concat].[Annee]","[Tab_concat].[Annee].&amp;["&amp;G$11&amp;"]"),0)</f>
        <v>0</v>
      </c>
      <c r="H26" s="436">
        <f>IFERROR(GETPIVOTDATA("[Measures].[Somme de Conso_kWh_PCI]",TCD_Conso!$B$3,"[Tab_concat].[Type]","[Tab_concat].[Type].&amp;[Consommation]","[Tab_concat].[Detail usage]","[Tab_concat].[Detail usage].&amp;["&amp;$C26&amp;"]","[Tab_concat].[Annee]","[Tab_concat].[Annee].&amp;["&amp;H$11&amp;"]"),0)</f>
        <v>0</v>
      </c>
      <c r="I26" s="436">
        <f>IFERROR(GETPIVOTDATA("[Measures].[Somme de Conso_kWh_PCI]",TCD_Conso!$B$3,"[Tab_concat].[Type]","[Tab_concat].[Type].&amp;[Consommation]","[Tab_concat].[Detail usage]","[Tab_concat].[Detail usage].&amp;["&amp;$C26&amp;"]","[Tab_concat].[Annee]","[Tab_concat].[Annee].&amp;["&amp;I$11&amp;"]"),0)</f>
        <v>0</v>
      </c>
      <c r="J26" s="436">
        <f>IFERROR(GETPIVOTDATA("[Measures].[Somme de Conso_kWh_PCI]",TCD_Conso!$B$3,"[Tab_concat].[Type]","[Tab_concat].[Type].&amp;[Consommation]","[Tab_concat].[Detail usage]","[Tab_concat].[Detail usage].&amp;["&amp;$C26&amp;"]","[Tab_concat].[Annee]","[Tab_concat].[Annee].&amp;["&amp;J$11&amp;"]"),0)</f>
        <v>0</v>
      </c>
      <c r="K26" s="436">
        <f>IFERROR(GETPIVOTDATA("[Measures].[Somme de Conso_kWh_PCI]",TCD_Conso!$B$3,"[Tab_concat].[Type]","[Tab_concat].[Type].&amp;[Consommation]","[Tab_concat].[Detail usage]","[Tab_concat].[Detail usage].&amp;["&amp;$C26&amp;"]","[Tab_concat].[Annee]","[Tab_concat].[Annee].&amp;["&amp;K$11&amp;"]"),0)</f>
        <v>0</v>
      </c>
      <c r="L26" s="436">
        <f>IFERROR(GETPIVOTDATA("[Measures].[Somme de Conso_kWh_PCI]",TCD_Conso!$B$3,"[Tab_concat].[Type]","[Tab_concat].[Type].&amp;[Consommation]","[Tab_concat].[Detail usage]","[Tab_concat].[Detail usage].&amp;["&amp;$C26&amp;"]","[Tab_concat].[Annee]","[Tab_concat].[Annee].&amp;["&amp;L$11&amp;"]"),0)</f>
        <v>0</v>
      </c>
      <c r="M26" s="436">
        <f>IFERROR(GETPIVOTDATA("[Measures].[Somme de Conso_kWh_PCI]",TCD_Conso!$B$3,"[Tab_concat].[Type]","[Tab_concat].[Type].&amp;[Consommation]","[Tab_concat].[Detail usage]","[Tab_concat].[Detail usage].&amp;["&amp;$C26&amp;"]","[Tab_concat].[Annee]","[Tab_concat].[Annee].&amp;["&amp;M$11&amp;"]"),0)</f>
        <v>0</v>
      </c>
      <c r="N26" s="436">
        <f>IFERROR(GETPIVOTDATA("[Measures].[Somme de Conso_kWh_PCI]",TCD_Conso!$B$3,"[Tab_concat].[Type]","[Tab_concat].[Type].&amp;[Consommation]","[Tab_concat].[Detail usage]","[Tab_concat].[Detail usage].&amp;["&amp;$C26&amp;"]","[Tab_concat].[Annee]","[Tab_concat].[Annee].&amp;["&amp;N$11&amp;"]"),0)</f>
        <v>0</v>
      </c>
      <c r="O26" s="436">
        <f>IFERROR(GETPIVOTDATA("[Measures].[Somme de Conso_kWh_PCI]",TCD_Conso!$B$3,"[Tab_concat].[Type]","[Tab_concat].[Type].&amp;[Consommation]","[Tab_concat].[Detail usage]","[Tab_concat].[Detail usage].&amp;["&amp;$C26&amp;"]","[Tab_concat].[Annee]","[Tab_concat].[Annee].&amp;["&amp;O$11&amp;"]"),0)</f>
        <v>0</v>
      </c>
      <c r="U26" s="383">
        <v>2019</v>
      </c>
      <c r="V26" s="383">
        <f>IFERROR(GETPIVOTDATA("DJU(chauffagiste)",DJU!$H$13,"annee",U26),"")</f>
        <v>2213</v>
      </c>
      <c r="W26" s="383">
        <f>IFERROR(GETPIVOTDATA("DJU(climaticien)",DJU!$L$13,"annee",U26),"")</f>
        <v>452</v>
      </c>
    </row>
    <row r="27" spans="2:23">
      <c r="B27" s="578"/>
      <c r="C27" s="32" t="s">
        <v>163</v>
      </c>
      <c r="D27" s="436">
        <f>IFERROR(GETPIVOTDATA("[Measures].[Somme de Conso_kWh_PCI]",TCD_Conso!$B$3,"[Tab_concat].[Type]","[Tab_concat].[Type].&amp;[Consommation]","[Tab_concat].[Detail usage]","[Tab_concat].[Detail usage].&amp;["&amp;$C27&amp;"]","[Tab_concat].[Annee]","[Tab_concat].[Annee].&amp;["&amp;D$11&amp;"]"),0)</f>
        <v>0</v>
      </c>
      <c r="E27" s="436">
        <f>IFERROR(GETPIVOTDATA("[Measures].[Somme de Conso_kWh_PCI]",TCD_Conso!$B$3,"[Tab_concat].[Type]","[Tab_concat].[Type].&amp;[Consommation]","[Tab_concat].[Detail usage]","[Tab_concat].[Detail usage].&amp;["&amp;$C27&amp;"]","[Tab_concat].[Annee]","[Tab_concat].[Annee].&amp;["&amp;E$11&amp;"]"),0)</f>
        <v>0</v>
      </c>
      <c r="F27" s="436">
        <f>IFERROR(GETPIVOTDATA("[Measures].[Somme de Conso_kWh_PCI]",TCD_Conso!$B$3,"[Tab_concat].[Type]","[Tab_concat].[Type].&amp;[Consommation]","[Tab_concat].[Detail usage]","[Tab_concat].[Detail usage].&amp;["&amp;$C27&amp;"]","[Tab_concat].[Annee]","[Tab_concat].[Annee].&amp;["&amp;F$11&amp;"]"),0)</f>
        <v>0</v>
      </c>
      <c r="G27" s="436">
        <f>IFERROR(GETPIVOTDATA("[Measures].[Somme de Conso_kWh_PCI]",TCD_Conso!$B$3,"[Tab_concat].[Type]","[Tab_concat].[Type].&amp;[Consommation]","[Tab_concat].[Detail usage]","[Tab_concat].[Detail usage].&amp;["&amp;$C27&amp;"]","[Tab_concat].[Annee]","[Tab_concat].[Annee].&amp;["&amp;G$11&amp;"]"),0)</f>
        <v>0</v>
      </c>
      <c r="H27" s="436">
        <f>IFERROR(GETPIVOTDATA("[Measures].[Somme de Conso_kWh_PCI]",TCD_Conso!$B$3,"[Tab_concat].[Type]","[Tab_concat].[Type].&amp;[Consommation]","[Tab_concat].[Detail usage]","[Tab_concat].[Detail usage].&amp;["&amp;$C27&amp;"]","[Tab_concat].[Annee]","[Tab_concat].[Annee].&amp;["&amp;H$11&amp;"]"),0)</f>
        <v>0</v>
      </c>
      <c r="I27" s="436">
        <f>IFERROR(GETPIVOTDATA("[Measures].[Somme de Conso_kWh_PCI]",TCD_Conso!$B$3,"[Tab_concat].[Type]","[Tab_concat].[Type].&amp;[Consommation]","[Tab_concat].[Detail usage]","[Tab_concat].[Detail usage].&amp;["&amp;$C27&amp;"]","[Tab_concat].[Annee]","[Tab_concat].[Annee].&amp;["&amp;I$11&amp;"]"),0)</f>
        <v>0</v>
      </c>
      <c r="J27" s="436">
        <f>IFERROR(GETPIVOTDATA("[Measures].[Somme de Conso_kWh_PCI]",TCD_Conso!$B$3,"[Tab_concat].[Type]","[Tab_concat].[Type].&amp;[Consommation]","[Tab_concat].[Detail usage]","[Tab_concat].[Detail usage].&amp;["&amp;$C27&amp;"]","[Tab_concat].[Annee]","[Tab_concat].[Annee].&amp;["&amp;J$11&amp;"]"),0)</f>
        <v>0</v>
      </c>
      <c r="K27" s="436">
        <f>IFERROR(GETPIVOTDATA("[Measures].[Somme de Conso_kWh_PCI]",TCD_Conso!$B$3,"[Tab_concat].[Type]","[Tab_concat].[Type].&amp;[Consommation]","[Tab_concat].[Detail usage]","[Tab_concat].[Detail usage].&amp;["&amp;$C27&amp;"]","[Tab_concat].[Annee]","[Tab_concat].[Annee].&amp;["&amp;K$11&amp;"]"),0)</f>
        <v>0</v>
      </c>
      <c r="L27" s="436">
        <f>IFERROR(GETPIVOTDATA("[Measures].[Somme de Conso_kWh_PCI]",TCD_Conso!$B$3,"[Tab_concat].[Type]","[Tab_concat].[Type].&amp;[Consommation]","[Tab_concat].[Detail usage]","[Tab_concat].[Detail usage].&amp;["&amp;$C27&amp;"]","[Tab_concat].[Annee]","[Tab_concat].[Annee].&amp;["&amp;L$11&amp;"]"),0)</f>
        <v>0</v>
      </c>
      <c r="M27" s="436">
        <f>IFERROR(GETPIVOTDATA("[Measures].[Somme de Conso_kWh_PCI]",TCD_Conso!$B$3,"[Tab_concat].[Type]","[Tab_concat].[Type].&amp;[Consommation]","[Tab_concat].[Detail usage]","[Tab_concat].[Detail usage].&amp;["&amp;$C27&amp;"]","[Tab_concat].[Annee]","[Tab_concat].[Annee].&amp;["&amp;M$11&amp;"]"),0)</f>
        <v>0</v>
      </c>
      <c r="N27" s="436">
        <f>IFERROR(GETPIVOTDATA("[Measures].[Somme de Conso_kWh_PCI]",TCD_Conso!$B$3,"[Tab_concat].[Type]","[Tab_concat].[Type].&amp;[Consommation]","[Tab_concat].[Detail usage]","[Tab_concat].[Detail usage].&amp;["&amp;$C27&amp;"]","[Tab_concat].[Annee]","[Tab_concat].[Annee].&amp;["&amp;N$11&amp;"]"),0)</f>
        <v>0</v>
      </c>
      <c r="O27" s="436">
        <f>IFERROR(GETPIVOTDATA("[Measures].[Somme de Conso_kWh_PCI]",TCD_Conso!$B$3,"[Tab_concat].[Type]","[Tab_concat].[Type].&amp;[Consommation]","[Tab_concat].[Detail usage]","[Tab_concat].[Detail usage].&amp;["&amp;$C27&amp;"]","[Tab_concat].[Annee]","[Tab_concat].[Annee].&amp;["&amp;O$11&amp;"]"),0)</f>
        <v>0</v>
      </c>
      <c r="U27" s="383">
        <v>2020</v>
      </c>
      <c r="V27" s="383">
        <f>IFERROR(GETPIVOTDATA("DJU(chauffagiste)",DJU!$H$13,"annee",U27),"")</f>
        <v>1971</v>
      </c>
      <c r="W27" s="383">
        <f>IFERROR(GETPIVOTDATA("DJU(climaticien)",DJU!$L$13,"annee",U27),"")</f>
        <v>468</v>
      </c>
    </row>
    <row r="28" spans="2:23">
      <c r="B28" s="578"/>
      <c r="C28" s="32" t="s">
        <v>326</v>
      </c>
      <c r="D28" s="436">
        <f>IFERROR(GETPIVOTDATA("[Measures].[Somme de Conso_kWh_PCI]",TCD_Conso!$B$3,"[Tab_concat].[Type]","[Tab_concat].[Type].&amp;[Consommation]","[Tab_concat].[Detail usage]","[Tab_concat].[Detail usage].&amp;["&amp;$C28&amp;"]","[Tab_concat].[Annee]","[Tab_concat].[Annee].&amp;["&amp;D$11&amp;"]"),0)</f>
        <v>0</v>
      </c>
      <c r="E28" s="436">
        <f>IFERROR(GETPIVOTDATA("[Measures].[Somme de Conso_kWh_PCI]",TCD_Conso!$B$3,"[Tab_concat].[Type]","[Tab_concat].[Type].&amp;[Consommation]","[Tab_concat].[Detail usage]","[Tab_concat].[Detail usage].&amp;["&amp;$C28&amp;"]","[Tab_concat].[Annee]","[Tab_concat].[Annee].&amp;["&amp;E$11&amp;"]"),0)</f>
        <v>0</v>
      </c>
      <c r="F28" s="436">
        <f>IFERROR(GETPIVOTDATA("[Measures].[Somme de Conso_kWh_PCI]",TCD_Conso!$B$3,"[Tab_concat].[Type]","[Tab_concat].[Type].&amp;[Consommation]","[Tab_concat].[Detail usage]","[Tab_concat].[Detail usage].&amp;["&amp;$C28&amp;"]","[Tab_concat].[Annee]","[Tab_concat].[Annee].&amp;["&amp;F$11&amp;"]"),0)</f>
        <v>0</v>
      </c>
      <c r="G28" s="436">
        <f>IFERROR(GETPIVOTDATA("[Measures].[Somme de Conso_kWh_PCI]",TCD_Conso!$B$3,"[Tab_concat].[Type]","[Tab_concat].[Type].&amp;[Consommation]","[Tab_concat].[Detail usage]","[Tab_concat].[Detail usage].&amp;["&amp;$C28&amp;"]","[Tab_concat].[Annee]","[Tab_concat].[Annee].&amp;["&amp;G$11&amp;"]"),0)</f>
        <v>0</v>
      </c>
      <c r="H28" s="436">
        <f>IFERROR(GETPIVOTDATA("[Measures].[Somme de Conso_kWh_PCI]",TCD_Conso!$B$3,"[Tab_concat].[Type]","[Tab_concat].[Type].&amp;[Consommation]","[Tab_concat].[Detail usage]","[Tab_concat].[Detail usage].&amp;["&amp;$C28&amp;"]","[Tab_concat].[Annee]","[Tab_concat].[Annee].&amp;["&amp;H$11&amp;"]"),0)</f>
        <v>0</v>
      </c>
      <c r="I28" s="436">
        <f>IFERROR(GETPIVOTDATA("[Measures].[Somme de Conso_kWh_PCI]",TCD_Conso!$B$3,"[Tab_concat].[Type]","[Tab_concat].[Type].&amp;[Consommation]","[Tab_concat].[Detail usage]","[Tab_concat].[Detail usage].&amp;["&amp;$C28&amp;"]","[Tab_concat].[Annee]","[Tab_concat].[Annee].&amp;["&amp;I$11&amp;"]"),0)</f>
        <v>0</v>
      </c>
      <c r="J28" s="436">
        <f>IFERROR(GETPIVOTDATA("[Measures].[Somme de Conso_kWh_PCI]",TCD_Conso!$B$3,"[Tab_concat].[Type]","[Tab_concat].[Type].&amp;[Consommation]","[Tab_concat].[Detail usage]","[Tab_concat].[Detail usage].&amp;["&amp;$C28&amp;"]","[Tab_concat].[Annee]","[Tab_concat].[Annee].&amp;["&amp;J$11&amp;"]"),0)</f>
        <v>0</v>
      </c>
      <c r="K28" s="436">
        <f>IFERROR(GETPIVOTDATA("[Measures].[Somme de Conso_kWh_PCI]",TCD_Conso!$B$3,"[Tab_concat].[Type]","[Tab_concat].[Type].&amp;[Consommation]","[Tab_concat].[Detail usage]","[Tab_concat].[Detail usage].&amp;["&amp;$C28&amp;"]","[Tab_concat].[Annee]","[Tab_concat].[Annee].&amp;["&amp;K$11&amp;"]"),0)</f>
        <v>0</v>
      </c>
      <c r="L28" s="436">
        <f>IFERROR(GETPIVOTDATA("[Measures].[Somme de Conso_kWh_PCI]",TCD_Conso!$B$3,"[Tab_concat].[Type]","[Tab_concat].[Type].&amp;[Consommation]","[Tab_concat].[Detail usage]","[Tab_concat].[Detail usage].&amp;["&amp;$C28&amp;"]","[Tab_concat].[Annee]","[Tab_concat].[Annee].&amp;["&amp;L$11&amp;"]"),0)</f>
        <v>0</v>
      </c>
      <c r="M28" s="436">
        <f>IFERROR(GETPIVOTDATA("[Measures].[Somme de Conso_kWh_PCI]",TCD_Conso!$B$3,"[Tab_concat].[Type]","[Tab_concat].[Type].&amp;[Consommation]","[Tab_concat].[Detail usage]","[Tab_concat].[Detail usage].&amp;["&amp;$C28&amp;"]","[Tab_concat].[Annee]","[Tab_concat].[Annee].&amp;["&amp;M$11&amp;"]"),0)</f>
        <v>0</v>
      </c>
      <c r="N28" s="436">
        <f>IFERROR(GETPIVOTDATA("[Measures].[Somme de Conso_kWh_PCI]",TCD_Conso!$B$3,"[Tab_concat].[Type]","[Tab_concat].[Type].&amp;[Consommation]","[Tab_concat].[Detail usage]","[Tab_concat].[Detail usage].&amp;["&amp;$C28&amp;"]","[Tab_concat].[Annee]","[Tab_concat].[Annee].&amp;["&amp;N$11&amp;"]"),0)</f>
        <v>0</v>
      </c>
      <c r="O28" s="436">
        <f>IFERROR(GETPIVOTDATA("[Measures].[Somme de Conso_kWh_PCI]",TCD_Conso!$B$3,"[Tab_concat].[Type]","[Tab_concat].[Type].&amp;[Consommation]","[Tab_concat].[Detail usage]","[Tab_concat].[Detail usage].&amp;["&amp;$C28&amp;"]","[Tab_concat].[Annee]","[Tab_concat].[Annee].&amp;["&amp;O$11&amp;"]"),0)</f>
        <v>0</v>
      </c>
    </row>
    <row r="29" spans="2:23">
      <c r="B29" s="578"/>
      <c r="C29" t="s">
        <v>181</v>
      </c>
      <c r="D29" s="436">
        <f>IFERROR(GETPIVOTDATA("[Measures].[Somme de Conso_kWh_PCI]",TCD_Conso!$B$3,"[Tab_concat].[Type]","[Tab_concat].[Type].&amp;[Consommation]","[Tab_concat].[Detail usage]","[Tab_concat].[Detail usage].&amp;["&amp;$C29&amp;"]","[Tab_concat].[Annee]","[Tab_concat].[Annee].&amp;["&amp;D$11&amp;"]"),0)</f>
        <v>0</v>
      </c>
      <c r="E29" s="436">
        <f>IFERROR(GETPIVOTDATA("[Measures].[Somme de Conso_kWh_PCI]",TCD_Conso!$B$3,"[Tab_concat].[Type]","[Tab_concat].[Type].&amp;[Consommation]","[Tab_concat].[Detail usage]","[Tab_concat].[Detail usage].&amp;["&amp;$C29&amp;"]","[Tab_concat].[Annee]","[Tab_concat].[Annee].&amp;["&amp;E$11&amp;"]"),0)</f>
        <v>0</v>
      </c>
      <c r="F29" s="436">
        <f>IFERROR(GETPIVOTDATA("[Measures].[Somme de Conso_kWh_PCI]",TCD_Conso!$B$3,"[Tab_concat].[Type]","[Tab_concat].[Type].&amp;[Consommation]","[Tab_concat].[Detail usage]","[Tab_concat].[Detail usage].&amp;["&amp;$C29&amp;"]","[Tab_concat].[Annee]","[Tab_concat].[Annee].&amp;["&amp;F$11&amp;"]"),0)</f>
        <v>0</v>
      </c>
      <c r="G29" s="436">
        <f>IFERROR(GETPIVOTDATA("[Measures].[Somme de Conso_kWh_PCI]",TCD_Conso!$B$3,"[Tab_concat].[Type]","[Tab_concat].[Type].&amp;[Consommation]","[Tab_concat].[Detail usage]","[Tab_concat].[Detail usage].&amp;["&amp;$C29&amp;"]","[Tab_concat].[Annee]","[Tab_concat].[Annee].&amp;["&amp;G$11&amp;"]"),0)</f>
        <v>0</v>
      </c>
      <c r="H29" s="436">
        <f>IFERROR(GETPIVOTDATA("[Measures].[Somme de Conso_kWh_PCI]",TCD_Conso!$B$3,"[Tab_concat].[Type]","[Tab_concat].[Type].&amp;[Consommation]","[Tab_concat].[Detail usage]","[Tab_concat].[Detail usage].&amp;["&amp;$C29&amp;"]","[Tab_concat].[Annee]","[Tab_concat].[Annee].&amp;["&amp;H$11&amp;"]"),0)</f>
        <v>0</v>
      </c>
      <c r="I29" s="436">
        <f>IFERROR(GETPIVOTDATA("[Measures].[Somme de Conso_kWh_PCI]",TCD_Conso!$B$3,"[Tab_concat].[Type]","[Tab_concat].[Type].&amp;[Consommation]","[Tab_concat].[Detail usage]","[Tab_concat].[Detail usage].&amp;["&amp;$C29&amp;"]","[Tab_concat].[Annee]","[Tab_concat].[Annee].&amp;["&amp;I$11&amp;"]"),0)</f>
        <v>0</v>
      </c>
      <c r="J29" s="436">
        <f>IFERROR(GETPIVOTDATA("[Measures].[Somme de Conso_kWh_PCI]",TCD_Conso!$B$3,"[Tab_concat].[Type]","[Tab_concat].[Type].&amp;[Consommation]","[Tab_concat].[Detail usage]","[Tab_concat].[Detail usage].&amp;["&amp;$C29&amp;"]","[Tab_concat].[Annee]","[Tab_concat].[Annee].&amp;["&amp;J$11&amp;"]"),0)</f>
        <v>0</v>
      </c>
      <c r="K29" s="436">
        <f>IFERROR(GETPIVOTDATA("[Measures].[Somme de Conso_kWh_PCI]",TCD_Conso!$B$3,"[Tab_concat].[Type]","[Tab_concat].[Type].&amp;[Consommation]","[Tab_concat].[Detail usage]","[Tab_concat].[Detail usage].&amp;["&amp;$C29&amp;"]","[Tab_concat].[Annee]","[Tab_concat].[Annee].&amp;["&amp;K$11&amp;"]"),0)</f>
        <v>0</v>
      </c>
      <c r="L29" s="436">
        <f>IFERROR(GETPIVOTDATA("[Measures].[Somme de Conso_kWh_PCI]",TCD_Conso!$B$3,"[Tab_concat].[Type]","[Tab_concat].[Type].&amp;[Consommation]","[Tab_concat].[Detail usage]","[Tab_concat].[Detail usage].&amp;["&amp;$C29&amp;"]","[Tab_concat].[Annee]","[Tab_concat].[Annee].&amp;["&amp;L$11&amp;"]"),0)</f>
        <v>0</v>
      </c>
      <c r="M29" s="436">
        <f>IFERROR(GETPIVOTDATA("[Measures].[Somme de Conso_kWh_PCI]",TCD_Conso!$B$3,"[Tab_concat].[Type]","[Tab_concat].[Type].&amp;[Consommation]","[Tab_concat].[Detail usage]","[Tab_concat].[Detail usage].&amp;["&amp;$C29&amp;"]","[Tab_concat].[Annee]","[Tab_concat].[Annee].&amp;["&amp;M$11&amp;"]"),0)</f>
        <v>0</v>
      </c>
      <c r="N29" s="436">
        <f>IFERROR(GETPIVOTDATA("[Measures].[Somme de Conso_kWh_PCI]",TCD_Conso!$B$3,"[Tab_concat].[Type]","[Tab_concat].[Type].&amp;[Consommation]","[Tab_concat].[Detail usage]","[Tab_concat].[Detail usage].&amp;["&amp;$C29&amp;"]","[Tab_concat].[Annee]","[Tab_concat].[Annee].&amp;["&amp;N$11&amp;"]"),0)</f>
        <v>0</v>
      </c>
      <c r="O29" s="436">
        <f>IFERROR(GETPIVOTDATA("[Measures].[Somme de Conso_kWh_PCI]",TCD_Conso!$B$3,"[Tab_concat].[Type]","[Tab_concat].[Type].&amp;[Consommation]","[Tab_concat].[Detail usage]","[Tab_concat].[Detail usage].&amp;["&amp;$C29&amp;"]","[Tab_concat].[Annee]","[Tab_concat].[Annee].&amp;["&amp;O$11&amp;"]"),0)</f>
        <v>0</v>
      </c>
    </row>
    <row r="30" spans="2:23">
      <c r="B30" s="578"/>
      <c r="C30" s="32" t="s">
        <v>374</v>
      </c>
      <c r="D30">
        <f>SUM(D25:D29)</f>
        <v>0</v>
      </c>
      <c r="E30">
        <f t="shared" ref="E30:O30" si="3">SUM(E25:E29)</f>
        <v>0</v>
      </c>
      <c r="F30">
        <f t="shared" si="3"/>
        <v>0</v>
      </c>
      <c r="G30">
        <f t="shared" si="3"/>
        <v>0</v>
      </c>
      <c r="H30">
        <f t="shared" si="3"/>
        <v>0</v>
      </c>
      <c r="I30">
        <f t="shared" si="3"/>
        <v>0</v>
      </c>
      <c r="J30">
        <f t="shared" si="3"/>
        <v>0</v>
      </c>
      <c r="K30">
        <f t="shared" si="3"/>
        <v>0</v>
      </c>
      <c r="L30">
        <f t="shared" si="3"/>
        <v>0</v>
      </c>
      <c r="M30">
        <f>SUM(M25:M29)</f>
        <v>0</v>
      </c>
      <c r="N30">
        <f t="shared" si="3"/>
        <v>0</v>
      </c>
      <c r="O30">
        <f t="shared" si="3"/>
        <v>0</v>
      </c>
    </row>
    <row r="31" spans="2:23">
      <c r="B31" s="578"/>
      <c r="C31" s="32" t="s">
        <v>375</v>
      </c>
      <c r="D31">
        <f>D30+D24+D19</f>
        <v>0</v>
      </c>
      <c r="E31">
        <f t="shared" ref="E31:J31" si="4">E30+E24+E19</f>
        <v>0</v>
      </c>
      <c r="F31">
        <f t="shared" si="4"/>
        <v>0</v>
      </c>
      <c r="G31">
        <f t="shared" si="4"/>
        <v>0</v>
      </c>
      <c r="H31">
        <f t="shared" si="4"/>
        <v>0</v>
      </c>
      <c r="I31">
        <f t="shared" si="4"/>
        <v>0</v>
      </c>
      <c r="J31">
        <f t="shared" si="4"/>
        <v>0</v>
      </c>
      <c r="K31">
        <f>K30+K24+K19</f>
        <v>0</v>
      </c>
      <c r="L31">
        <f>L30+L24+L19</f>
        <v>0</v>
      </c>
      <c r="M31">
        <f>M30+M24+M19</f>
        <v>0</v>
      </c>
      <c r="N31">
        <f>N30+N24+N19</f>
        <v>0</v>
      </c>
      <c r="O31">
        <f>O30+O24+O19</f>
        <v>0</v>
      </c>
    </row>
    <row r="32" spans="2:23">
      <c r="B32" s="579" t="s">
        <v>376</v>
      </c>
      <c r="C32" s="32" t="s">
        <v>377</v>
      </c>
      <c r="D32" t="e">
        <f>VLOOKUP(D11,Site!$B$8:$E$28,2,FALSE)</f>
        <v>#N/A</v>
      </c>
      <c r="E32" s="459">
        <f>VLOOKUP(E11,Site!$B$8:$E$28,2,FALSE)</f>
        <v>0</v>
      </c>
      <c r="F32" s="459">
        <f>VLOOKUP(F11,Site!$B$8:$E$28,2,FALSE)</f>
        <v>0</v>
      </c>
      <c r="G32" s="459">
        <f>VLOOKUP(G11,Site!$B$8:$E$28,2,FALSE)</f>
        <v>0</v>
      </c>
      <c r="H32" s="459">
        <f>VLOOKUP(H11,Site!$B$8:$E$28,2,FALSE)</f>
        <v>0</v>
      </c>
      <c r="I32" s="459">
        <f>VLOOKUP(I11,Site!$B$8:$E$28,2,FALSE)</f>
        <v>0</v>
      </c>
      <c r="J32" s="459">
        <f>VLOOKUP(J11,Site!$B$8:$E$28,2,FALSE)</f>
        <v>0</v>
      </c>
      <c r="K32" s="459">
        <f>VLOOKUP(K11,Site!$B$8:$E$28,2,FALSE)</f>
        <v>0</v>
      </c>
      <c r="L32" s="459">
        <f>VLOOKUP(L11,Site!$B$8:$E$28,2,FALSE)</f>
        <v>0</v>
      </c>
      <c r="M32" s="459">
        <f>VLOOKUP(M11,Site!$B$8:$E$28,2,FALSE)</f>
        <v>0</v>
      </c>
      <c r="N32" s="459">
        <f>VLOOKUP(N11,Site!$B$8:$E$28,2,FALSE)</f>
        <v>0</v>
      </c>
      <c r="O32" s="459">
        <f>VLOOKUP(O11,Site!$B$8:$E$28,2,FALSE)</f>
        <v>0</v>
      </c>
    </row>
    <row r="33" spans="2:15">
      <c r="B33" s="579"/>
      <c r="C33" s="32" t="s">
        <v>27</v>
      </c>
      <c r="D33">
        <f>IF(D11&lt;=$R$14,D14/D32,0)</f>
        <v>0</v>
      </c>
      <c r="E33" t="e">
        <f t="shared" ref="E33:O33" si="5">IF(E11&lt;=$R$14,E14/E32,0)</f>
        <v>#DIV/0!</v>
      </c>
      <c r="F33" t="e">
        <f t="shared" si="5"/>
        <v>#DIV/0!</v>
      </c>
      <c r="G33" t="e">
        <f t="shared" si="5"/>
        <v>#DIV/0!</v>
      </c>
      <c r="H33" t="e">
        <f t="shared" si="5"/>
        <v>#DIV/0!</v>
      </c>
      <c r="I33" t="e">
        <f t="shared" si="5"/>
        <v>#DIV/0!</v>
      </c>
      <c r="J33" t="e">
        <f t="shared" si="5"/>
        <v>#DIV/0!</v>
      </c>
      <c r="K33">
        <f t="shared" si="5"/>
        <v>0</v>
      </c>
      <c r="L33">
        <f t="shared" si="5"/>
        <v>0</v>
      </c>
      <c r="M33">
        <f t="shared" si="5"/>
        <v>0</v>
      </c>
      <c r="N33">
        <f t="shared" si="5"/>
        <v>0</v>
      </c>
      <c r="O33">
        <f t="shared" si="5"/>
        <v>0</v>
      </c>
    </row>
    <row r="34" spans="2:15">
      <c r="B34" s="579"/>
      <c r="C34" s="32" t="s">
        <v>319</v>
      </c>
      <c r="D34">
        <f>IF(D11&lt;=$R$14,D30/D32,0)</f>
        <v>0</v>
      </c>
      <c r="E34" t="e">
        <f t="shared" ref="E34:O34" si="6">IF(E11&lt;=$R$14,E30/E32,0)</f>
        <v>#DIV/0!</v>
      </c>
      <c r="F34" t="e">
        <f t="shared" si="6"/>
        <v>#DIV/0!</v>
      </c>
      <c r="G34" t="e">
        <f t="shared" si="6"/>
        <v>#DIV/0!</v>
      </c>
      <c r="H34" t="e">
        <f t="shared" si="6"/>
        <v>#DIV/0!</v>
      </c>
      <c r="I34" t="e">
        <f t="shared" si="6"/>
        <v>#DIV/0!</v>
      </c>
      <c r="J34" t="e">
        <f t="shared" si="6"/>
        <v>#DIV/0!</v>
      </c>
      <c r="K34">
        <f t="shared" si="6"/>
        <v>0</v>
      </c>
      <c r="L34">
        <f t="shared" si="6"/>
        <v>0</v>
      </c>
      <c r="M34">
        <f t="shared" si="6"/>
        <v>0</v>
      </c>
      <c r="N34">
        <f t="shared" si="6"/>
        <v>0</v>
      </c>
      <c r="O34">
        <f t="shared" si="6"/>
        <v>0</v>
      </c>
    </row>
    <row r="35" spans="2:15">
      <c r="B35" s="47"/>
      <c r="C35" s="32" t="str">
        <f>IF(D26&gt;0,"ECS", IF(D28&gt;0,"ECS estimée","ECS+Cuisson estimées"))</f>
        <v>ECS+Cuisson estimées</v>
      </c>
      <c r="D35">
        <f>IF(D11&lt;=$R$14,IF(D26&gt;0,D26,HLOOKUP(D11,Estimation_ECS!$C$27:$R$30,4))/D32,0)</f>
        <v>0</v>
      </c>
      <c r="E35" t="e">
        <f>IF(E11&lt;=$R$14,IF(E26&gt;0,E26,HLOOKUP(E11,Estimation_ECS!$C$27:$R$30,4))/E32,0)</f>
        <v>#DIV/0!</v>
      </c>
      <c r="F35" t="e">
        <f>IF(F11&lt;=$R$14,IF(F26&gt;0,F26,HLOOKUP(F11,Estimation_ECS!$C$27:$R$30,4))/F32,0)</f>
        <v>#DIV/0!</v>
      </c>
      <c r="G35" t="e">
        <f>IF(G11&lt;=$R$14,IF(G26&gt;0,G26,HLOOKUP(G11,Estimation_ECS!$C$27:$R$30,4))/G32,0)</f>
        <v>#DIV/0!</v>
      </c>
      <c r="H35" t="e">
        <f>IF(H11&lt;=$R$14,IF(H26&gt;0,H26,HLOOKUP(H11,Estimation_ECS!$C$27:$R$30,4))/H32,0)</f>
        <v>#DIV/0!</v>
      </c>
      <c r="I35" t="e">
        <f>IF(I11&lt;=$R$14,IF(I26&gt;0,I26,HLOOKUP(I11,Estimation_ECS!$C$27:$R$30,4))/I32,0)</f>
        <v>#DIV/0!</v>
      </c>
      <c r="J35" t="e">
        <f>IF(J11&lt;=$R$14,IF(J26&gt;0,J26,HLOOKUP(J11,Estimation_ECS!$C$27:$R$30,4))/J32,0)</f>
        <v>#DIV/0!</v>
      </c>
      <c r="K35">
        <f>IF(K11&lt;=$R$14,IF(K26&gt;0,K26,HLOOKUP(K11,Estimation_ECS!$C$27:$R$30,4))/K32,0)</f>
        <v>0</v>
      </c>
      <c r="L35">
        <f>IF(L11&lt;=$R$14,IF(L26&gt;0,L26,HLOOKUP(L11,Estimation_ECS!$C$27:$R$30,4))/L32,0)</f>
        <v>0</v>
      </c>
      <c r="M35">
        <f>IF(M11&lt;=$R$14,IF(M26&gt;0,M26,HLOOKUP(M11,Estimation_ECS!$C$27:$R$30,4))/M32,0)</f>
        <v>0</v>
      </c>
      <c r="N35">
        <f>IF(N11&lt;=$R$14,IF(N26&gt;0,N26,HLOOKUP(N11,Estimation_ECS!$C$27:$R$30,4))/N32,0)</f>
        <v>0</v>
      </c>
      <c r="O35">
        <f>IF(O11&lt;=$R$14,IF(O26&gt;0,O26,HLOOKUP(O11,Estimation_ECS!$C$27:$R$30,4))/O32,0)</f>
        <v>0</v>
      </c>
    </row>
    <row r="36" spans="2:15">
      <c r="B36" s="47"/>
      <c r="C36" s="32" t="s">
        <v>378</v>
      </c>
      <c r="D36">
        <f>D34-D35</f>
        <v>0</v>
      </c>
      <c r="E36" t="e">
        <f t="shared" ref="E36:O36" si="7">E34-E35</f>
        <v>#DIV/0!</v>
      </c>
      <c r="F36" t="e">
        <f t="shared" si="7"/>
        <v>#DIV/0!</v>
      </c>
      <c r="G36" t="e">
        <f t="shared" si="7"/>
        <v>#DIV/0!</v>
      </c>
      <c r="H36" t="e">
        <f t="shared" si="7"/>
        <v>#DIV/0!</v>
      </c>
      <c r="I36" t="e">
        <f t="shared" si="7"/>
        <v>#DIV/0!</v>
      </c>
      <c r="J36" t="e">
        <f t="shared" si="7"/>
        <v>#DIV/0!</v>
      </c>
      <c r="K36">
        <f t="shared" si="7"/>
        <v>0</v>
      </c>
      <c r="L36">
        <f t="shared" si="7"/>
        <v>0</v>
      </c>
      <c r="M36">
        <f t="shared" si="7"/>
        <v>0</v>
      </c>
      <c r="N36">
        <f t="shared" si="7"/>
        <v>0</v>
      </c>
      <c r="O36">
        <f t="shared" si="7"/>
        <v>0</v>
      </c>
    </row>
    <row r="37" spans="2:15">
      <c r="B37" s="47"/>
      <c r="C37" s="32" t="s">
        <v>379</v>
      </c>
      <c r="D37">
        <f>IF(D11&lt;=$R$14,D19/D32,0)</f>
        <v>0</v>
      </c>
      <c r="E37" t="e">
        <f t="shared" ref="E37:O37" si="8">IF(E11&lt;=$R$14,E19/E32,0)</f>
        <v>#DIV/0!</v>
      </c>
      <c r="F37" t="e">
        <f t="shared" si="8"/>
        <v>#DIV/0!</v>
      </c>
      <c r="G37" t="e">
        <f t="shared" si="8"/>
        <v>#DIV/0!</v>
      </c>
      <c r="H37" t="e">
        <f t="shared" si="8"/>
        <v>#DIV/0!</v>
      </c>
      <c r="I37" t="e">
        <f t="shared" si="8"/>
        <v>#DIV/0!</v>
      </c>
      <c r="J37" t="e">
        <f t="shared" si="8"/>
        <v>#DIV/0!</v>
      </c>
      <c r="K37">
        <f t="shared" si="8"/>
        <v>0</v>
      </c>
      <c r="L37">
        <f t="shared" si="8"/>
        <v>0</v>
      </c>
      <c r="M37">
        <f t="shared" si="8"/>
        <v>0</v>
      </c>
      <c r="N37">
        <f t="shared" si="8"/>
        <v>0</v>
      </c>
      <c r="O37">
        <f t="shared" si="8"/>
        <v>0</v>
      </c>
    </row>
    <row r="38" spans="2:15">
      <c r="B38" s="47"/>
      <c r="C38" s="32" t="s">
        <v>380</v>
      </c>
      <c r="D38">
        <f>IF(D11&lt;=$R$14,D24/D32,0)</f>
        <v>0</v>
      </c>
      <c r="E38" t="e">
        <f t="shared" ref="E38:O38" si="9">IF(E11&lt;=$R$14,E24/E32,0)</f>
        <v>#DIV/0!</v>
      </c>
      <c r="F38" t="e">
        <f t="shared" si="9"/>
        <v>#DIV/0!</v>
      </c>
      <c r="G38" t="e">
        <f t="shared" si="9"/>
        <v>#DIV/0!</v>
      </c>
      <c r="H38" t="e">
        <f t="shared" si="9"/>
        <v>#DIV/0!</v>
      </c>
      <c r="I38" t="e">
        <f t="shared" si="9"/>
        <v>#DIV/0!</v>
      </c>
      <c r="J38" t="e">
        <f t="shared" si="9"/>
        <v>#DIV/0!</v>
      </c>
      <c r="K38">
        <f t="shared" si="9"/>
        <v>0</v>
      </c>
      <c r="L38">
        <f t="shared" si="9"/>
        <v>0</v>
      </c>
      <c r="M38">
        <f t="shared" si="9"/>
        <v>0</v>
      </c>
      <c r="N38">
        <f t="shared" si="9"/>
        <v>0</v>
      </c>
      <c r="O38">
        <f t="shared" si="9"/>
        <v>0</v>
      </c>
    </row>
    <row r="39" spans="2:15">
      <c r="C39" s="32" t="s">
        <v>381</v>
      </c>
      <c r="D39">
        <f>IF(D11&lt;=$R$14,D33+D34+D37+D38,0)</f>
        <v>0</v>
      </c>
      <c r="E39" t="e">
        <f t="shared" ref="E39:O39" si="10">IF(E11&lt;=$R$14,E33+E34+E37+E38,0)</f>
        <v>#DIV/0!</v>
      </c>
      <c r="F39" t="e">
        <f t="shared" si="10"/>
        <v>#DIV/0!</v>
      </c>
      <c r="G39" t="e">
        <f t="shared" si="10"/>
        <v>#DIV/0!</v>
      </c>
      <c r="H39" t="e">
        <f t="shared" si="10"/>
        <v>#DIV/0!</v>
      </c>
      <c r="I39" t="e">
        <f t="shared" si="10"/>
        <v>#DIV/0!</v>
      </c>
      <c r="J39" t="e">
        <f t="shared" si="10"/>
        <v>#DIV/0!</v>
      </c>
      <c r="K39">
        <f t="shared" si="10"/>
        <v>0</v>
      </c>
      <c r="L39">
        <f t="shared" si="10"/>
        <v>0</v>
      </c>
      <c r="M39">
        <f t="shared" si="10"/>
        <v>0</v>
      </c>
      <c r="N39">
        <f t="shared" si="10"/>
        <v>0</v>
      </c>
      <c r="O39">
        <f t="shared" si="10"/>
        <v>0</v>
      </c>
    </row>
    <row r="40" spans="2:15" s="466" customFormat="1">
      <c r="B40" s="147" t="s">
        <v>878</v>
      </c>
      <c r="C40" s="32" t="s">
        <v>879</v>
      </c>
      <c r="D40" s="466">
        <f>IFERROR(GETPIVOTDATA("[Measures].[Somme de Demande_jour]",TCD_Conso!$B$3,"[Tab_concat].[Type]","[Tab_concat].[Type].&amp;[Consommation]","[Tab_concat].[Detail usage]","[Tab_concat].[Detail usage].&amp;[General EF]","[Tab_concat].[Annee]","[Tab_concat].[Annee].&amp;["&amp;D11&amp;"]"),0)</f>
        <v>0</v>
      </c>
      <c r="E40" s="466">
        <f>IFERROR(GETPIVOTDATA("[Measures].[Somme de Demande_jour]",TCD_Conso!$B$3,"[Tab_concat].[Type]","[Tab_concat].[Type].&amp;[Consommation]","[Tab_concat].[Detail usage]","[Tab_concat].[Detail usage].&amp;[General EF]","[Tab_concat].[Annee]","[Tab_concat].[Annee].&amp;["&amp;E11&amp;"]"),0)</f>
        <v>0</v>
      </c>
      <c r="F40" s="466">
        <f>IFERROR(GETPIVOTDATA("[Measures].[Somme de Demande_jour]",TCD_Conso!$B$3,"[Tab_concat].[Type]","[Tab_concat].[Type].&amp;[Consommation]","[Tab_concat].[Detail usage]","[Tab_concat].[Detail usage].&amp;[General EF]","[Tab_concat].[Annee]","[Tab_concat].[Annee].&amp;["&amp;F11&amp;"]"),0)</f>
        <v>0</v>
      </c>
      <c r="G40" s="466">
        <f>IFERROR(GETPIVOTDATA("[Measures].[Somme de Demande_jour]",TCD_Conso!$B$3,"[Tab_concat].[Type]","[Tab_concat].[Type].&amp;[Consommation]","[Tab_concat].[Detail usage]","[Tab_concat].[Detail usage].&amp;[General EF]","[Tab_concat].[Annee]","[Tab_concat].[Annee].&amp;["&amp;G11&amp;"]"),0)</f>
        <v>0</v>
      </c>
      <c r="H40" s="466">
        <f>IFERROR(GETPIVOTDATA("[Measures].[Somme de Demande_jour]",TCD_Conso!$B$3,"[Tab_concat].[Type]","[Tab_concat].[Type].&amp;[Consommation]","[Tab_concat].[Detail usage]","[Tab_concat].[Detail usage].&amp;[General EF]","[Tab_concat].[Annee]","[Tab_concat].[Annee].&amp;["&amp;H11&amp;"]"),0)</f>
        <v>0</v>
      </c>
      <c r="I40" s="466">
        <f>IFERROR(GETPIVOTDATA("[Measures].[Somme de Demande_jour]",TCD_Conso!$B$3,"[Tab_concat].[Type]","[Tab_concat].[Type].&amp;[Consommation]","[Tab_concat].[Detail usage]","[Tab_concat].[Detail usage].&amp;[General EF]","[Tab_concat].[Annee]","[Tab_concat].[Annee].&amp;["&amp;I11&amp;"]"),0)</f>
        <v>0</v>
      </c>
      <c r="J40" s="466">
        <f>IFERROR(GETPIVOTDATA("[Measures].[Somme de Demande_jour]",TCD_Conso!$B$3,"[Tab_concat].[Type]","[Tab_concat].[Type].&amp;[Consommation]","[Tab_concat].[Detail usage]","[Tab_concat].[Detail usage].&amp;[General EF]","[Tab_concat].[Annee]","[Tab_concat].[Annee].&amp;["&amp;J11&amp;"]"),0)</f>
        <v>0</v>
      </c>
      <c r="K40" s="466">
        <f>IFERROR(GETPIVOTDATA("[Measures].[Somme de Demande_jour]",TCD_Conso!$B$3,"[Tab_concat].[Type]","[Tab_concat].[Type].&amp;[Consommation]","[Tab_concat].[Detail usage]","[Tab_concat].[Detail usage].&amp;[General EF]","[Tab_concat].[Annee]","[Tab_concat].[Annee].&amp;["&amp;K11&amp;"]"),0)</f>
        <v>0</v>
      </c>
      <c r="L40" s="466">
        <f>IFERROR(GETPIVOTDATA("[Measures].[Somme de Demande_jour]",TCD_Conso!$B$3,"[Tab_concat].[Type]","[Tab_concat].[Type].&amp;[Consommation]","[Tab_concat].[Detail usage]","[Tab_concat].[Detail usage].&amp;[General EF]","[Tab_concat].[Annee]","[Tab_concat].[Annee].&amp;["&amp;L11&amp;"]"),0)</f>
        <v>0</v>
      </c>
      <c r="M40" s="466">
        <f>IFERROR(GETPIVOTDATA("[Measures].[Somme de Demande_jour]",TCD_Conso!$B$3,"[Tab_concat].[Type]","[Tab_concat].[Type].&amp;[Consommation]","[Tab_concat].[Detail usage]","[Tab_concat].[Detail usage].&amp;[General EF]","[Tab_concat].[Annee]","[Tab_concat].[Annee].&amp;["&amp;M11&amp;"]"),0)</f>
        <v>0</v>
      </c>
      <c r="N40" s="466">
        <f>IFERROR(GETPIVOTDATA("[Measures].[Somme de Demande_jour]",TCD_Conso!$B$3,"[Tab_concat].[Type]","[Tab_concat].[Type].&amp;[Consommation]","[Tab_concat].[Detail usage]","[Tab_concat].[Detail usage].&amp;[General EF]","[Tab_concat].[Annee]","[Tab_concat].[Annee].&amp;["&amp;N11&amp;"]"),0)</f>
        <v>0</v>
      </c>
      <c r="O40" s="466">
        <f>IFERROR(GETPIVOTDATA("[Measures].[Somme de Demande_jour]",TCD_Conso!$B$3,"[Tab_concat].[Type]","[Tab_concat].[Type].&amp;[Consommation]","[Tab_concat].[Detail usage]","[Tab_concat].[Detail usage].&amp;[General EF]","[Tab_concat].[Annee]","[Tab_concat].[Annee].&amp;["&amp;O11&amp;"]"),0)</f>
        <v>0</v>
      </c>
    </row>
    <row r="42" spans="2:15">
      <c r="C42" t="s">
        <v>352</v>
      </c>
      <c r="D42">
        <f>$R$9</f>
        <v>0</v>
      </c>
      <c r="E42">
        <f t="shared" ref="E42:O42" si="11">$R$9</f>
        <v>0</v>
      </c>
      <c r="F42">
        <f t="shared" si="11"/>
        <v>0</v>
      </c>
      <c r="G42">
        <f t="shared" si="11"/>
        <v>0</v>
      </c>
      <c r="H42">
        <f t="shared" si="11"/>
        <v>0</v>
      </c>
      <c r="I42">
        <f t="shared" si="11"/>
        <v>0</v>
      </c>
      <c r="J42">
        <f t="shared" si="11"/>
        <v>0</v>
      </c>
      <c r="K42">
        <f t="shared" si="11"/>
        <v>0</v>
      </c>
      <c r="L42">
        <f t="shared" si="11"/>
        <v>0</v>
      </c>
      <c r="M42">
        <f t="shared" si="11"/>
        <v>0</v>
      </c>
      <c r="N42">
        <f t="shared" si="11"/>
        <v>0</v>
      </c>
      <c r="O42">
        <f t="shared" si="11"/>
        <v>0</v>
      </c>
    </row>
    <row r="43" spans="2:15">
      <c r="C43" s="32" t="s">
        <v>382</v>
      </c>
      <c r="D43" s="51">
        <f>E43</f>
        <v>0</v>
      </c>
      <c r="E43" s="49">
        <f>IF(E44*0.9&lt;$R$9,$R$9,E44*0.9)</f>
        <v>0</v>
      </c>
      <c r="F43" s="49">
        <f t="shared" ref="F43:O43" si="12">IF(F44*0.9&lt;$R$9,$R$9,F44*0.9)</f>
        <v>0</v>
      </c>
      <c r="G43" s="49">
        <f t="shared" si="12"/>
        <v>0</v>
      </c>
      <c r="H43" s="49">
        <f t="shared" si="12"/>
        <v>0</v>
      </c>
      <c r="I43" s="49">
        <f t="shared" si="12"/>
        <v>0</v>
      </c>
      <c r="J43" s="49">
        <f t="shared" si="12"/>
        <v>0</v>
      </c>
      <c r="K43" s="49">
        <f t="shared" si="12"/>
        <v>0</v>
      </c>
      <c r="L43" s="49">
        <f t="shared" si="12"/>
        <v>0</v>
      </c>
      <c r="M43" s="49">
        <f t="shared" si="12"/>
        <v>0</v>
      </c>
      <c r="N43" s="49">
        <f t="shared" si="12"/>
        <v>0</v>
      </c>
      <c r="O43" s="49">
        <f t="shared" si="12"/>
        <v>0</v>
      </c>
    </row>
    <row r="44" spans="2:15">
      <c r="C44" s="32" t="s">
        <v>383</v>
      </c>
      <c r="D44">
        <f>R8</f>
        <v>0</v>
      </c>
      <c r="E44">
        <f>R8</f>
        <v>0</v>
      </c>
      <c r="F44" s="50">
        <f t="shared" ref="F44:O44" si="13">($R$9-$R$8)/($O$11-$E$11)*(F11-$E$11)+$E$44</f>
        <v>0</v>
      </c>
      <c r="G44" s="50">
        <f t="shared" si="13"/>
        <v>0</v>
      </c>
      <c r="H44" s="50">
        <f t="shared" si="13"/>
        <v>0</v>
      </c>
      <c r="I44" s="50">
        <f t="shared" si="13"/>
        <v>0</v>
      </c>
      <c r="J44" s="50">
        <f t="shared" si="13"/>
        <v>0</v>
      </c>
      <c r="K44" s="50">
        <f t="shared" si="13"/>
        <v>0</v>
      </c>
      <c r="L44" s="50">
        <f t="shared" si="13"/>
        <v>0</v>
      </c>
      <c r="M44" s="50">
        <f t="shared" si="13"/>
        <v>0</v>
      </c>
      <c r="N44" s="50">
        <f t="shared" si="13"/>
        <v>0</v>
      </c>
      <c r="O44" s="50">
        <f t="shared" si="13"/>
        <v>0</v>
      </c>
    </row>
    <row r="45" spans="2:15">
      <c r="C45" s="32" t="s">
        <v>384</v>
      </c>
      <c r="D45" s="51">
        <f>E45</f>
        <v>0</v>
      </c>
      <c r="E45" s="49">
        <f t="shared" ref="E45:O45" si="14">IF(1.1*E44 &gt;$R$8,$R$8,1.1*E44)</f>
        <v>0</v>
      </c>
      <c r="F45" s="49">
        <f t="shared" si="14"/>
        <v>0</v>
      </c>
      <c r="G45" s="49">
        <f t="shared" si="14"/>
        <v>0</v>
      </c>
      <c r="H45" s="49">
        <f t="shared" si="14"/>
        <v>0</v>
      </c>
      <c r="I45" s="49">
        <f t="shared" si="14"/>
        <v>0</v>
      </c>
      <c r="J45" s="49">
        <f t="shared" si="14"/>
        <v>0</v>
      </c>
      <c r="K45" s="49">
        <f t="shared" si="14"/>
        <v>0</v>
      </c>
      <c r="L45" s="49">
        <f t="shared" si="14"/>
        <v>0</v>
      </c>
      <c r="M45" s="49">
        <f t="shared" si="14"/>
        <v>0</v>
      </c>
      <c r="N45" s="49">
        <f t="shared" si="14"/>
        <v>0</v>
      </c>
      <c r="O45" s="49">
        <f t="shared" si="14"/>
        <v>0</v>
      </c>
    </row>
    <row r="46" spans="2:15">
      <c r="C46" s="32" t="s">
        <v>385</v>
      </c>
      <c r="D46">
        <f>$R$8</f>
        <v>0</v>
      </c>
      <c r="E46">
        <f t="shared" ref="E46:O46" si="15">$R$8</f>
        <v>0</v>
      </c>
      <c r="F46">
        <f t="shared" si="15"/>
        <v>0</v>
      </c>
      <c r="G46">
        <f t="shared" si="15"/>
        <v>0</v>
      </c>
      <c r="H46">
        <f t="shared" si="15"/>
        <v>0</v>
      </c>
      <c r="I46">
        <f t="shared" si="15"/>
        <v>0</v>
      </c>
      <c r="J46">
        <f t="shared" si="15"/>
        <v>0</v>
      </c>
      <c r="K46">
        <f t="shared" si="15"/>
        <v>0</v>
      </c>
      <c r="L46">
        <f t="shared" si="15"/>
        <v>0</v>
      </c>
      <c r="M46">
        <f t="shared" si="15"/>
        <v>0</v>
      </c>
      <c r="N46">
        <f t="shared" si="15"/>
        <v>0</v>
      </c>
      <c r="O46">
        <f t="shared" si="15"/>
        <v>0</v>
      </c>
    </row>
    <row r="47" spans="2:15">
      <c r="C47" s="32" t="s">
        <v>386</v>
      </c>
      <c r="D47">
        <f>D46+50</f>
        <v>50</v>
      </c>
      <c r="E47">
        <f t="shared" ref="E47:O47" si="16">E46+50</f>
        <v>50</v>
      </c>
      <c r="F47">
        <f t="shared" si="16"/>
        <v>50</v>
      </c>
      <c r="G47">
        <f t="shared" si="16"/>
        <v>50</v>
      </c>
      <c r="H47">
        <f t="shared" si="16"/>
        <v>50</v>
      </c>
      <c r="I47">
        <f t="shared" si="16"/>
        <v>50</v>
      </c>
      <c r="J47">
        <f t="shared" si="16"/>
        <v>50</v>
      </c>
      <c r="K47">
        <f t="shared" si="16"/>
        <v>50</v>
      </c>
      <c r="L47">
        <f t="shared" si="16"/>
        <v>50</v>
      </c>
      <c r="M47">
        <f t="shared" si="16"/>
        <v>50</v>
      </c>
      <c r="N47">
        <f t="shared" si="16"/>
        <v>50</v>
      </c>
      <c r="O47">
        <f t="shared" si="16"/>
        <v>50</v>
      </c>
    </row>
    <row r="48" spans="2:15">
      <c r="C48" s="32" t="s">
        <v>13</v>
      </c>
      <c r="D48" t="e">
        <f>VLOOKUP(D11,Site!$B$8:$H$23,7,FALSE)</f>
        <v>#N/A</v>
      </c>
      <c r="E48" t="str">
        <f>VLOOKUP(E11,Site!$B$8:$H$23,7,FALSE)</f>
        <v/>
      </c>
      <c r="F48" t="str">
        <f>VLOOKUP(F11,Site!$B$8:$H$23,7,FALSE)</f>
        <v/>
      </c>
      <c r="G48" t="str">
        <f>VLOOKUP(G11,Site!$B$8:$H$23,7,FALSE)</f>
        <v/>
      </c>
      <c r="H48" t="str">
        <f>VLOOKUP(H11,Site!$B$8:$H$23,7,FALSE)</f>
        <v/>
      </c>
      <c r="I48" t="str">
        <f>VLOOKUP(I11,Site!$B$8:$H$23,7,FALSE)</f>
        <v/>
      </c>
      <c r="J48" t="str">
        <f>VLOOKUP(J11,Site!$B$8:$H$23,7,FALSE)</f>
        <v/>
      </c>
      <c r="K48" t="str">
        <f>J48</f>
        <v/>
      </c>
      <c r="L48" t="str">
        <f>K48</f>
        <v/>
      </c>
      <c r="M48" t="str">
        <f>L48</f>
        <v/>
      </c>
      <c r="N48" t="str">
        <f>M48</f>
        <v/>
      </c>
      <c r="O48" t="str">
        <f>N48</f>
        <v/>
      </c>
    </row>
    <row r="50" spans="2:16">
      <c r="C50" s="32" t="s">
        <v>387</v>
      </c>
      <c r="D50" s="53">
        <f>IF(D11&lt;=$R$14,(D15-$G$3)/$G$3,0)</f>
        <v>0</v>
      </c>
      <c r="E50" s="53">
        <f t="shared" ref="E50:O50" si="17">IF(E11&lt;=$R$14,(E15-$G$3)/$G$3,0)</f>
        <v>-0.15150993348974359</v>
      </c>
      <c r="F50" s="53">
        <f t="shared" si="17"/>
        <v>2.4559288835317241E-2</v>
      </c>
      <c r="G50" s="53">
        <f t="shared" si="17"/>
        <v>-0.13299898835532398</v>
      </c>
      <c r="H50" s="53">
        <f t="shared" si="17"/>
        <v>-0.1566757786435351</v>
      </c>
      <c r="I50" s="53">
        <f t="shared" si="17"/>
        <v>-0.10028196904797772</v>
      </c>
      <c r="J50" s="53">
        <f t="shared" si="17"/>
        <v>-0.11922340127854661</v>
      </c>
      <c r="K50" s="53">
        <f t="shared" si="17"/>
        <v>0</v>
      </c>
      <c r="L50" s="53">
        <f t="shared" si="17"/>
        <v>0</v>
      </c>
      <c r="M50" s="53">
        <f t="shared" si="17"/>
        <v>0</v>
      </c>
      <c r="N50" s="53">
        <f t="shared" si="17"/>
        <v>0</v>
      </c>
      <c r="O50" s="53">
        <f t="shared" si="17"/>
        <v>0</v>
      </c>
    </row>
    <row r="51" spans="2:16">
      <c r="C51" s="32" t="s">
        <v>388</v>
      </c>
      <c r="D51" s="53">
        <f>IF(D50&lt;0,"",D50)</f>
        <v>0</v>
      </c>
      <c r="E51" s="53" t="str">
        <f t="shared" ref="E51:O51" si="18">IF(E50&lt;0,"",E50)</f>
        <v/>
      </c>
      <c r="F51" s="53">
        <f t="shared" si="18"/>
        <v>2.4559288835317241E-2</v>
      </c>
      <c r="G51" s="53" t="str">
        <f t="shared" si="18"/>
        <v/>
      </c>
      <c r="H51" s="53" t="str">
        <f t="shared" si="18"/>
        <v/>
      </c>
      <c r="I51" s="53" t="str">
        <f t="shared" si="18"/>
        <v/>
      </c>
      <c r="J51" s="53" t="str">
        <f t="shared" si="18"/>
        <v/>
      </c>
      <c r="K51" s="53">
        <f t="shared" si="18"/>
        <v>0</v>
      </c>
      <c r="L51" s="53">
        <f t="shared" si="18"/>
        <v>0</v>
      </c>
      <c r="M51" s="53">
        <f t="shared" si="18"/>
        <v>0</v>
      </c>
      <c r="N51" s="53">
        <f t="shared" si="18"/>
        <v>0</v>
      </c>
      <c r="O51" s="53">
        <f t="shared" si="18"/>
        <v>0</v>
      </c>
    </row>
    <row r="52" spans="2:16">
      <c r="C52" s="32" t="s">
        <v>389</v>
      </c>
      <c r="D52" s="53">
        <f>IF(D50&gt;0,"",D50)</f>
        <v>0</v>
      </c>
      <c r="E52" s="53">
        <f t="shared" ref="E52:O52" si="19">IF(E50&gt;0,"",E50)</f>
        <v>-0.15150993348974359</v>
      </c>
      <c r="F52" s="53" t="str">
        <f t="shared" si="19"/>
        <v/>
      </c>
      <c r="G52" s="53">
        <f t="shared" si="19"/>
        <v>-0.13299898835532398</v>
      </c>
      <c r="H52" s="53">
        <f t="shared" si="19"/>
        <v>-0.1566757786435351</v>
      </c>
      <c r="I52" s="53">
        <f t="shared" si="19"/>
        <v>-0.10028196904797772</v>
      </c>
      <c r="J52" s="53">
        <f t="shared" si="19"/>
        <v>-0.11922340127854661</v>
      </c>
      <c r="K52" s="53">
        <f t="shared" si="19"/>
        <v>0</v>
      </c>
      <c r="L52" s="53">
        <f t="shared" si="19"/>
        <v>0</v>
      </c>
      <c r="M52" s="53">
        <f t="shared" si="19"/>
        <v>0</v>
      </c>
      <c r="N52" s="53">
        <f t="shared" si="19"/>
        <v>0</v>
      </c>
      <c r="O52" s="53">
        <f t="shared" si="19"/>
        <v>0</v>
      </c>
    </row>
    <row r="54" spans="2:16">
      <c r="B54" s="31" t="s">
        <v>7</v>
      </c>
      <c r="D54">
        <v>2010</v>
      </c>
      <c r="E54">
        <v>2011</v>
      </c>
      <c r="F54">
        <v>2012</v>
      </c>
      <c r="G54">
        <v>2013</v>
      </c>
      <c r="H54">
        <v>2014</v>
      </c>
      <c r="I54">
        <v>2015</v>
      </c>
      <c r="J54">
        <v>2016</v>
      </c>
      <c r="K54">
        <v>2017</v>
      </c>
      <c r="L54">
        <v>2018</v>
      </c>
      <c r="M54">
        <v>2019</v>
      </c>
      <c r="N54">
        <v>2020</v>
      </c>
      <c r="O54">
        <v>2021</v>
      </c>
      <c r="P54">
        <v>2022</v>
      </c>
    </row>
    <row r="55" spans="2:16">
      <c r="B55" s="577" t="s">
        <v>27</v>
      </c>
      <c r="C55" t="s">
        <v>28</v>
      </c>
      <c r="D55" s="444">
        <f>IFERROR(GETPIVOTDATA("[Measures].[Somme de Conso_kWh_PCI]",TCD_Conso!$B$3,"[Tab_concat].[Type]","[Tab_concat].[Type].&amp;[Consommation]","[Tab_concat].[Detail usage]","[Tab_concat].[Detail usage].&amp;["&amp;$C55&amp;"]","[Tab_concat].[Annee]","[Tab_concat].[Annee].&amp;["&amp;D$54&amp;"]"),0)</f>
        <v>0</v>
      </c>
      <c r="E55" s="436">
        <f>IFERROR(GETPIVOTDATA("[Measures].[Somme de Conso_kWh_PCI]",TCD_Conso!$B$3,"[Tab_concat].[Type]","[Tab_concat].[Type].&amp;[Consommation]","[Tab_concat].[Detail usage]","[Tab_concat].[Detail usage].&amp;["&amp;$C55&amp;"]","[Tab_concat].[Annee]","[Tab_concat].[Annee].&amp;["&amp;E$54&amp;"]"),0)</f>
        <v>0</v>
      </c>
      <c r="F55" s="436">
        <f>IFERROR(GETPIVOTDATA("[Measures].[Somme de Conso_kWh_PCI]",TCD_Conso!$B$3,"[Tab_concat].[Type]","[Tab_concat].[Type].&amp;[Consommation]","[Tab_concat].[Detail usage]","[Tab_concat].[Detail usage].&amp;["&amp;$C55&amp;"]","[Tab_concat].[Annee]","[Tab_concat].[Annee].&amp;["&amp;F$54&amp;"]"),0)</f>
        <v>0</v>
      </c>
      <c r="G55" s="436">
        <f>IFERROR(GETPIVOTDATA("[Measures].[Somme de Conso_kWh_PCI]",TCD_Conso!$B$3,"[Tab_concat].[Type]","[Tab_concat].[Type].&amp;[Consommation]","[Tab_concat].[Detail usage]","[Tab_concat].[Detail usage].&amp;["&amp;$C55&amp;"]","[Tab_concat].[Annee]","[Tab_concat].[Annee].&amp;["&amp;G$54&amp;"]"),0)</f>
        <v>0</v>
      </c>
      <c r="H55" s="436">
        <f>IFERROR(GETPIVOTDATA("[Measures].[Somme de Conso_kWh_PCI]",TCD_Conso!$B$3,"[Tab_concat].[Type]","[Tab_concat].[Type].&amp;[Consommation]","[Tab_concat].[Detail usage]","[Tab_concat].[Detail usage].&amp;["&amp;$C55&amp;"]","[Tab_concat].[Annee]","[Tab_concat].[Annee].&amp;["&amp;H$54&amp;"]"),0)</f>
        <v>0</v>
      </c>
      <c r="I55" s="436">
        <f>IFERROR(GETPIVOTDATA("[Measures].[Somme de Conso_kWh_PCI]",TCD_Conso!$B$3,"[Tab_concat].[Type]","[Tab_concat].[Type].&amp;[Consommation]","[Tab_concat].[Detail usage]","[Tab_concat].[Detail usage].&amp;["&amp;$C55&amp;"]","[Tab_concat].[Annee]","[Tab_concat].[Annee].&amp;["&amp;I$54&amp;"]"),0)</f>
        <v>0</v>
      </c>
      <c r="J55" s="436">
        <f>IFERROR(GETPIVOTDATA("[Measures].[Somme de Conso_kWh_PCI]",TCD_Conso!$B$3,"[Tab_concat].[Type]","[Tab_concat].[Type].&amp;[Consommation]","[Tab_concat].[Detail usage]","[Tab_concat].[Detail usage].&amp;["&amp;$C55&amp;"]","[Tab_concat].[Annee]","[Tab_concat].[Annee].&amp;["&amp;J$54&amp;"]"),0)</f>
        <v>0</v>
      </c>
      <c r="K55" s="436">
        <f>IFERROR(GETPIVOTDATA("[Measures].[Somme de Conso_kWh_PCI]",TCD_Conso!$B$3,"[Tab_concat].[Type]","[Tab_concat].[Type].&amp;[Consommation]","[Tab_concat].[Detail usage]","[Tab_concat].[Detail usage].&amp;["&amp;$C55&amp;"]","[Tab_concat].[Annee]","[Tab_concat].[Annee].&amp;["&amp;K$54&amp;"]"),0)</f>
        <v>0</v>
      </c>
      <c r="L55" s="436">
        <f>IFERROR(GETPIVOTDATA("[Measures].[Somme de Conso_kWh_PCI]",TCD_Conso!$B$3,"[Tab_concat].[Type]","[Tab_concat].[Type].&amp;[Consommation]","[Tab_concat].[Detail usage]","[Tab_concat].[Detail usage].&amp;["&amp;$C55&amp;"]","[Tab_concat].[Annee]","[Tab_concat].[Annee].&amp;["&amp;L$54&amp;"]"),0)</f>
        <v>0</v>
      </c>
      <c r="M55" s="436">
        <f>IFERROR(GETPIVOTDATA("[Measures].[Somme de Conso_kWh_PCI]",TCD_Conso!$B$3,"[Tab_concat].[Type]","[Tab_concat].[Type].&amp;[Consommation]","[Tab_concat].[Detail usage]","[Tab_concat].[Detail usage].&amp;["&amp;$C55&amp;"]","[Tab_concat].[Annee]","[Tab_concat].[Annee].&amp;["&amp;M$54&amp;"]"),0)</f>
        <v>0</v>
      </c>
      <c r="N55" s="436">
        <f>IFERROR(GETPIVOTDATA("[Measures].[Somme de Conso_kWh_PCI]",TCD_Conso!$B$3,"[Tab_concat].[Type]","[Tab_concat].[Type].&amp;[Consommation]","[Tab_concat].[Detail usage]","[Tab_concat].[Detail usage].&amp;["&amp;$C55&amp;"]","[Tab_concat].[Annee]","[Tab_concat].[Annee].&amp;["&amp;N$54&amp;"]"),0)</f>
        <v>0</v>
      </c>
      <c r="O55" s="436">
        <f>IFERROR(GETPIVOTDATA("[Measures].[Somme de Conso_kWh_PCI]",TCD_Conso!$B$3,"[Tab_concat].[Type]","[Tab_concat].[Type].&amp;[Consommation]","[Tab_concat].[Detail usage]","[Tab_concat].[Detail usage].&amp;["&amp;$C55&amp;"]","[Tab_concat].[Annee]","[Tab_concat].[Annee].&amp;["&amp;O$54&amp;"]"),0)</f>
        <v>0</v>
      </c>
      <c r="P55" s="436">
        <f>IFERROR(GETPIVOTDATA("[Measures].[Somme de Conso_kWh_PCI]",TCD_Conso!$B$3,"[Tab_concat].[Type]","[Tab_concat].[Type].&amp;[Consommation]","[Tab_concat].[Detail usage]","[Tab_concat].[Detail usage].&amp;["&amp;$C55&amp;"]","[Tab_concat].[Annee]","[Tab_concat].[Annee].&amp;["&amp;P$54&amp;"]"),0)</f>
        <v>0</v>
      </c>
    </row>
    <row r="56" spans="2:16">
      <c r="B56" s="578"/>
      <c r="C56" t="s">
        <v>153</v>
      </c>
      <c r="D56" s="436">
        <f>IFERROR(GETPIVOTDATA("[Measures].[Somme de Conso_kWh_PCI]",TCD_Conso!$B$3,"[Tab_concat].[Type]","[Tab_concat].[Type].&amp;[Consommation]","[Tab_concat].[Detail usage]","[Tab_concat].[Detail usage].&amp;["&amp;$C56&amp;"]","[Tab_concat].[Annee]","[Tab_concat].[Annee].&amp;["&amp;D$54&amp;"]"),0)</f>
        <v>0</v>
      </c>
      <c r="E56" s="436">
        <f>IFERROR(GETPIVOTDATA("[Measures].[Somme de Conso_kWh_PCI]",TCD_Conso!$B$3,"[Tab_concat].[Type]","[Tab_concat].[Type].&amp;[Consommation]","[Tab_concat].[Detail usage]","[Tab_concat].[Detail usage].&amp;["&amp;$C56&amp;"]","[Tab_concat].[Annee]","[Tab_concat].[Annee].&amp;["&amp;E$54&amp;"]"),0)</f>
        <v>0</v>
      </c>
      <c r="F56" s="436">
        <f>IFERROR(GETPIVOTDATA("[Measures].[Somme de Conso_kWh_PCI]",TCD_Conso!$B$3,"[Tab_concat].[Type]","[Tab_concat].[Type].&amp;[Consommation]","[Tab_concat].[Detail usage]","[Tab_concat].[Detail usage].&amp;["&amp;$C56&amp;"]","[Tab_concat].[Annee]","[Tab_concat].[Annee].&amp;["&amp;F$54&amp;"]"),0)</f>
        <v>0</v>
      </c>
      <c r="G56" s="436">
        <f>IFERROR(GETPIVOTDATA("[Measures].[Somme de Conso_kWh_PCI]",TCD_Conso!$B$3,"[Tab_concat].[Type]","[Tab_concat].[Type].&amp;[Consommation]","[Tab_concat].[Detail usage]","[Tab_concat].[Detail usage].&amp;["&amp;$C56&amp;"]","[Tab_concat].[Annee]","[Tab_concat].[Annee].&amp;["&amp;G$54&amp;"]"),0)</f>
        <v>0</v>
      </c>
      <c r="H56" s="436">
        <f>IFERROR(GETPIVOTDATA("[Measures].[Somme de Conso_kWh_PCI]",TCD_Conso!$B$3,"[Tab_concat].[Type]","[Tab_concat].[Type].&amp;[Consommation]","[Tab_concat].[Detail usage]","[Tab_concat].[Detail usage].&amp;["&amp;$C56&amp;"]","[Tab_concat].[Annee]","[Tab_concat].[Annee].&amp;["&amp;H$54&amp;"]"),0)</f>
        <v>0</v>
      </c>
      <c r="I56" s="436">
        <f>IFERROR(GETPIVOTDATA("[Measures].[Somme de Conso_kWh_PCI]",TCD_Conso!$B$3,"[Tab_concat].[Type]","[Tab_concat].[Type].&amp;[Consommation]","[Tab_concat].[Detail usage]","[Tab_concat].[Detail usage].&amp;["&amp;$C56&amp;"]","[Tab_concat].[Annee]","[Tab_concat].[Annee].&amp;["&amp;I$54&amp;"]"),0)</f>
        <v>0</v>
      </c>
      <c r="J56" s="436">
        <f>IFERROR(GETPIVOTDATA("[Measures].[Somme de Conso_kWh_PCI]",TCD_Conso!$B$3,"[Tab_concat].[Type]","[Tab_concat].[Type].&amp;[Consommation]","[Tab_concat].[Detail usage]","[Tab_concat].[Detail usage].&amp;["&amp;$C56&amp;"]","[Tab_concat].[Annee]","[Tab_concat].[Annee].&amp;["&amp;J$54&amp;"]"),0)</f>
        <v>0</v>
      </c>
      <c r="K56" s="436">
        <f>IFERROR(GETPIVOTDATA("[Measures].[Somme de Conso_kWh_PCI]",TCD_Conso!$B$3,"[Tab_concat].[Type]","[Tab_concat].[Type].&amp;[Consommation]","[Tab_concat].[Detail usage]","[Tab_concat].[Detail usage].&amp;["&amp;$C56&amp;"]","[Tab_concat].[Annee]","[Tab_concat].[Annee].&amp;["&amp;K$54&amp;"]"),0)</f>
        <v>0</v>
      </c>
      <c r="L56" s="436">
        <f>IFERROR(GETPIVOTDATA("[Measures].[Somme de Conso_kWh_PCI]",TCD_Conso!$B$3,"[Tab_concat].[Type]","[Tab_concat].[Type].&amp;[Consommation]","[Tab_concat].[Detail usage]","[Tab_concat].[Detail usage].&amp;["&amp;$C56&amp;"]","[Tab_concat].[Annee]","[Tab_concat].[Annee].&amp;["&amp;L$54&amp;"]"),0)</f>
        <v>0</v>
      </c>
      <c r="M56" s="436">
        <f>IFERROR(GETPIVOTDATA("[Measures].[Somme de Conso_kWh_PCI]",TCD_Conso!$B$3,"[Tab_concat].[Type]","[Tab_concat].[Type].&amp;[Consommation]","[Tab_concat].[Detail usage]","[Tab_concat].[Detail usage].&amp;["&amp;$C56&amp;"]","[Tab_concat].[Annee]","[Tab_concat].[Annee].&amp;["&amp;M$54&amp;"]"),0)</f>
        <v>0</v>
      </c>
      <c r="N56" s="436">
        <f>IFERROR(GETPIVOTDATA("[Measures].[Somme de Conso_kWh_PCI]",TCD_Conso!$B$3,"[Tab_concat].[Type]","[Tab_concat].[Type].&amp;[Consommation]","[Tab_concat].[Detail usage]","[Tab_concat].[Detail usage].&amp;["&amp;$C56&amp;"]","[Tab_concat].[Annee]","[Tab_concat].[Annee].&amp;["&amp;N$54&amp;"]"),0)</f>
        <v>0</v>
      </c>
      <c r="O56" s="436">
        <f>IFERROR(GETPIVOTDATA("[Measures].[Somme de Conso_kWh_PCI]",TCD_Conso!$B$3,"[Tab_concat].[Type]","[Tab_concat].[Type].&amp;[Consommation]","[Tab_concat].[Detail usage]","[Tab_concat].[Detail usage].&amp;["&amp;$C56&amp;"]","[Tab_concat].[Annee]","[Tab_concat].[Annee].&amp;["&amp;O$54&amp;"]"),0)</f>
        <v>0</v>
      </c>
      <c r="P56" s="436">
        <f>IFERROR(GETPIVOTDATA("[Measures].[Somme de Conso_kWh_PCI]",TCD_Conso!$B$3,"[Tab_concat].[Type]","[Tab_concat].[Type].&amp;[Consommation]","[Tab_concat].[Detail usage]","[Tab_concat].[Detail usage].&amp;["&amp;$C56&amp;"]","[Tab_concat].[Annee]","[Tab_concat].[Annee].&amp;["&amp;P$54&amp;"]"),0)</f>
        <v>0</v>
      </c>
    </row>
    <row r="57" spans="2:16">
      <c r="B57" s="578"/>
      <c r="C57" s="32" t="s">
        <v>356</v>
      </c>
      <c r="D57" s="444">
        <f t="shared" ref="D57:J57" si="20">IFERROR(D55-D56,"")</f>
        <v>0</v>
      </c>
      <c r="E57">
        <f t="shared" si="20"/>
        <v>0</v>
      </c>
      <c r="F57">
        <f t="shared" si="20"/>
        <v>0</v>
      </c>
      <c r="G57">
        <f t="shared" si="20"/>
        <v>0</v>
      </c>
      <c r="H57">
        <f t="shared" si="20"/>
        <v>0</v>
      </c>
      <c r="I57">
        <f t="shared" si="20"/>
        <v>0</v>
      </c>
      <c r="J57">
        <f t="shared" si="20"/>
        <v>0</v>
      </c>
      <c r="K57">
        <f t="shared" ref="K57:P57" si="21">IFERROR(K55-K56,"")</f>
        <v>0</v>
      </c>
      <c r="L57">
        <f t="shared" si="21"/>
        <v>0</v>
      </c>
      <c r="M57">
        <f t="shared" si="21"/>
        <v>0</v>
      </c>
      <c r="N57">
        <f t="shared" si="21"/>
        <v>0</v>
      </c>
      <c r="O57">
        <f t="shared" si="21"/>
        <v>0</v>
      </c>
      <c r="P57">
        <f t="shared" si="21"/>
        <v>0</v>
      </c>
    </row>
    <row r="58" spans="2:16">
      <c r="B58" s="579" t="s">
        <v>358</v>
      </c>
      <c r="C58" s="32" t="s">
        <v>359</v>
      </c>
      <c r="D58">
        <f>ROUND(GETPIVOTDATA("Somme de DJU(chauffagiste)",DJU!$H$13,"annee",D54),0)</f>
        <v>2751</v>
      </c>
      <c r="E58">
        <f>ROUND(GETPIVOTDATA("Somme de DJU(chauffagiste)",DJU!$H$13,"annee",E54),0)</f>
        <v>2034</v>
      </c>
      <c r="F58">
        <f>ROUND(GETPIVOTDATA("Somme de DJU(chauffagiste)",DJU!$H$13,"annee",F54),0)</f>
        <v>2459</v>
      </c>
      <c r="G58">
        <f>ROUND(GETPIVOTDATA("Somme de DJU(chauffagiste)",DJU!$H$13,"annee",G54),0)</f>
        <v>2576</v>
      </c>
      <c r="H58">
        <f>ROUND(GETPIVOTDATA("Somme de DJU(chauffagiste)",DJU!$H$13,"annee",H54),0)</f>
        <v>2064</v>
      </c>
      <c r="I58">
        <f>ROUND(GETPIVOTDATA("Somme de DJU(chauffagiste)",DJU!$H$13,"annee",I54),0)</f>
        <v>2183</v>
      </c>
      <c r="J58">
        <f>ROUND(GETPIVOTDATA("Somme de DJU(chauffagiste)",DJU!$H$13,"annee",J54),0)</f>
        <v>2421</v>
      </c>
      <c r="K58">
        <f>ROUND(GETPIVOTDATA("Somme de DJU(chauffagiste)",DJU!$H$13,"annee",K54),0)</f>
        <v>2238</v>
      </c>
      <c r="L58">
        <f>ROUND(GETPIVOTDATA("Somme de DJU(chauffagiste)",DJU!$H$13,"annee",L54),0)</f>
        <v>2147</v>
      </c>
      <c r="M58">
        <f>ROUND(GETPIVOTDATA("Somme de DJU(chauffagiste)",DJU!$H$13,"annee",M54),0)</f>
        <v>2213</v>
      </c>
      <c r="N58">
        <f>ROUND(GETPIVOTDATA("Somme de DJU(chauffagiste)",DJU!$H$13,"annee",N54),0)</f>
        <v>1971</v>
      </c>
      <c r="O58">
        <f>ROUND(GETPIVOTDATA("Somme de DJU(chauffagiste)",DJU!$H$13,"annee",O54),0)</f>
        <v>2380</v>
      </c>
      <c r="P58">
        <f>ROUND(GETPIVOTDATA("Somme de DJU(chauffagiste)",DJU!$H$13,"annee",P54),0)</f>
        <v>2014</v>
      </c>
    </row>
    <row r="59" spans="2:16">
      <c r="B59" s="579"/>
      <c r="C59" s="32" t="s">
        <v>13</v>
      </c>
      <c r="D59" t="str">
        <f>VLOOKUP(D54,Site!$B$8:$H$23,7,FALSE)</f>
        <v/>
      </c>
      <c r="E59" t="str">
        <f>VLOOKUP(E54,Site!$B$8:$H$23,7,FALSE)</f>
        <v/>
      </c>
      <c r="F59" t="str">
        <f>VLOOKUP(F54,Site!$B$8:$H$23,7,FALSE)</f>
        <v/>
      </c>
      <c r="G59" t="str">
        <f>VLOOKUP(G54,Site!$B$8:$H$23,7,FALSE)</f>
        <v/>
      </c>
      <c r="H59" t="str">
        <f>VLOOKUP(H54,Site!$B$8:$H$23,7,FALSE)</f>
        <v/>
      </c>
      <c r="I59" t="str">
        <f>VLOOKUP(I54,Site!$B$8:$H$23,7,FALSE)</f>
        <v/>
      </c>
      <c r="J59" t="str">
        <f>VLOOKUP(J54,Site!$B$8:$H$23,7,FALSE)</f>
        <v/>
      </c>
      <c r="K59" t="str">
        <f>VLOOKUP(K54,Site!$B$8:$H$23,7,FALSE)</f>
        <v/>
      </c>
      <c r="L59" t="str">
        <f>VLOOKUP(L54,Site!$B$8:$H$23,7,FALSE)</f>
        <v/>
      </c>
      <c r="M59" t="str">
        <f>VLOOKUP(M54,Site!$B$8:$H$23,7,FALSE)</f>
        <v/>
      </c>
      <c r="N59" t="str">
        <f>VLOOKUP(N54,Site!$B$8:$H$23,7,FALSE)</f>
        <v/>
      </c>
      <c r="O59" t="str">
        <f>VLOOKUP(O54,Site!$B$8:$H$23,7,FALSE)</f>
        <v/>
      </c>
      <c r="P59" t="str">
        <f>VLOOKUP(P54,Site!$B$8:$H$23,7,FALSE)</f>
        <v/>
      </c>
    </row>
    <row r="60" spans="2:16">
      <c r="B60" s="579"/>
      <c r="C60" s="32" t="s">
        <v>361</v>
      </c>
      <c r="D60">
        <f>Controle_des_données!$B$34</f>
        <v>2.4699999999999999E-4</v>
      </c>
      <c r="E60">
        <f>Controle_des_données!$B$34</f>
        <v>2.4699999999999999E-4</v>
      </c>
      <c r="F60">
        <f>Controle_des_données!$B$34</f>
        <v>2.4699999999999999E-4</v>
      </c>
      <c r="G60">
        <f>Controle_des_données!$B$34</f>
        <v>2.4699999999999999E-4</v>
      </c>
      <c r="H60">
        <f>Controle_des_données!$B$34</f>
        <v>2.4699999999999999E-4</v>
      </c>
      <c r="I60">
        <f>Controle_des_données!$B$34</f>
        <v>2.4699999999999999E-4</v>
      </c>
      <c r="J60">
        <f>Controle_des_données!$B$34</f>
        <v>2.4699999999999999E-4</v>
      </c>
      <c r="K60">
        <f>Controle_des_données!$B$34</f>
        <v>2.4699999999999999E-4</v>
      </c>
      <c r="L60">
        <f>Controle_des_données!$B$34</f>
        <v>2.4699999999999999E-4</v>
      </c>
      <c r="M60">
        <f>Controle_des_données!$B$34</f>
        <v>2.4699999999999999E-4</v>
      </c>
      <c r="N60">
        <f>Controle_des_données!$B$34</f>
        <v>2.4699999999999999E-4</v>
      </c>
      <c r="O60">
        <f>Controle_des_données!$B$34</f>
        <v>2.4699999999999999E-4</v>
      </c>
      <c r="P60">
        <f>Controle_des_données!$B$34</f>
        <v>2.4699999999999999E-4</v>
      </c>
    </row>
    <row r="61" spans="2:16">
      <c r="B61" s="579"/>
      <c r="C61" s="32" t="s">
        <v>362</v>
      </c>
      <c r="D61">
        <f>VLOOKUP(D54,Site!$B$8:$E$23,3,FALSE)</f>
        <v>0</v>
      </c>
      <c r="E61">
        <f>VLOOKUP(E54,Site!$B$8:$E$23,3,FALSE)</f>
        <v>0</v>
      </c>
      <c r="F61">
        <f>VLOOKUP(F54,Site!$B$8:$E$23,3,FALSE)</f>
        <v>0</v>
      </c>
      <c r="G61">
        <f>VLOOKUP(G54,Site!$B$8:$E$23,3,FALSE)</f>
        <v>0</v>
      </c>
      <c r="H61">
        <f>VLOOKUP(H54,Site!$B$8:$E$23,3,FALSE)</f>
        <v>0</v>
      </c>
      <c r="I61">
        <f>VLOOKUP(I54,Site!$B$8:$E$23,3,FALSE)</f>
        <v>0</v>
      </c>
      <c r="J61">
        <f>VLOOKUP(J54,Site!$B$8:$E$23,3,FALSE)</f>
        <v>0</v>
      </c>
      <c r="K61">
        <f>VLOOKUP(K54,Site!$B$8:$E$23,3,FALSE)</f>
        <v>0</v>
      </c>
      <c r="L61">
        <f>VLOOKUP(L54,Site!$B$8:$E$23,3,FALSE)</f>
        <v>0</v>
      </c>
      <c r="M61">
        <f>VLOOKUP(M54,Site!$B$8:$E$23,3,FALSE)</f>
        <v>0</v>
      </c>
      <c r="N61">
        <f>VLOOKUP(N54,Site!$B$8:$E$23,3,FALSE)</f>
        <v>0</v>
      </c>
      <c r="O61">
        <f>VLOOKUP(O54,Site!$B$8:$E$23,3,FALSE)</f>
        <v>0</v>
      </c>
      <c r="P61">
        <f>VLOOKUP(P54,Site!$B$8:$E$23,3,FALSE)</f>
        <v>0</v>
      </c>
    </row>
    <row r="62" spans="2:16">
      <c r="B62" s="579"/>
      <c r="C62" s="32" t="s">
        <v>364</v>
      </c>
      <c r="D62">
        <f>IFERROR(IF(D70&gt;0,D70*MAX(-0.5,MIN(($G$3-D58)/D58,1)),D61/D75*MIN(D60*D58,1)*(D57+D73)*MAX(-0.5,MIN(($G$3-D58)/D58,1))),0)</f>
        <v>0</v>
      </c>
      <c r="E62">
        <f t="shared" ref="E62:P62" si="22">IFERROR(IF(E70&gt;0,E70*MAX(-0.5,MIN(($G$3-E58)/E58,1)),E61/E75*MIN(E60*E58,1)*(E57+E73)*MAX(-0.5,MIN(($G$3-E58)/E58,1))),0)</f>
        <v>0</v>
      </c>
      <c r="F62">
        <f t="shared" si="22"/>
        <v>0</v>
      </c>
      <c r="G62">
        <f t="shared" si="22"/>
        <v>0</v>
      </c>
      <c r="H62">
        <f t="shared" si="22"/>
        <v>0</v>
      </c>
      <c r="I62">
        <f t="shared" si="22"/>
        <v>0</v>
      </c>
      <c r="J62">
        <f t="shared" si="22"/>
        <v>0</v>
      </c>
      <c r="K62">
        <f t="shared" si="22"/>
        <v>0</v>
      </c>
      <c r="L62">
        <f t="shared" si="22"/>
        <v>0</v>
      </c>
      <c r="M62">
        <f t="shared" si="22"/>
        <v>0</v>
      </c>
      <c r="N62">
        <f t="shared" si="22"/>
        <v>0</v>
      </c>
      <c r="O62">
        <f t="shared" si="22"/>
        <v>0</v>
      </c>
      <c r="P62">
        <f t="shared" si="22"/>
        <v>0</v>
      </c>
    </row>
    <row r="63" spans="2:16">
      <c r="B63" s="579" t="s">
        <v>366</v>
      </c>
      <c r="C63" s="32" t="s">
        <v>390</v>
      </c>
      <c r="D63" s="436">
        <f>IFERROR(GETPIVOTDATA("[Measures].[Somme de Conso_kWh_PCI]",TCD_Conso!$B$3,"[Tab_concat].[Type]","[Tab_concat].[Type].&amp;[Consommation]","[Tab_concat].[Detail usage]","[Tab_concat].[Detail usage].&amp;["&amp;$C63&amp;"]","[Tab_concat].[Annee]","[Tab_concat].[Annee].&amp;["&amp;D$54&amp;"]"),0)</f>
        <v>0</v>
      </c>
      <c r="E63" s="440">
        <f>IFERROR(GETPIVOTDATA("[Measures].[Somme de Conso_kWh_PCI]",TCD_Conso!$B$3,"[Tab_concat].[Type]","[Tab_concat].[Type].&amp;[Consommation]","[Tab_concat].[Detail usage]","[Tab_concat].[Detail usage].&amp;["&amp;$C63&amp;"]","[Tab_concat].[Annee]","[Tab_concat].[Annee].&amp;["&amp;E$54&amp;"]"),0)</f>
        <v>0</v>
      </c>
      <c r="F63" s="440">
        <f>IFERROR(GETPIVOTDATA("[Measures].[Somme de Conso_kWh_PCI]",TCD_Conso!$B$3,"[Tab_concat].[Type]","[Tab_concat].[Type].&amp;[Consommation]","[Tab_concat].[Detail usage]","[Tab_concat].[Detail usage].&amp;["&amp;$C63&amp;"]","[Tab_concat].[Annee]","[Tab_concat].[Annee].&amp;["&amp;F$54&amp;"]"),0)</f>
        <v>0</v>
      </c>
      <c r="G63" s="440">
        <f>IFERROR(GETPIVOTDATA("[Measures].[Somme de Conso_kWh_PCI]",TCD_Conso!$B$3,"[Tab_concat].[Type]","[Tab_concat].[Type].&amp;[Consommation]","[Tab_concat].[Detail usage]","[Tab_concat].[Detail usage].&amp;["&amp;$C63&amp;"]","[Tab_concat].[Annee]","[Tab_concat].[Annee].&amp;["&amp;G$54&amp;"]"),0)</f>
        <v>0</v>
      </c>
      <c r="H63" s="440">
        <f>IFERROR(GETPIVOTDATA("[Measures].[Somme de Conso_kWh_PCI]",TCD_Conso!$B$3,"[Tab_concat].[Type]","[Tab_concat].[Type].&amp;[Consommation]","[Tab_concat].[Detail usage]","[Tab_concat].[Detail usage].&amp;["&amp;$C63&amp;"]","[Tab_concat].[Annee]","[Tab_concat].[Annee].&amp;["&amp;H$54&amp;"]"),0)</f>
        <v>0</v>
      </c>
      <c r="I63" s="440">
        <f>IFERROR(GETPIVOTDATA("[Measures].[Somme de Conso_kWh_PCI]",TCD_Conso!$B$3,"[Tab_concat].[Type]","[Tab_concat].[Type].&amp;[Consommation]","[Tab_concat].[Detail usage]","[Tab_concat].[Detail usage].&amp;["&amp;$C63&amp;"]","[Tab_concat].[Annee]","[Tab_concat].[Annee].&amp;["&amp;I$54&amp;"]"),0)</f>
        <v>0</v>
      </c>
      <c r="J63" s="440">
        <f>IFERROR(GETPIVOTDATA("[Measures].[Somme de Conso_kWh_PCI]",TCD_Conso!$B$3,"[Tab_concat].[Type]","[Tab_concat].[Type].&amp;[Consommation]","[Tab_concat].[Detail usage]","[Tab_concat].[Detail usage].&amp;["&amp;$C63&amp;"]","[Tab_concat].[Annee]","[Tab_concat].[Annee].&amp;["&amp;J$54&amp;"]"),0)</f>
        <v>0</v>
      </c>
      <c r="K63" s="440">
        <f>IFERROR(GETPIVOTDATA("[Measures].[Somme de Conso_kWh_PCI]",TCD_Conso!$B$3,"[Tab_concat].[Type]","[Tab_concat].[Type].&amp;[Consommation]","[Tab_concat].[Detail usage]","[Tab_concat].[Detail usage].&amp;["&amp;$C63&amp;"]","[Tab_concat].[Annee]","[Tab_concat].[Annee].&amp;["&amp;K$54&amp;"]"),0)</f>
        <v>0</v>
      </c>
      <c r="L63" s="440">
        <f>IFERROR(GETPIVOTDATA("[Measures].[Somme de Conso_kWh_PCI]",TCD_Conso!$B$3,"[Tab_concat].[Type]","[Tab_concat].[Type].&amp;[Consommation]","[Tab_concat].[Detail usage]","[Tab_concat].[Detail usage].&amp;["&amp;$C63&amp;"]","[Tab_concat].[Annee]","[Tab_concat].[Annee].&amp;["&amp;L$54&amp;"]"),0)</f>
        <v>0</v>
      </c>
      <c r="M63" s="440">
        <f>IFERROR(GETPIVOTDATA("[Measures].[Somme de Conso_kWh_PCI]",TCD_Conso!$B$3,"[Tab_concat].[Type]","[Tab_concat].[Type].&amp;[Consommation]","[Tab_concat].[Detail usage]","[Tab_concat].[Detail usage].&amp;["&amp;$C63&amp;"]","[Tab_concat].[Annee]","[Tab_concat].[Annee].&amp;["&amp;M$54&amp;"]"),0)</f>
        <v>0</v>
      </c>
      <c r="N63" s="440">
        <f>IFERROR(GETPIVOTDATA("[Measures].[Somme de Conso_kWh_PCI]",TCD_Conso!$B$3,"[Tab_concat].[Type]","[Tab_concat].[Type].&amp;[Consommation]","[Tab_concat].[Detail usage]","[Tab_concat].[Detail usage].&amp;["&amp;$C63&amp;"]","[Tab_concat].[Annee]","[Tab_concat].[Annee].&amp;["&amp;N$54&amp;"]"),0)</f>
        <v>0</v>
      </c>
      <c r="O63" s="440">
        <f>IFERROR(GETPIVOTDATA("[Measures].[Somme de Conso_kWh_PCI]",TCD_Conso!$B$3,"[Tab_concat].[Type]","[Tab_concat].[Type].&amp;[Consommation]","[Tab_concat].[Detail usage]","[Tab_concat].[Detail usage].&amp;["&amp;$C63&amp;"]","[Tab_concat].[Annee]","[Tab_concat].[Annee].&amp;["&amp;O$54&amp;"]"),0)</f>
        <v>0</v>
      </c>
      <c r="P63" s="440">
        <f>IFERROR(GETPIVOTDATA("[Measures].[Somme de Conso_kWh_PCI]",TCD_Conso!$B$3,"[Tab_concat].[Type]","[Tab_concat].[Type].&amp;[Consommation]","[Tab_concat].[Detail usage]","[Tab_concat].[Detail usage].&amp;["&amp;$C63&amp;"]","[Tab_concat].[Annee]","[Tab_concat].[Annee].&amp;["&amp;P$54&amp;"]"),0)</f>
        <v>0</v>
      </c>
    </row>
    <row r="64" spans="2:16">
      <c r="B64" s="579"/>
      <c r="C64" s="32" t="s">
        <v>368</v>
      </c>
      <c r="D64">
        <f>GETPIVOTDATA("DJU(climaticien)",DJU!$L$13,"annee",D54)</f>
        <v>350</v>
      </c>
      <c r="E64">
        <f>GETPIVOTDATA("DJU(climaticien)",DJU!$L$13,"annee",E54)</f>
        <v>341</v>
      </c>
      <c r="F64">
        <f>GETPIVOTDATA("DJU(climaticien)",DJU!$L$13,"annee",F54)</f>
        <v>289</v>
      </c>
      <c r="G64">
        <f>GETPIVOTDATA("DJU(climaticien)",DJU!$L$13,"annee",G54)</f>
        <v>354</v>
      </c>
      <c r="H64">
        <f>GETPIVOTDATA("DJU(climaticien)",DJU!$L$13,"annee",H54)</f>
        <v>315</v>
      </c>
      <c r="I64">
        <f>GETPIVOTDATA("DJU(climaticien)",DJU!$L$13,"annee",I54)</f>
        <v>374</v>
      </c>
      <c r="J64">
        <f>GETPIVOTDATA("DJU(climaticien)",DJU!$L$13,"annee",J54)</f>
        <v>381</v>
      </c>
      <c r="K64">
        <f>GETPIVOTDATA("DJU(climaticien)",DJU!$L$13,"annee",K54)</f>
        <v>421</v>
      </c>
      <c r="L64">
        <f>GETPIVOTDATA("DJU(climaticien)",DJU!$L$13,"annee",L54)</f>
        <v>529</v>
      </c>
      <c r="M64">
        <f>GETPIVOTDATA("DJU(climaticien)",DJU!$L$13,"annee",M54)</f>
        <v>452</v>
      </c>
      <c r="N64">
        <f>GETPIVOTDATA("DJU(climaticien)",DJU!$L$13,"annee",N54)</f>
        <v>468</v>
      </c>
      <c r="O64">
        <f>GETPIVOTDATA("DJU(climaticien)",DJU!$L$13,"annee",O54)</f>
        <v>324</v>
      </c>
      <c r="P64">
        <f>GETPIVOTDATA("DJU(climaticien)",DJU!$L$13,"annee",P54)</f>
        <v>571</v>
      </c>
    </row>
    <row r="65" spans="2:16">
      <c r="B65" s="579"/>
      <c r="C65" s="32" t="s">
        <v>370</v>
      </c>
      <c r="D65">
        <f>Controle_des_données!$B$35</f>
        <v>5.3499999999999999E-5</v>
      </c>
      <c r="E65">
        <f>Controle_des_données!$B$35</f>
        <v>5.3499999999999999E-5</v>
      </c>
      <c r="F65">
        <f>Controle_des_données!$B$35</f>
        <v>5.3499999999999999E-5</v>
      </c>
      <c r="G65">
        <f>Controle_des_données!$B$35</f>
        <v>5.3499999999999999E-5</v>
      </c>
      <c r="H65">
        <f>Controle_des_données!$B$35</f>
        <v>5.3499999999999999E-5</v>
      </c>
      <c r="I65">
        <f>Controle_des_données!$B$35</f>
        <v>5.3499999999999999E-5</v>
      </c>
      <c r="J65">
        <f>Controle_des_données!$B$35</f>
        <v>5.3499999999999999E-5</v>
      </c>
      <c r="K65">
        <f>Controle_des_données!$B$35</f>
        <v>5.3499999999999999E-5</v>
      </c>
      <c r="L65">
        <f>Controle_des_données!$B$35</f>
        <v>5.3499999999999999E-5</v>
      </c>
      <c r="M65">
        <f>Controle_des_données!$B$35</f>
        <v>5.3499999999999999E-5</v>
      </c>
      <c r="N65">
        <f>Controle_des_données!$B$35</f>
        <v>5.3499999999999999E-5</v>
      </c>
      <c r="O65">
        <f>Controle_des_données!$B$35</f>
        <v>5.3499999999999999E-5</v>
      </c>
      <c r="P65">
        <f>Controle_des_données!$B$35</f>
        <v>5.3499999999999999E-5</v>
      </c>
    </row>
    <row r="66" spans="2:16">
      <c r="B66" s="579"/>
      <c r="C66" s="32" t="s">
        <v>371</v>
      </c>
      <c r="D66">
        <f>VLOOKUP(D54,Site!$B$8:$E$23,4,FALSE)</f>
        <v>0</v>
      </c>
      <c r="E66">
        <f>VLOOKUP(E54,Site!$B$8:$E$23,4,FALSE)</f>
        <v>0</v>
      </c>
      <c r="F66">
        <f>VLOOKUP(F54,Site!$B$8:$E$23,4,FALSE)</f>
        <v>0</v>
      </c>
      <c r="G66">
        <f>VLOOKUP(G54,Site!$B$8:$E$23,4,FALSE)</f>
        <v>0</v>
      </c>
      <c r="H66">
        <f>VLOOKUP(H54,Site!$B$8:$E$23,4,FALSE)</f>
        <v>0</v>
      </c>
      <c r="I66">
        <f>VLOOKUP(I54,Site!$B$8:$E$23,4,FALSE)</f>
        <v>0</v>
      </c>
      <c r="J66">
        <f>VLOOKUP(J54,Site!$B$8:$E$23,4,FALSE)</f>
        <v>0</v>
      </c>
      <c r="K66">
        <f>VLOOKUP(K54,Site!$B$8:$E$23,4,FALSE)</f>
        <v>0</v>
      </c>
      <c r="L66">
        <f>VLOOKUP(L54,Site!$B$8:$E$23,4,FALSE)</f>
        <v>0</v>
      </c>
      <c r="M66">
        <f>VLOOKUP(M54,Site!$B$8:$E$23,4,FALSE)</f>
        <v>0</v>
      </c>
      <c r="N66">
        <f>VLOOKUP(N54,Site!$B$8:$E$23,4,FALSE)</f>
        <v>0</v>
      </c>
      <c r="O66">
        <f>VLOOKUP(O54,Site!$B$8:$E$23,4,FALSE)</f>
        <v>0</v>
      </c>
      <c r="P66">
        <f>VLOOKUP(P54,Site!$B$8:$E$23,4,FALSE)</f>
        <v>0</v>
      </c>
    </row>
    <row r="67" spans="2:16">
      <c r="B67" s="579"/>
      <c r="C67" s="32" t="s">
        <v>372</v>
      </c>
      <c r="D67" s="440">
        <f>IFERROR(IF(D63&gt;0,D63*MAX(-0.5,MIN(($H$3-D64)/D64,1)),D66/D75*MIN(D65*D64,1)*(D57+D73)*MAX(-0.5,MIN(($H$3-D64)/D64,1))),0)</f>
        <v>0</v>
      </c>
      <c r="E67">
        <f>IFERROR(IF(E63&gt;0,E63*MAX(-0.5,MIN(($H$3-E64)/E64,1)),E66/E75*MIN(E65*E64,1)*(E57+E73)*MAX(-0.5,MIN(($H$3-E64)/E64,1))),0)</f>
        <v>0</v>
      </c>
      <c r="F67">
        <f t="shared" ref="F67:P67" si="23">IFERROR(IF(F63&gt;0,F63*MAX(-0.5,MIN(($H$3-F64)/F64,1)),F66/F75*MIN(F65*F64,1)*(F57+F73)*MAX(-0.5,MIN(($H$3-F64)/F64,1))),0)</f>
        <v>0</v>
      </c>
      <c r="G67">
        <f t="shared" si="23"/>
        <v>0</v>
      </c>
      <c r="H67">
        <f t="shared" si="23"/>
        <v>0</v>
      </c>
      <c r="I67">
        <f t="shared" si="23"/>
        <v>0</v>
      </c>
      <c r="J67">
        <f t="shared" si="23"/>
        <v>0</v>
      </c>
      <c r="K67">
        <f t="shared" si="23"/>
        <v>0</v>
      </c>
      <c r="L67">
        <f t="shared" si="23"/>
        <v>0</v>
      </c>
      <c r="M67">
        <f t="shared" si="23"/>
        <v>0</v>
      </c>
      <c r="N67">
        <f t="shared" si="23"/>
        <v>0</v>
      </c>
      <c r="O67">
        <f t="shared" si="23"/>
        <v>0</v>
      </c>
      <c r="P67">
        <f t="shared" si="23"/>
        <v>0</v>
      </c>
    </row>
    <row r="68" spans="2:16">
      <c r="B68" s="47"/>
      <c r="C68" s="32" t="s">
        <v>186</v>
      </c>
      <c r="D68" s="436">
        <f>IFERROR(GETPIVOTDATA("[Measures].[Somme de Conso_kWh_PCI]",TCD_Conso!$B$3,"[Tab_concat].[Type]","[Tab_concat].[Type].&amp;[Consommation]","[Tab_concat].[Detail usage]","[Tab_concat].[Detail usage].&amp;["&amp;$C68&amp;"]","[Tab_concat].[Annee]","[Tab_concat].[Annee].&amp;["&amp;D$54&amp;"]"),0)</f>
        <v>0</v>
      </c>
      <c r="E68" s="436">
        <f>IFERROR(GETPIVOTDATA("[Measures].[Somme de Conso_kWh_PCI]",TCD_Conso!$B$3,"[Tab_concat].[Type]","[Tab_concat].[Type].&amp;[Consommation]","[Tab_concat].[Detail usage]","[Tab_concat].[Detail usage].&amp;["&amp;$C68&amp;"]","[Tab_concat].[Annee]","[Tab_concat].[Annee].&amp;["&amp;E$54&amp;"]"),0)</f>
        <v>0</v>
      </c>
      <c r="F68" s="436">
        <f>IFERROR(GETPIVOTDATA("[Measures].[Somme de Conso_kWh_PCI]",TCD_Conso!$B$3,"[Tab_concat].[Type]","[Tab_concat].[Type].&amp;[Consommation]","[Tab_concat].[Detail usage]","[Tab_concat].[Detail usage].&amp;["&amp;$C68&amp;"]","[Tab_concat].[Annee]","[Tab_concat].[Annee].&amp;["&amp;F$54&amp;"]"),0)</f>
        <v>0</v>
      </c>
      <c r="G68" s="436">
        <f>IFERROR(GETPIVOTDATA("[Measures].[Somme de Conso_kWh_PCI]",TCD_Conso!$B$3,"[Tab_concat].[Type]","[Tab_concat].[Type].&amp;[Consommation]","[Tab_concat].[Detail usage]","[Tab_concat].[Detail usage].&amp;["&amp;$C68&amp;"]","[Tab_concat].[Annee]","[Tab_concat].[Annee].&amp;["&amp;G$54&amp;"]"),0)</f>
        <v>0</v>
      </c>
      <c r="H68" s="436">
        <f>IFERROR(GETPIVOTDATA("[Measures].[Somme de Conso_kWh_PCI]",TCD_Conso!$B$3,"[Tab_concat].[Type]","[Tab_concat].[Type].&amp;[Consommation]","[Tab_concat].[Detail usage]","[Tab_concat].[Detail usage].&amp;["&amp;$C68&amp;"]","[Tab_concat].[Annee]","[Tab_concat].[Annee].&amp;["&amp;H$54&amp;"]"),0)</f>
        <v>0</v>
      </c>
      <c r="I68" s="436">
        <f>IFERROR(GETPIVOTDATA("[Measures].[Somme de Conso_kWh_PCI]",TCD_Conso!$B$3,"[Tab_concat].[Type]","[Tab_concat].[Type].&amp;[Consommation]","[Tab_concat].[Detail usage]","[Tab_concat].[Detail usage].&amp;["&amp;$C68&amp;"]","[Tab_concat].[Annee]","[Tab_concat].[Annee].&amp;["&amp;I$54&amp;"]"),0)</f>
        <v>0</v>
      </c>
      <c r="J68" s="436">
        <f>IFERROR(GETPIVOTDATA("[Measures].[Somme de Conso_kWh_PCI]",TCD_Conso!$B$3,"[Tab_concat].[Type]","[Tab_concat].[Type].&amp;[Consommation]","[Tab_concat].[Detail usage]","[Tab_concat].[Detail usage].&amp;["&amp;$C68&amp;"]","[Tab_concat].[Annee]","[Tab_concat].[Annee].&amp;["&amp;J$54&amp;"]"),0)</f>
        <v>0</v>
      </c>
      <c r="K68" s="436">
        <f>IFERROR(GETPIVOTDATA("[Measures].[Somme de Conso_kWh_PCI]",TCD_Conso!$B$3,"[Tab_concat].[Type]","[Tab_concat].[Type].&amp;[Consommation]","[Tab_concat].[Detail usage]","[Tab_concat].[Detail usage].&amp;["&amp;$C68&amp;"]","[Tab_concat].[Annee]","[Tab_concat].[Annee].&amp;["&amp;K$54&amp;"]"),0)</f>
        <v>0</v>
      </c>
      <c r="L68" s="436">
        <f>IFERROR(GETPIVOTDATA("[Measures].[Somme de Conso_kWh_PCI]",TCD_Conso!$B$3,"[Tab_concat].[Type]","[Tab_concat].[Type].&amp;[Consommation]","[Tab_concat].[Detail usage]","[Tab_concat].[Detail usage].&amp;["&amp;$C68&amp;"]","[Tab_concat].[Annee]","[Tab_concat].[Annee].&amp;["&amp;L$54&amp;"]"),0)</f>
        <v>0</v>
      </c>
      <c r="M68" s="436">
        <f>IFERROR(GETPIVOTDATA("[Measures].[Somme de Conso_kWh_PCI]",TCD_Conso!$B$3,"[Tab_concat].[Type]","[Tab_concat].[Type].&amp;[Consommation]","[Tab_concat].[Detail usage]","[Tab_concat].[Detail usage].&amp;["&amp;$C68&amp;"]","[Tab_concat].[Annee]","[Tab_concat].[Annee].&amp;["&amp;M$54&amp;"]"),0)</f>
        <v>0</v>
      </c>
      <c r="N68" s="436">
        <f>IFERROR(GETPIVOTDATA("[Measures].[Somme de Conso_kWh_PCI]",TCD_Conso!$B$3,"[Tab_concat].[Type]","[Tab_concat].[Type].&amp;[Consommation]","[Tab_concat].[Detail usage]","[Tab_concat].[Detail usage].&amp;["&amp;$C68&amp;"]","[Tab_concat].[Annee]","[Tab_concat].[Annee].&amp;["&amp;N$54&amp;"]"),0)</f>
        <v>0</v>
      </c>
      <c r="O68" s="436">
        <f>IFERROR(GETPIVOTDATA("[Measures].[Somme de Conso_kWh_PCI]",TCD_Conso!$B$3,"[Tab_concat].[Type]","[Tab_concat].[Type].&amp;[Consommation]","[Tab_concat].[Detail usage]","[Tab_concat].[Detail usage].&amp;["&amp;$C68&amp;"]","[Tab_concat].[Annee]","[Tab_concat].[Annee].&amp;["&amp;O$54&amp;"]"),0)</f>
        <v>0</v>
      </c>
      <c r="P68" s="436">
        <f>IFERROR(GETPIVOTDATA("[Measures].[Somme de Conso_kWh_PCI]",TCD_Conso!$B$3,"[Tab_concat].[Type]","[Tab_concat].[Type].&amp;[Consommation]","[Tab_concat].[Detail usage]","[Tab_concat].[Detail usage].&amp;["&amp;$C68&amp;"]","[Tab_concat].[Annee]","[Tab_concat].[Annee].&amp;["&amp;P$54&amp;"]"),0)</f>
        <v>0</v>
      </c>
    </row>
    <row r="69" spans="2:16">
      <c r="B69" s="578" t="s">
        <v>373</v>
      </c>
      <c r="C69" s="32" t="s">
        <v>146</v>
      </c>
      <c r="D69" s="436">
        <f>IFERROR(GETPIVOTDATA("[Measures].[Somme de Conso_kWh_PCI]",TCD_Conso!$B$3,"[Tab_concat].[Type]","[Tab_concat].[Type].&amp;[Consommation]","[Tab_concat].[Detail usage]","[Tab_concat].[Detail usage].&amp;["&amp;$C69&amp;"]","[Tab_concat].[Annee]","[Tab_concat].[Annee].&amp;["&amp;D$54&amp;"]"),0)</f>
        <v>0</v>
      </c>
      <c r="E69" s="436">
        <f>IFERROR(GETPIVOTDATA("[Measures].[Somme de Conso_kWh_PCI]",TCD_Conso!$B$3,"[Tab_concat].[Type]","[Tab_concat].[Type].&amp;[Consommation]","[Tab_concat].[Detail usage]","[Tab_concat].[Detail usage].&amp;["&amp;$C69&amp;"]","[Tab_concat].[Annee]","[Tab_concat].[Annee].&amp;["&amp;E$54&amp;"]"),0)</f>
        <v>0</v>
      </c>
      <c r="F69" s="436">
        <f>IFERROR(GETPIVOTDATA("[Measures].[Somme de Conso_kWh_PCI]",TCD_Conso!$B$3,"[Tab_concat].[Type]","[Tab_concat].[Type].&amp;[Consommation]","[Tab_concat].[Detail usage]","[Tab_concat].[Detail usage].&amp;["&amp;$C69&amp;"]","[Tab_concat].[Annee]","[Tab_concat].[Annee].&amp;["&amp;F$54&amp;"]"),0)</f>
        <v>0</v>
      </c>
      <c r="G69" s="436">
        <f>IFERROR(GETPIVOTDATA("[Measures].[Somme de Conso_kWh_PCI]",TCD_Conso!$B$3,"[Tab_concat].[Type]","[Tab_concat].[Type].&amp;[Consommation]","[Tab_concat].[Detail usage]","[Tab_concat].[Detail usage].&amp;["&amp;$C69&amp;"]","[Tab_concat].[Annee]","[Tab_concat].[Annee].&amp;["&amp;G$54&amp;"]"),0)</f>
        <v>0</v>
      </c>
      <c r="H69" s="436">
        <f>IFERROR(GETPIVOTDATA("[Measures].[Somme de Conso_kWh_PCI]",TCD_Conso!$B$3,"[Tab_concat].[Type]","[Tab_concat].[Type].&amp;[Consommation]","[Tab_concat].[Detail usage]","[Tab_concat].[Detail usage].&amp;["&amp;$C69&amp;"]","[Tab_concat].[Annee]","[Tab_concat].[Annee].&amp;["&amp;H$54&amp;"]"),0)</f>
        <v>0</v>
      </c>
      <c r="I69" s="436">
        <f>IFERROR(GETPIVOTDATA("[Measures].[Somme de Conso_kWh_PCI]",TCD_Conso!$B$3,"[Tab_concat].[Type]","[Tab_concat].[Type].&amp;[Consommation]","[Tab_concat].[Detail usage]","[Tab_concat].[Detail usage].&amp;["&amp;$C69&amp;"]","[Tab_concat].[Annee]","[Tab_concat].[Annee].&amp;["&amp;I$54&amp;"]"),0)</f>
        <v>0</v>
      </c>
      <c r="J69" s="436">
        <f>IFERROR(GETPIVOTDATA("[Measures].[Somme de Conso_kWh_PCI]",TCD_Conso!$B$3,"[Tab_concat].[Type]","[Tab_concat].[Type].&amp;[Consommation]","[Tab_concat].[Detail usage]","[Tab_concat].[Detail usage].&amp;["&amp;$C69&amp;"]","[Tab_concat].[Annee]","[Tab_concat].[Annee].&amp;["&amp;J$54&amp;"]"),0)</f>
        <v>0</v>
      </c>
      <c r="K69" s="436">
        <f>IFERROR(GETPIVOTDATA("[Measures].[Somme de Conso_kWh_PCI]",TCD_Conso!$B$3,"[Tab_concat].[Type]","[Tab_concat].[Type].&amp;[Consommation]","[Tab_concat].[Detail usage]","[Tab_concat].[Detail usage].&amp;["&amp;$C69&amp;"]","[Tab_concat].[Annee]","[Tab_concat].[Annee].&amp;["&amp;K$54&amp;"]"),0)</f>
        <v>0</v>
      </c>
      <c r="L69" s="436">
        <f>IFERROR(GETPIVOTDATA("[Measures].[Somme de Conso_kWh_PCI]",TCD_Conso!$B$3,"[Tab_concat].[Type]","[Tab_concat].[Type].&amp;[Consommation]","[Tab_concat].[Detail usage]","[Tab_concat].[Detail usage].&amp;["&amp;$C69&amp;"]","[Tab_concat].[Annee]","[Tab_concat].[Annee].&amp;["&amp;L$54&amp;"]"),0)</f>
        <v>0</v>
      </c>
      <c r="M69" s="436">
        <f>IFERROR(GETPIVOTDATA("[Measures].[Somme de Conso_kWh_PCI]",TCD_Conso!$B$3,"[Tab_concat].[Type]","[Tab_concat].[Type].&amp;[Consommation]","[Tab_concat].[Detail usage]","[Tab_concat].[Detail usage].&amp;["&amp;$C69&amp;"]","[Tab_concat].[Annee]","[Tab_concat].[Annee].&amp;["&amp;M$54&amp;"]"),0)</f>
        <v>0</v>
      </c>
      <c r="N69" s="436">
        <f>IFERROR(GETPIVOTDATA("[Measures].[Somme de Conso_kWh_PCI]",TCD_Conso!$B$3,"[Tab_concat].[Type]","[Tab_concat].[Type].&amp;[Consommation]","[Tab_concat].[Detail usage]","[Tab_concat].[Detail usage].&amp;["&amp;$C69&amp;"]","[Tab_concat].[Annee]","[Tab_concat].[Annee].&amp;["&amp;N$54&amp;"]"),0)</f>
        <v>0</v>
      </c>
      <c r="O69" s="436">
        <f>IFERROR(GETPIVOTDATA("[Measures].[Somme de Conso_kWh_PCI]",TCD_Conso!$B$3,"[Tab_concat].[Type]","[Tab_concat].[Type].&amp;[Consommation]","[Tab_concat].[Detail usage]","[Tab_concat].[Detail usage].&amp;["&amp;$C69&amp;"]","[Tab_concat].[Annee]","[Tab_concat].[Annee].&amp;["&amp;O$54&amp;"]"),0)</f>
        <v>0</v>
      </c>
      <c r="P69" s="436">
        <f>IFERROR(GETPIVOTDATA("[Measures].[Somme de Conso_kWh_PCI]",TCD_Conso!$B$3,"[Tab_concat].[Type]","[Tab_concat].[Type].&amp;[Consommation]","[Tab_concat].[Detail usage]","[Tab_concat].[Detail usage].&amp;["&amp;$C69&amp;"]","[Tab_concat].[Annee]","[Tab_concat].[Annee].&amp;["&amp;P$54&amp;"]"),0)</f>
        <v>0</v>
      </c>
    </row>
    <row r="70" spans="2:16">
      <c r="B70" s="578"/>
      <c r="C70" s="32" t="s">
        <v>163</v>
      </c>
      <c r="D70" s="436">
        <f>IFERROR(GETPIVOTDATA("[Measures].[Somme de Conso_kWh_PCI]",TCD_Conso!$B$3,"[Tab_concat].[Type]","[Tab_concat].[Type].&amp;[Consommation]","[Tab_concat].[Detail usage]","[Tab_concat].[Detail usage].&amp;["&amp;$C70&amp;"]","[Tab_concat].[Annee]","[Tab_concat].[Annee].&amp;["&amp;D$54&amp;"]"),0)</f>
        <v>0</v>
      </c>
      <c r="E70" s="436">
        <f>IFERROR(GETPIVOTDATA("[Measures].[Somme de Conso_kWh_PCI]",TCD_Conso!$B$3,"[Tab_concat].[Type]","[Tab_concat].[Type].&amp;[Consommation]","[Tab_concat].[Detail usage]","[Tab_concat].[Detail usage].&amp;["&amp;$C70&amp;"]","[Tab_concat].[Annee]","[Tab_concat].[Annee].&amp;["&amp;E$54&amp;"]"),0)</f>
        <v>0</v>
      </c>
      <c r="F70" s="436">
        <f>IFERROR(GETPIVOTDATA("[Measures].[Somme de Conso_kWh_PCI]",TCD_Conso!$B$3,"[Tab_concat].[Type]","[Tab_concat].[Type].&amp;[Consommation]","[Tab_concat].[Detail usage]","[Tab_concat].[Detail usage].&amp;["&amp;$C70&amp;"]","[Tab_concat].[Annee]","[Tab_concat].[Annee].&amp;["&amp;F$54&amp;"]"),0)</f>
        <v>0</v>
      </c>
      <c r="G70" s="436">
        <f>IFERROR(GETPIVOTDATA("[Measures].[Somme de Conso_kWh_PCI]",TCD_Conso!$B$3,"[Tab_concat].[Type]","[Tab_concat].[Type].&amp;[Consommation]","[Tab_concat].[Detail usage]","[Tab_concat].[Detail usage].&amp;["&amp;$C70&amp;"]","[Tab_concat].[Annee]","[Tab_concat].[Annee].&amp;["&amp;G$54&amp;"]"),0)</f>
        <v>0</v>
      </c>
      <c r="H70" s="436">
        <f>IFERROR(GETPIVOTDATA("[Measures].[Somme de Conso_kWh_PCI]",TCD_Conso!$B$3,"[Tab_concat].[Type]","[Tab_concat].[Type].&amp;[Consommation]","[Tab_concat].[Detail usage]","[Tab_concat].[Detail usage].&amp;["&amp;$C70&amp;"]","[Tab_concat].[Annee]","[Tab_concat].[Annee].&amp;["&amp;H$54&amp;"]"),0)</f>
        <v>0</v>
      </c>
      <c r="I70" s="436">
        <f>IFERROR(GETPIVOTDATA("[Measures].[Somme de Conso_kWh_PCI]",TCD_Conso!$B$3,"[Tab_concat].[Type]","[Tab_concat].[Type].&amp;[Consommation]","[Tab_concat].[Detail usage]","[Tab_concat].[Detail usage].&amp;["&amp;$C70&amp;"]","[Tab_concat].[Annee]","[Tab_concat].[Annee].&amp;["&amp;I$54&amp;"]"),0)</f>
        <v>0</v>
      </c>
      <c r="J70" s="436">
        <f>IFERROR(GETPIVOTDATA("[Measures].[Somme de Conso_kWh_PCI]",TCD_Conso!$B$3,"[Tab_concat].[Type]","[Tab_concat].[Type].&amp;[Consommation]","[Tab_concat].[Detail usage]","[Tab_concat].[Detail usage].&amp;["&amp;$C70&amp;"]","[Tab_concat].[Annee]","[Tab_concat].[Annee].&amp;["&amp;J$54&amp;"]"),0)</f>
        <v>0</v>
      </c>
      <c r="K70" s="436">
        <f>IFERROR(GETPIVOTDATA("[Measures].[Somme de Conso_kWh_PCI]",TCD_Conso!$B$3,"[Tab_concat].[Type]","[Tab_concat].[Type].&amp;[Consommation]","[Tab_concat].[Detail usage]","[Tab_concat].[Detail usage].&amp;["&amp;$C70&amp;"]","[Tab_concat].[Annee]","[Tab_concat].[Annee].&amp;["&amp;K$54&amp;"]"),0)</f>
        <v>0</v>
      </c>
      <c r="L70" s="436">
        <f>IFERROR(GETPIVOTDATA("[Measures].[Somme de Conso_kWh_PCI]",TCD_Conso!$B$3,"[Tab_concat].[Type]","[Tab_concat].[Type].&amp;[Consommation]","[Tab_concat].[Detail usage]","[Tab_concat].[Detail usage].&amp;["&amp;$C70&amp;"]","[Tab_concat].[Annee]","[Tab_concat].[Annee].&amp;["&amp;L$54&amp;"]"),0)</f>
        <v>0</v>
      </c>
      <c r="M70" s="436">
        <f>IFERROR(GETPIVOTDATA("[Measures].[Somme de Conso_kWh_PCI]",TCD_Conso!$B$3,"[Tab_concat].[Type]","[Tab_concat].[Type].&amp;[Consommation]","[Tab_concat].[Detail usage]","[Tab_concat].[Detail usage].&amp;["&amp;$C70&amp;"]","[Tab_concat].[Annee]","[Tab_concat].[Annee].&amp;["&amp;M$54&amp;"]"),0)</f>
        <v>0</v>
      </c>
      <c r="N70" s="436">
        <f>IFERROR(GETPIVOTDATA("[Measures].[Somme de Conso_kWh_PCI]",TCD_Conso!$B$3,"[Tab_concat].[Type]","[Tab_concat].[Type].&amp;[Consommation]","[Tab_concat].[Detail usage]","[Tab_concat].[Detail usage].&amp;["&amp;$C70&amp;"]","[Tab_concat].[Annee]","[Tab_concat].[Annee].&amp;["&amp;N$54&amp;"]"),0)</f>
        <v>0</v>
      </c>
      <c r="O70" s="436">
        <f>IFERROR(GETPIVOTDATA("[Measures].[Somme de Conso_kWh_PCI]",TCD_Conso!$B$3,"[Tab_concat].[Type]","[Tab_concat].[Type].&amp;[Consommation]","[Tab_concat].[Detail usage]","[Tab_concat].[Detail usage].&amp;["&amp;$C70&amp;"]","[Tab_concat].[Annee]","[Tab_concat].[Annee].&amp;["&amp;O$54&amp;"]"),0)</f>
        <v>0</v>
      </c>
      <c r="P70" s="436">
        <f>IFERROR(GETPIVOTDATA("[Measures].[Somme de Conso_kWh_PCI]",TCD_Conso!$B$3,"[Tab_concat].[Type]","[Tab_concat].[Type].&amp;[Consommation]","[Tab_concat].[Detail usage]","[Tab_concat].[Detail usage].&amp;["&amp;$C70&amp;"]","[Tab_concat].[Annee]","[Tab_concat].[Annee].&amp;["&amp;P$54&amp;"]"),0)</f>
        <v>0</v>
      </c>
    </row>
    <row r="71" spans="2:16">
      <c r="B71" s="578"/>
      <c r="C71" t="s">
        <v>181</v>
      </c>
      <c r="D71" s="436">
        <f>IFERROR(GETPIVOTDATA("[Measures].[Somme de Conso_kWh_PCI]",TCD_Conso!$B$3,"[Tab_concat].[Type]","[Tab_concat].[Type].&amp;[Consommation]","[Tab_concat].[Detail usage]","[Tab_concat].[Detail usage].&amp;["&amp;$C71&amp;"]","[Tab_concat].[Annee]","[Tab_concat].[Annee].&amp;["&amp;D$54&amp;"]"),0)</f>
        <v>0</v>
      </c>
      <c r="E71" s="436">
        <f>IFERROR(GETPIVOTDATA("[Measures].[Somme de Conso_kWh_PCI]",TCD_Conso!$B$3,"[Tab_concat].[Type]","[Tab_concat].[Type].&amp;[Consommation]","[Tab_concat].[Detail usage]","[Tab_concat].[Detail usage].&amp;["&amp;$C71&amp;"]","[Tab_concat].[Annee]","[Tab_concat].[Annee].&amp;["&amp;E$54&amp;"]"),0)</f>
        <v>0</v>
      </c>
      <c r="F71" s="436">
        <f>IFERROR(GETPIVOTDATA("[Measures].[Somme de Conso_kWh_PCI]",TCD_Conso!$B$3,"[Tab_concat].[Type]","[Tab_concat].[Type].&amp;[Consommation]","[Tab_concat].[Detail usage]","[Tab_concat].[Detail usage].&amp;["&amp;$C71&amp;"]","[Tab_concat].[Annee]","[Tab_concat].[Annee].&amp;["&amp;F$54&amp;"]"),0)</f>
        <v>0</v>
      </c>
      <c r="G71" s="436">
        <f>IFERROR(GETPIVOTDATA("[Measures].[Somme de Conso_kWh_PCI]",TCD_Conso!$B$3,"[Tab_concat].[Type]","[Tab_concat].[Type].&amp;[Consommation]","[Tab_concat].[Detail usage]","[Tab_concat].[Detail usage].&amp;["&amp;$C71&amp;"]","[Tab_concat].[Annee]","[Tab_concat].[Annee].&amp;["&amp;G$54&amp;"]"),0)</f>
        <v>0</v>
      </c>
      <c r="H71" s="436">
        <f>IFERROR(GETPIVOTDATA("[Measures].[Somme de Conso_kWh_PCI]",TCD_Conso!$B$3,"[Tab_concat].[Type]","[Tab_concat].[Type].&amp;[Consommation]","[Tab_concat].[Detail usage]","[Tab_concat].[Detail usage].&amp;["&amp;$C71&amp;"]","[Tab_concat].[Annee]","[Tab_concat].[Annee].&amp;["&amp;H$54&amp;"]"),0)</f>
        <v>0</v>
      </c>
      <c r="I71" s="436">
        <f>IFERROR(GETPIVOTDATA("[Measures].[Somme de Conso_kWh_PCI]",TCD_Conso!$B$3,"[Tab_concat].[Type]","[Tab_concat].[Type].&amp;[Consommation]","[Tab_concat].[Detail usage]","[Tab_concat].[Detail usage].&amp;["&amp;$C71&amp;"]","[Tab_concat].[Annee]","[Tab_concat].[Annee].&amp;["&amp;I$54&amp;"]"),0)</f>
        <v>0</v>
      </c>
      <c r="J71" s="436">
        <f>IFERROR(GETPIVOTDATA("[Measures].[Somme de Conso_kWh_PCI]",TCD_Conso!$B$3,"[Tab_concat].[Type]","[Tab_concat].[Type].&amp;[Consommation]","[Tab_concat].[Detail usage]","[Tab_concat].[Detail usage].&amp;["&amp;$C71&amp;"]","[Tab_concat].[Annee]","[Tab_concat].[Annee].&amp;["&amp;J$54&amp;"]"),0)</f>
        <v>0</v>
      </c>
      <c r="K71" s="436">
        <f>IFERROR(GETPIVOTDATA("[Measures].[Somme de Conso_kWh_PCI]",TCD_Conso!$B$3,"[Tab_concat].[Type]","[Tab_concat].[Type].&amp;[Consommation]","[Tab_concat].[Detail usage]","[Tab_concat].[Detail usage].&amp;["&amp;$C71&amp;"]","[Tab_concat].[Annee]","[Tab_concat].[Annee].&amp;["&amp;K$54&amp;"]"),0)</f>
        <v>0</v>
      </c>
      <c r="L71" s="436">
        <f>IFERROR(GETPIVOTDATA("[Measures].[Somme de Conso_kWh_PCI]",TCD_Conso!$B$3,"[Tab_concat].[Type]","[Tab_concat].[Type].&amp;[Consommation]","[Tab_concat].[Detail usage]","[Tab_concat].[Detail usage].&amp;["&amp;$C71&amp;"]","[Tab_concat].[Annee]","[Tab_concat].[Annee].&amp;["&amp;L$54&amp;"]"),0)</f>
        <v>0</v>
      </c>
      <c r="M71" s="436">
        <f>IFERROR(GETPIVOTDATA("[Measures].[Somme de Conso_kWh_PCI]",TCD_Conso!$B$3,"[Tab_concat].[Type]","[Tab_concat].[Type].&amp;[Consommation]","[Tab_concat].[Detail usage]","[Tab_concat].[Detail usage].&amp;["&amp;$C71&amp;"]","[Tab_concat].[Annee]","[Tab_concat].[Annee].&amp;["&amp;M$54&amp;"]"),0)</f>
        <v>0</v>
      </c>
      <c r="N71" s="436">
        <f>IFERROR(GETPIVOTDATA("[Measures].[Somme de Conso_kWh_PCI]",TCD_Conso!$B$3,"[Tab_concat].[Type]","[Tab_concat].[Type].&amp;[Consommation]","[Tab_concat].[Detail usage]","[Tab_concat].[Detail usage].&amp;["&amp;$C71&amp;"]","[Tab_concat].[Annee]","[Tab_concat].[Annee].&amp;["&amp;N$54&amp;"]"),0)</f>
        <v>0</v>
      </c>
      <c r="O71" s="436">
        <f>IFERROR(GETPIVOTDATA("[Measures].[Somme de Conso_kWh_PCI]",TCD_Conso!$B$3,"[Tab_concat].[Type]","[Tab_concat].[Type].&amp;[Consommation]","[Tab_concat].[Detail usage]","[Tab_concat].[Detail usage].&amp;["&amp;$C71&amp;"]","[Tab_concat].[Annee]","[Tab_concat].[Annee].&amp;["&amp;O$54&amp;"]"),0)</f>
        <v>0</v>
      </c>
      <c r="P71" s="436">
        <f>IFERROR(GETPIVOTDATA("[Measures].[Somme de Conso_kWh_PCI]",TCD_Conso!$B$3,"[Tab_concat].[Type]","[Tab_concat].[Type].&amp;[Consommation]","[Tab_concat].[Detail usage]","[Tab_concat].[Detail usage].&amp;["&amp;$C71&amp;"]","[Tab_concat].[Annee]","[Tab_concat].[Annee].&amp;["&amp;P$54&amp;"]"),0)</f>
        <v>0</v>
      </c>
    </row>
    <row r="72" spans="2:16">
      <c r="B72" s="578"/>
      <c r="C72" s="32" t="s">
        <v>326</v>
      </c>
      <c r="D72" s="436">
        <f>IFERROR(GETPIVOTDATA("[Measures].[Somme de Conso_kWh_PCI]",TCD_Conso!$B$3,"[Tab_concat].[Type]","[Tab_concat].[Type].&amp;[Consommation]","[Tab_concat].[Detail usage]","[Tab_concat].[Detail usage].&amp;["&amp;$C72&amp;"]","[Tab_concat].[Annee]","[Tab_concat].[Annee].&amp;["&amp;D$54&amp;"]"),0)</f>
        <v>0</v>
      </c>
      <c r="E72" s="436">
        <f>IFERROR(GETPIVOTDATA("[Measures].[Somme de Conso_kWh_PCI]",TCD_Conso!$B$3,"[Tab_concat].[Type]","[Tab_concat].[Type].&amp;[Consommation]","[Tab_concat].[Detail usage]","[Tab_concat].[Detail usage].&amp;["&amp;$C72&amp;"]","[Tab_concat].[Annee]","[Tab_concat].[Annee].&amp;["&amp;E$54&amp;"]"),0)</f>
        <v>0</v>
      </c>
      <c r="F72" s="436">
        <f>IFERROR(GETPIVOTDATA("[Measures].[Somme de Conso_kWh_PCI]",TCD_Conso!$B$3,"[Tab_concat].[Type]","[Tab_concat].[Type].&amp;[Consommation]","[Tab_concat].[Detail usage]","[Tab_concat].[Detail usage].&amp;["&amp;$C72&amp;"]","[Tab_concat].[Annee]","[Tab_concat].[Annee].&amp;["&amp;F$54&amp;"]"),0)</f>
        <v>0</v>
      </c>
      <c r="G72" s="436">
        <f>IFERROR(GETPIVOTDATA("[Measures].[Somme de Conso_kWh_PCI]",TCD_Conso!$B$3,"[Tab_concat].[Type]","[Tab_concat].[Type].&amp;[Consommation]","[Tab_concat].[Detail usage]","[Tab_concat].[Detail usage].&amp;["&amp;$C72&amp;"]","[Tab_concat].[Annee]","[Tab_concat].[Annee].&amp;["&amp;G$54&amp;"]"),0)</f>
        <v>0</v>
      </c>
      <c r="H72" s="436">
        <f>IFERROR(GETPIVOTDATA("[Measures].[Somme de Conso_kWh_PCI]",TCD_Conso!$B$3,"[Tab_concat].[Type]","[Tab_concat].[Type].&amp;[Consommation]","[Tab_concat].[Detail usage]","[Tab_concat].[Detail usage].&amp;["&amp;$C72&amp;"]","[Tab_concat].[Annee]","[Tab_concat].[Annee].&amp;["&amp;H$54&amp;"]"),0)</f>
        <v>0</v>
      </c>
      <c r="I72" s="436">
        <f>IFERROR(GETPIVOTDATA("[Measures].[Somme de Conso_kWh_PCI]",TCD_Conso!$B$3,"[Tab_concat].[Type]","[Tab_concat].[Type].&amp;[Consommation]","[Tab_concat].[Detail usage]","[Tab_concat].[Detail usage].&amp;["&amp;$C72&amp;"]","[Tab_concat].[Annee]","[Tab_concat].[Annee].&amp;["&amp;I$54&amp;"]"),0)</f>
        <v>0</v>
      </c>
      <c r="J72" s="436">
        <f>IFERROR(GETPIVOTDATA("[Measures].[Somme de Conso_kWh_PCI]",TCD_Conso!$B$3,"[Tab_concat].[Type]","[Tab_concat].[Type].&amp;[Consommation]","[Tab_concat].[Detail usage]","[Tab_concat].[Detail usage].&amp;["&amp;$C72&amp;"]","[Tab_concat].[Annee]","[Tab_concat].[Annee].&amp;["&amp;J$54&amp;"]"),0)</f>
        <v>0</v>
      </c>
      <c r="K72" s="436">
        <f>IFERROR(GETPIVOTDATA("[Measures].[Somme de Conso_kWh_PCI]",TCD_Conso!$B$3,"[Tab_concat].[Type]","[Tab_concat].[Type].&amp;[Consommation]","[Tab_concat].[Detail usage]","[Tab_concat].[Detail usage].&amp;["&amp;$C72&amp;"]","[Tab_concat].[Annee]","[Tab_concat].[Annee].&amp;["&amp;K$54&amp;"]"),0)</f>
        <v>0</v>
      </c>
      <c r="L72" s="436">
        <f>IFERROR(GETPIVOTDATA("[Measures].[Somme de Conso_kWh_PCI]",TCD_Conso!$B$3,"[Tab_concat].[Type]","[Tab_concat].[Type].&amp;[Consommation]","[Tab_concat].[Detail usage]","[Tab_concat].[Detail usage].&amp;["&amp;$C72&amp;"]","[Tab_concat].[Annee]","[Tab_concat].[Annee].&amp;["&amp;L$54&amp;"]"),0)</f>
        <v>0</v>
      </c>
      <c r="M72" s="436">
        <f>IFERROR(GETPIVOTDATA("[Measures].[Somme de Conso_kWh_PCI]",TCD_Conso!$B$3,"[Tab_concat].[Type]","[Tab_concat].[Type].&amp;[Consommation]","[Tab_concat].[Detail usage]","[Tab_concat].[Detail usage].&amp;["&amp;$C72&amp;"]","[Tab_concat].[Annee]","[Tab_concat].[Annee].&amp;["&amp;M$54&amp;"]"),0)</f>
        <v>0</v>
      </c>
      <c r="N72" s="436">
        <f>IFERROR(GETPIVOTDATA("[Measures].[Somme de Conso_kWh_PCI]",TCD_Conso!$B$3,"[Tab_concat].[Type]","[Tab_concat].[Type].&amp;[Consommation]","[Tab_concat].[Detail usage]","[Tab_concat].[Detail usage].&amp;["&amp;$C72&amp;"]","[Tab_concat].[Annee]","[Tab_concat].[Annee].&amp;["&amp;N$54&amp;"]"),0)</f>
        <v>0</v>
      </c>
      <c r="O72" s="436">
        <f>IFERROR(GETPIVOTDATA("[Measures].[Somme de Conso_kWh_PCI]",TCD_Conso!$B$3,"[Tab_concat].[Type]","[Tab_concat].[Type].&amp;[Consommation]","[Tab_concat].[Detail usage]","[Tab_concat].[Detail usage].&amp;["&amp;$C72&amp;"]","[Tab_concat].[Annee]","[Tab_concat].[Annee].&amp;["&amp;O$54&amp;"]"),0)</f>
        <v>0</v>
      </c>
      <c r="P72" s="436">
        <f>IFERROR(GETPIVOTDATA("[Measures].[Somme de Conso_kWh_PCI]",TCD_Conso!$B$3,"[Tab_concat].[Type]","[Tab_concat].[Type].&amp;[Consommation]","[Tab_concat].[Detail usage]","[Tab_concat].[Detail usage].&amp;["&amp;$C72&amp;"]","[Tab_concat].[Annee]","[Tab_concat].[Annee].&amp;["&amp;P$54&amp;"]"),0)</f>
        <v>0</v>
      </c>
    </row>
    <row r="73" spans="2:16">
      <c r="B73" s="578"/>
      <c r="C73" s="32" t="s">
        <v>374</v>
      </c>
      <c r="D73">
        <f>SUM(D68:D72)</f>
        <v>0</v>
      </c>
      <c r="E73">
        <f t="shared" ref="E73:J73" si="24">SUM(E68:E72)</f>
        <v>0</v>
      </c>
      <c r="F73">
        <f t="shared" si="24"/>
        <v>0</v>
      </c>
      <c r="G73">
        <f t="shared" si="24"/>
        <v>0</v>
      </c>
      <c r="H73">
        <f t="shared" si="24"/>
        <v>0</v>
      </c>
      <c r="I73">
        <f t="shared" si="24"/>
        <v>0</v>
      </c>
      <c r="J73">
        <f t="shared" si="24"/>
        <v>0</v>
      </c>
      <c r="K73">
        <f t="shared" ref="K73:P73" si="25">SUM(K68:K72)</f>
        <v>0</v>
      </c>
      <c r="L73">
        <f t="shared" si="25"/>
        <v>0</v>
      </c>
      <c r="M73">
        <f t="shared" si="25"/>
        <v>0</v>
      </c>
      <c r="N73">
        <f t="shared" si="25"/>
        <v>0</v>
      </c>
      <c r="O73">
        <f t="shared" si="25"/>
        <v>0</v>
      </c>
      <c r="P73">
        <f t="shared" si="25"/>
        <v>0</v>
      </c>
    </row>
    <row r="74" spans="2:16">
      <c r="B74" s="578"/>
      <c r="C74" s="32" t="s">
        <v>375</v>
      </c>
    </row>
    <row r="75" spans="2:16">
      <c r="B75" s="579" t="s">
        <v>376</v>
      </c>
      <c r="C75" s="32" t="s">
        <v>377</v>
      </c>
      <c r="D75">
        <f>VLOOKUP(D54,Site!$B$8:$E$23,2,FALSE)</f>
        <v>0</v>
      </c>
      <c r="E75">
        <f>VLOOKUP(E54,Site!$B$8:$E$23,2,FALSE)</f>
        <v>0</v>
      </c>
      <c r="F75">
        <f>VLOOKUP(F54,Site!$B$8:$E$23,2,FALSE)</f>
        <v>0</v>
      </c>
      <c r="G75">
        <f>VLOOKUP(G54,Site!$B$8:$E$23,2,FALSE)</f>
        <v>0</v>
      </c>
      <c r="H75">
        <f>VLOOKUP(H54,Site!$B$8:$E$23,2,FALSE)</f>
        <v>0</v>
      </c>
      <c r="I75">
        <f>VLOOKUP(I54,Site!$B$8:$E$23,2,FALSE)</f>
        <v>0</v>
      </c>
      <c r="J75">
        <f>VLOOKUP(J54,Site!$B$8:$E$23,2,FALSE)</f>
        <v>0</v>
      </c>
      <c r="K75">
        <f>VLOOKUP(K54,Site!$B$8:$E$23,2,FALSE)</f>
        <v>0</v>
      </c>
      <c r="L75">
        <f>VLOOKUP(L54,Site!$B$8:$E$23,2,FALSE)</f>
        <v>0</v>
      </c>
      <c r="M75">
        <f>VLOOKUP(M54,Site!$B$8:$E$23,2,FALSE)</f>
        <v>0</v>
      </c>
      <c r="N75">
        <f>VLOOKUP(N54,Site!$B$8:$E$23,2,FALSE)</f>
        <v>0</v>
      </c>
      <c r="O75">
        <f>VLOOKUP(O54,Site!$B$8:$E$23,2,FALSE)</f>
        <v>0</v>
      </c>
      <c r="P75">
        <f>VLOOKUP(P54,Site!$B$8:$E$23,2,FALSE)</f>
        <v>0</v>
      </c>
    </row>
    <row r="76" spans="2:16">
      <c r="B76" s="579"/>
      <c r="C76" s="32" t="s">
        <v>27</v>
      </c>
      <c r="D76" t="e">
        <f t="shared" ref="D76:M76" si="26">D57/D75</f>
        <v>#DIV/0!</v>
      </c>
      <c r="E76" t="e">
        <f t="shared" si="26"/>
        <v>#DIV/0!</v>
      </c>
      <c r="F76" t="e">
        <f t="shared" si="26"/>
        <v>#DIV/0!</v>
      </c>
      <c r="G76" t="e">
        <f t="shared" si="26"/>
        <v>#DIV/0!</v>
      </c>
      <c r="H76" t="e">
        <f t="shared" si="26"/>
        <v>#DIV/0!</v>
      </c>
      <c r="I76" t="e">
        <f t="shared" si="26"/>
        <v>#DIV/0!</v>
      </c>
      <c r="J76" t="e">
        <f t="shared" si="26"/>
        <v>#DIV/0!</v>
      </c>
      <c r="K76" t="e">
        <f t="shared" si="26"/>
        <v>#DIV/0!</v>
      </c>
      <c r="L76" t="e">
        <f t="shared" si="26"/>
        <v>#DIV/0!</v>
      </c>
      <c r="M76" t="e">
        <f t="shared" si="26"/>
        <v>#DIV/0!</v>
      </c>
      <c r="N76" t="e">
        <f>N57/N75</f>
        <v>#DIV/0!</v>
      </c>
      <c r="O76" t="e">
        <f>O57/O75</f>
        <v>#DIV/0!</v>
      </c>
      <c r="P76" t="e">
        <f>P57/P75</f>
        <v>#DIV/0!</v>
      </c>
    </row>
    <row r="77" spans="2:16">
      <c r="B77" s="579"/>
      <c r="C77" s="32" t="s">
        <v>319</v>
      </c>
      <c r="D77" t="e">
        <f>D73/D75</f>
        <v>#DIV/0!</v>
      </c>
      <c r="E77" t="e">
        <f>E73/E75</f>
        <v>#DIV/0!</v>
      </c>
      <c r="F77" t="e">
        <f>F73/F75</f>
        <v>#DIV/0!</v>
      </c>
      <c r="G77" t="e">
        <f>G73/G75</f>
        <v>#DIV/0!</v>
      </c>
      <c r="H77" t="e">
        <f t="shared" ref="H77:M77" si="27">H73/H75</f>
        <v>#DIV/0!</v>
      </c>
      <c r="I77" t="e">
        <f t="shared" si="27"/>
        <v>#DIV/0!</v>
      </c>
      <c r="J77" t="e">
        <f t="shared" si="27"/>
        <v>#DIV/0!</v>
      </c>
      <c r="K77" t="e">
        <f t="shared" si="27"/>
        <v>#DIV/0!</v>
      </c>
      <c r="L77" t="e">
        <f t="shared" si="27"/>
        <v>#DIV/0!</v>
      </c>
      <c r="M77" t="e">
        <f t="shared" si="27"/>
        <v>#DIV/0!</v>
      </c>
      <c r="N77" t="e">
        <f>N73/N75</f>
        <v>#DIV/0!</v>
      </c>
      <c r="O77" t="e">
        <f>O73/O75</f>
        <v>#DIV/0!</v>
      </c>
      <c r="P77" t="e">
        <f>P73/P75</f>
        <v>#DIV/0!</v>
      </c>
    </row>
    <row r="78" spans="2:16">
      <c r="B78" s="47"/>
      <c r="C78" s="32" t="str">
        <f>IF(D69&gt;0,"ECS", IF(D72&gt;0,"ECS estimée","ECS+Cuisson estimées"))</f>
        <v>ECS+Cuisson estimées</v>
      </c>
      <c r="D78" t="e">
        <f>IF(D69&gt;0,D69,HLOOKUP(D54,Estimation_ECS!$C$27:$R$30,4))/D75</f>
        <v>#DIV/0!</v>
      </c>
      <c r="E78" t="e">
        <f>IF(E69&gt;0,E69,HLOOKUP(E54,Estimation_ECS!$C$27:$R$30,4))/E75</f>
        <v>#DIV/0!</v>
      </c>
      <c r="F78" t="e">
        <f>IF(F69&gt;0,F69,HLOOKUP(F54,Estimation_ECS!$C$27:$R$30,4))/F75</f>
        <v>#DIV/0!</v>
      </c>
      <c r="G78" t="e">
        <f>IF(G69&gt;0,G69,HLOOKUP(G54,Estimation_ECS!$C$27:$R$30,4))/G75</f>
        <v>#DIV/0!</v>
      </c>
      <c r="H78" t="e">
        <f>IF(H69&gt;0,H69,HLOOKUP(H54,Estimation_ECS!$C$27:$R$30,4))/H75</f>
        <v>#DIV/0!</v>
      </c>
      <c r="I78" t="e">
        <f>IF(I69&gt;0,I69,HLOOKUP(I54,Estimation_ECS!$C$27:$R$30,4))/I75</f>
        <v>#DIV/0!</v>
      </c>
      <c r="J78" t="e">
        <f>IF(J69&gt;0,J69,HLOOKUP(J54,Estimation_ECS!$C$27:$R$30,4))/J75</f>
        <v>#DIV/0!</v>
      </c>
      <c r="K78" t="e">
        <f>IF(K69&gt;0,K69,HLOOKUP(K54,Estimation_ECS!$C$27:$R$30,4))/K75</f>
        <v>#DIV/0!</v>
      </c>
      <c r="L78" t="e">
        <f>IF(L69&gt;0,L69,HLOOKUP(L54,Estimation_ECS!$C$27:$R$30,4))/L75</f>
        <v>#DIV/0!</v>
      </c>
      <c r="M78" t="e">
        <f>IF(M69&gt;0,M69,HLOOKUP(M54,Estimation_ECS!$C$27:$R$30,4))/M75</f>
        <v>#DIV/0!</v>
      </c>
      <c r="N78" t="e">
        <f>IF(N69&gt;0,N69,HLOOKUP(N54,Estimation_ECS!$C$27:$R$30,4))/N75</f>
        <v>#DIV/0!</v>
      </c>
      <c r="O78" t="e">
        <f>IF(O69&gt;0,O69,HLOOKUP(O54,Estimation_ECS!$C$27:$R$30,4))/O75</f>
        <v>#DIV/0!</v>
      </c>
      <c r="P78" t="e">
        <f>IF(P69&gt;0,P69,HLOOKUP(P54,Estimation_ECS!$C$27:$R$30,4))/P75</f>
        <v>#DIV/0!</v>
      </c>
    </row>
    <row r="79" spans="2:16">
      <c r="B79" s="47"/>
      <c r="C79" s="32" t="s">
        <v>378</v>
      </c>
      <c r="D79" t="e">
        <f>D77-D78</f>
        <v>#DIV/0!</v>
      </c>
      <c r="E79" t="e">
        <f t="shared" ref="E79:M79" si="28">E77-E78</f>
        <v>#DIV/0!</v>
      </c>
      <c r="F79" t="e">
        <f t="shared" si="28"/>
        <v>#DIV/0!</v>
      </c>
      <c r="G79" t="e">
        <f t="shared" si="28"/>
        <v>#DIV/0!</v>
      </c>
      <c r="H79" t="e">
        <f t="shared" si="28"/>
        <v>#DIV/0!</v>
      </c>
      <c r="I79" t="e">
        <f t="shared" si="28"/>
        <v>#DIV/0!</v>
      </c>
      <c r="J79" t="e">
        <f t="shared" si="28"/>
        <v>#DIV/0!</v>
      </c>
      <c r="K79" t="e">
        <f t="shared" si="28"/>
        <v>#DIV/0!</v>
      </c>
      <c r="L79" t="e">
        <f t="shared" si="28"/>
        <v>#DIV/0!</v>
      </c>
      <c r="M79" t="e">
        <f t="shared" si="28"/>
        <v>#DIV/0!</v>
      </c>
      <c r="N79" t="e">
        <f>N77-N78</f>
        <v>#DIV/0!</v>
      </c>
      <c r="O79" t="e">
        <f>O77-O78</f>
        <v>#DIV/0!</v>
      </c>
      <c r="P79" t="e">
        <f>P77-P78</f>
        <v>#DIV/0!</v>
      </c>
    </row>
    <row r="80" spans="2:16">
      <c r="B80" s="47"/>
      <c r="C80" s="32" t="s">
        <v>379</v>
      </c>
      <c r="D80" t="e">
        <f>D62/D75</f>
        <v>#DIV/0!</v>
      </c>
      <c r="E80" t="e">
        <f t="shared" ref="E80:M80" si="29">E62/E75</f>
        <v>#DIV/0!</v>
      </c>
      <c r="F80" t="e">
        <f t="shared" si="29"/>
        <v>#DIV/0!</v>
      </c>
      <c r="G80" t="e">
        <f t="shared" si="29"/>
        <v>#DIV/0!</v>
      </c>
      <c r="H80" t="e">
        <f t="shared" si="29"/>
        <v>#DIV/0!</v>
      </c>
      <c r="I80" t="e">
        <f t="shared" si="29"/>
        <v>#DIV/0!</v>
      </c>
      <c r="J80" t="e">
        <f t="shared" si="29"/>
        <v>#DIV/0!</v>
      </c>
      <c r="K80" t="e">
        <f t="shared" si="29"/>
        <v>#DIV/0!</v>
      </c>
      <c r="L80" t="e">
        <f t="shared" si="29"/>
        <v>#DIV/0!</v>
      </c>
      <c r="M80" t="e">
        <f t="shared" si="29"/>
        <v>#DIV/0!</v>
      </c>
      <c r="N80" t="e">
        <f>N62/N75</f>
        <v>#DIV/0!</v>
      </c>
      <c r="O80" t="e">
        <f>O62/O75</f>
        <v>#DIV/0!</v>
      </c>
      <c r="P80" t="e">
        <f>P62/P75</f>
        <v>#DIV/0!</v>
      </c>
    </row>
    <row r="81" spans="2:16">
      <c r="B81" s="47"/>
      <c r="C81" s="32" t="s">
        <v>380</v>
      </c>
      <c r="D81" t="e">
        <f>D67/D75</f>
        <v>#DIV/0!</v>
      </c>
      <c r="E81" t="e">
        <f t="shared" ref="E81:M81" si="30">E67/E75</f>
        <v>#DIV/0!</v>
      </c>
      <c r="F81" t="e">
        <f t="shared" si="30"/>
        <v>#DIV/0!</v>
      </c>
      <c r="G81" t="e">
        <f t="shared" si="30"/>
        <v>#DIV/0!</v>
      </c>
      <c r="H81" t="e">
        <f t="shared" si="30"/>
        <v>#DIV/0!</v>
      </c>
      <c r="I81" t="e">
        <f t="shared" si="30"/>
        <v>#DIV/0!</v>
      </c>
      <c r="J81" t="e">
        <f t="shared" si="30"/>
        <v>#DIV/0!</v>
      </c>
      <c r="K81" t="e">
        <f t="shared" si="30"/>
        <v>#DIV/0!</v>
      </c>
      <c r="L81" t="e">
        <f t="shared" si="30"/>
        <v>#DIV/0!</v>
      </c>
      <c r="M81" t="e">
        <f t="shared" si="30"/>
        <v>#DIV/0!</v>
      </c>
      <c r="N81" t="e">
        <f>N67/N75</f>
        <v>#DIV/0!</v>
      </c>
      <c r="O81" t="e">
        <f>O67/O75</f>
        <v>#DIV/0!</v>
      </c>
      <c r="P81" t="e">
        <f>P67/P75</f>
        <v>#DIV/0!</v>
      </c>
    </row>
    <row r="82" spans="2:16">
      <c r="C82" s="32" t="s">
        <v>381</v>
      </c>
      <c r="D82" t="e">
        <f>D76+D77+D80+D81</f>
        <v>#DIV/0!</v>
      </c>
      <c r="E82" t="e">
        <f t="shared" ref="E82:M82" si="31">E76+E77+E80+E81</f>
        <v>#DIV/0!</v>
      </c>
      <c r="F82" t="e">
        <f t="shared" si="31"/>
        <v>#DIV/0!</v>
      </c>
      <c r="G82" t="e">
        <f>G76+G77+G80+G81</f>
        <v>#DIV/0!</v>
      </c>
      <c r="H82" t="e">
        <f t="shared" si="31"/>
        <v>#DIV/0!</v>
      </c>
      <c r="I82" t="e">
        <f t="shared" si="31"/>
        <v>#DIV/0!</v>
      </c>
      <c r="J82" t="e">
        <f t="shared" si="31"/>
        <v>#DIV/0!</v>
      </c>
      <c r="K82" t="e">
        <f t="shared" si="31"/>
        <v>#DIV/0!</v>
      </c>
      <c r="L82" t="e">
        <f t="shared" si="31"/>
        <v>#DIV/0!</v>
      </c>
      <c r="M82" t="e">
        <f t="shared" si="31"/>
        <v>#DIV/0!</v>
      </c>
      <c r="N82" t="e">
        <f>N76+N77+N80+N81</f>
        <v>#DIV/0!</v>
      </c>
      <c r="O82" t="e">
        <f>O76+O77+O80+O81</f>
        <v>#DIV/0!</v>
      </c>
      <c r="P82" t="e">
        <f>P76+P77+P80+P81</f>
        <v>#DIV/0!</v>
      </c>
    </row>
    <row r="83" spans="2:16">
      <c r="C83" s="32" t="s">
        <v>13</v>
      </c>
      <c r="D83" t="e">
        <f>VLOOKUP(D11,Site!$B$8:$H$23,7,FALSE)</f>
        <v>#N/A</v>
      </c>
      <c r="E83" t="str">
        <f>VLOOKUP(E11,Site!$B$8:$H$23,7,FALSE)</f>
        <v/>
      </c>
      <c r="F83" t="str">
        <f>VLOOKUP(F11,Site!$B$8:$H$23,7,FALSE)</f>
        <v/>
      </c>
      <c r="G83" t="str">
        <f>VLOOKUP(G11,Site!$B$8:$H$23,7,FALSE)</f>
        <v/>
      </c>
      <c r="H83" t="str">
        <f>VLOOKUP(H11,Site!$B$8:$H$23,7,FALSE)</f>
        <v/>
      </c>
      <c r="I83" t="str">
        <f>VLOOKUP(I11,Site!$B$8:$H$23,7,FALSE)</f>
        <v/>
      </c>
      <c r="J83" t="str">
        <f>VLOOKUP(J11,Site!$B$8:$H$23,7,FALSE)</f>
        <v/>
      </c>
      <c r="K83" t="e">
        <f>VLOOKUP(K11,Site!$B$8:$H$23,7,FALSE)</f>
        <v>#N/A</v>
      </c>
      <c r="L83" t="e">
        <f>VLOOKUP(L11,Site!$B$8:$H$23,7,FALSE)</f>
        <v>#N/A</v>
      </c>
      <c r="M83" t="e">
        <f>VLOOKUP(M11,Site!$B$8:$H$23,7,FALSE)</f>
        <v>#N/A</v>
      </c>
      <c r="N83" t="e">
        <f>VLOOKUP(N11,Site!$B$8:$H$23,7,FALSE)</f>
        <v>#N/A</v>
      </c>
      <c r="O83" t="e">
        <f>VLOOKUP(O11,Site!$B$8:$H$23,7,FALSE)</f>
        <v>#N/A</v>
      </c>
      <c r="P83" t="e">
        <f>VLOOKUP(P11,Site!$B$8:$H$23,7,FALSE)</f>
        <v>#N/A</v>
      </c>
    </row>
    <row r="86" spans="2:16">
      <c r="C86" s="32" t="s">
        <v>387</v>
      </c>
      <c r="D86" s="53">
        <f>(D58-$G$3)/$G$3</f>
        <v>0.18427000150670492</v>
      </c>
      <c r="E86" s="53">
        <f t="shared" ref="E86:M86" si="32">(E58-$G$3)/$G$3</f>
        <v>-0.12438924643233812</v>
      </c>
      <c r="F86" s="53">
        <f t="shared" si="32"/>
        <v>5.8567769431111388E-2</v>
      </c>
      <c r="G86" s="53">
        <f t="shared" si="32"/>
        <v>0.10893475968057865</v>
      </c>
      <c r="H86" s="53">
        <f t="shared" si="32"/>
        <v>-0.11147463354785933</v>
      </c>
      <c r="I86" s="53">
        <f t="shared" si="32"/>
        <v>-6.024666910609347E-2</v>
      </c>
      <c r="J86" s="53">
        <f t="shared" si="32"/>
        <v>4.2209259777438252E-2</v>
      </c>
      <c r="K86" s="53">
        <f t="shared" si="32"/>
        <v>-3.6569878817882359E-2</v>
      </c>
      <c r="L86" s="53">
        <f t="shared" si="32"/>
        <v>-7.5744204567468013E-2</v>
      </c>
      <c r="M86" s="53">
        <f t="shared" si="32"/>
        <v>-4.7332056221614682E-2</v>
      </c>
      <c r="N86" s="53">
        <f>(N58-$G$3)/$G$3</f>
        <v>-0.15150993348974359</v>
      </c>
      <c r="O86" s="53">
        <f>(O58-$G$3)/$G$3</f>
        <v>2.4559288835317241E-2</v>
      </c>
      <c r="P86" s="53">
        <f>(P58-$G$3)/$G$3</f>
        <v>-0.13299898835532398</v>
      </c>
    </row>
    <row r="87" spans="2:16">
      <c r="C87" s="32" t="s">
        <v>388</v>
      </c>
      <c r="D87" s="53">
        <f t="shared" ref="D87:P87" si="33">IF(D86&lt;0,"",D86)</f>
        <v>0.18427000150670492</v>
      </c>
      <c r="E87" s="53" t="str">
        <f t="shared" si="33"/>
        <v/>
      </c>
      <c r="F87" s="53">
        <f t="shared" si="33"/>
        <v>5.8567769431111388E-2</v>
      </c>
      <c r="G87" s="53">
        <f t="shared" si="33"/>
        <v>0.10893475968057865</v>
      </c>
      <c r="H87" s="53" t="str">
        <f t="shared" si="33"/>
        <v/>
      </c>
      <c r="I87" s="53" t="str">
        <f t="shared" si="33"/>
        <v/>
      </c>
      <c r="J87" s="53">
        <f t="shared" si="33"/>
        <v>4.2209259777438252E-2</v>
      </c>
      <c r="K87" s="53" t="str">
        <f t="shared" si="33"/>
        <v/>
      </c>
      <c r="L87" s="53" t="str">
        <f t="shared" si="33"/>
        <v/>
      </c>
      <c r="M87" s="53" t="str">
        <f t="shared" si="33"/>
        <v/>
      </c>
      <c r="N87" s="53" t="str">
        <f t="shared" si="33"/>
        <v/>
      </c>
      <c r="O87" s="53">
        <f t="shared" si="33"/>
        <v>2.4559288835317241E-2</v>
      </c>
      <c r="P87" s="53" t="str">
        <f t="shared" si="33"/>
        <v/>
      </c>
    </row>
    <row r="88" spans="2:16">
      <c r="C88" s="32" t="s">
        <v>389</v>
      </c>
      <c r="D88" s="53" t="str">
        <f>IF(D86&gt;0,"",D86)</f>
        <v/>
      </c>
      <c r="E88" s="53">
        <f t="shared" ref="E88:M88" si="34">IF(E86&gt;0,"",E86)</f>
        <v>-0.12438924643233812</v>
      </c>
      <c r="F88" s="53" t="str">
        <f t="shared" si="34"/>
        <v/>
      </c>
      <c r="G88" s="53" t="str">
        <f t="shared" si="34"/>
        <v/>
      </c>
      <c r="H88" s="53">
        <f t="shared" si="34"/>
        <v>-0.11147463354785933</v>
      </c>
      <c r="I88" s="53">
        <f t="shared" si="34"/>
        <v>-6.024666910609347E-2</v>
      </c>
      <c r="J88" s="53" t="str">
        <f t="shared" si="34"/>
        <v/>
      </c>
      <c r="K88" s="53">
        <f t="shared" si="34"/>
        <v>-3.6569878817882359E-2</v>
      </c>
      <c r="L88" s="53">
        <f t="shared" si="34"/>
        <v>-7.5744204567468013E-2</v>
      </c>
      <c r="M88" s="53">
        <f t="shared" si="34"/>
        <v>-4.7332056221614682E-2</v>
      </c>
      <c r="N88" s="53">
        <f>IF(N86&gt;0,"",N86)</f>
        <v>-0.15150993348974359</v>
      </c>
      <c r="O88" s="53" t="str">
        <f>IF(O86&gt;0,"",O86)</f>
        <v/>
      </c>
      <c r="P88" s="53">
        <f>IF(P86&gt;0,"",P86)</f>
        <v>-0.13299898835532398</v>
      </c>
    </row>
    <row r="90" spans="2:16">
      <c r="D90" s="116">
        <f>IF(D91="",0,-30%)</f>
        <v>0</v>
      </c>
      <c r="E90" s="116">
        <f t="shared" ref="E90:P90" si="35">IF(E91="",0,-30%)</f>
        <v>0</v>
      </c>
      <c r="F90" s="116">
        <f t="shared" si="35"/>
        <v>0</v>
      </c>
      <c r="G90" s="116">
        <f t="shared" si="35"/>
        <v>0</v>
      </c>
      <c r="H90" s="116">
        <f t="shared" si="35"/>
        <v>0</v>
      </c>
      <c r="I90" s="116">
        <f t="shared" si="35"/>
        <v>0</v>
      </c>
      <c r="J90" s="116">
        <f t="shared" si="35"/>
        <v>0</v>
      </c>
      <c r="K90" s="116">
        <f t="shared" si="35"/>
        <v>0</v>
      </c>
      <c r="L90" s="116">
        <f t="shared" si="35"/>
        <v>0</v>
      </c>
      <c r="M90" s="116">
        <f t="shared" si="35"/>
        <v>0</v>
      </c>
      <c r="N90" s="116">
        <f t="shared" si="35"/>
        <v>0</v>
      </c>
      <c r="O90" s="116">
        <f t="shared" si="35"/>
        <v>0</v>
      </c>
      <c r="P90" s="116">
        <f t="shared" si="35"/>
        <v>0</v>
      </c>
    </row>
    <row r="91" spans="2:16">
      <c r="D91" t="str">
        <f>IF(VLOOKUP('CALCUL DEET'!D54,Site!$B$8:$M$23,8,0)=0,"",(VLOOKUP('CALCUL DEET'!D54,Site!$B$8:$M$23,8,0)))</f>
        <v/>
      </c>
      <c r="E91" t="str">
        <f>IF(VLOOKUP('CALCUL DEET'!E54,Site!$B$8:$M$23,8,0)=0,"",(VLOOKUP('CALCUL DEET'!E54,Site!$B$8:$M$23,8,0)))</f>
        <v/>
      </c>
      <c r="F91" t="str">
        <f>IF(VLOOKUP('CALCUL DEET'!F54,Site!$B$8:$M$23,8,0)=0,"",(VLOOKUP('CALCUL DEET'!F54,Site!$B$8:$M$23,8,0)))</f>
        <v/>
      </c>
      <c r="G91" t="str">
        <f>IF(VLOOKUP('CALCUL DEET'!G54,Site!$B$8:$M$23,8,0)=0,"",(VLOOKUP('CALCUL DEET'!G54,Site!$B$8:$M$23,8,0)))</f>
        <v/>
      </c>
      <c r="H91" t="str">
        <f>IF(VLOOKUP('CALCUL DEET'!H54,Site!$B$8:$M$23,8,0)=0,"",(VLOOKUP('CALCUL DEET'!H54,Site!$B$8:$M$23,8,0)))</f>
        <v/>
      </c>
      <c r="I91" t="str">
        <f>IF(VLOOKUP('CALCUL DEET'!I54,Site!$B$8:$M$23,8,0)=0,"",(VLOOKUP('CALCUL DEET'!I54,Site!$B$8:$M$23,8,0)))</f>
        <v/>
      </c>
      <c r="J91" t="str">
        <f>IF(VLOOKUP('CALCUL DEET'!J54,Site!$B$8:$M$23,8,0)=0,"",(VLOOKUP('CALCUL DEET'!J54,Site!$B$8:$M$23,8,0)))</f>
        <v/>
      </c>
      <c r="K91" t="str">
        <f>IF(VLOOKUP('CALCUL DEET'!K54,Site!$B$8:$M$23,8,0)=0,"",(VLOOKUP('CALCUL DEET'!K54,Site!$B$8:$M$23,8,0)))</f>
        <v/>
      </c>
      <c r="L91" t="str">
        <f>IF(VLOOKUP('CALCUL DEET'!L54,Site!$B$8:$M$23,8,0)=0,"",(VLOOKUP('CALCUL DEET'!L54,Site!$B$8:$M$23,8,0)))</f>
        <v/>
      </c>
      <c r="M91" t="str">
        <f>IF(VLOOKUP('CALCUL DEET'!M54,Site!$B$8:$M$23,8,0)=0,"",(VLOOKUP('CALCUL DEET'!M54,Site!$B$8:$M$23,8,0)))</f>
        <v/>
      </c>
      <c r="N91" s="454" t="str">
        <f>IF(VLOOKUP('CALCUL DEET'!N54,Site!$B$8:$M$23,8,0)=0,"",(VLOOKUP('CALCUL DEET'!N54,Site!$B$8:$M$23,8,0)))</f>
        <v/>
      </c>
      <c r="O91" s="454" t="str">
        <f>IF(VLOOKUP('CALCUL DEET'!O54,Site!$B$8:$M$23,8,0)=0,"",(VLOOKUP('CALCUL DEET'!O54,Site!$B$8:$M$23,8,0)))</f>
        <v/>
      </c>
      <c r="P91" s="454" t="str">
        <f>IF(VLOOKUP('CALCUL DEET'!P54,Site!$B$8:$M$23,8,0)=0,"",(VLOOKUP('CALCUL DEET'!P54,Site!$B$8:$M$23,8,0)))</f>
        <v/>
      </c>
    </row>
  </sheetData>
  <mergeCells count="10">
    <mergeCell ref="B12:B14"/>
    <mergeCell ref="B32:B34"/>
    <mergeCell ref="B26:B31"/>
    <mergeCell ref="B15:B19"/>
    <mergeCell ref="B20:B24"/>
    <mergeCell ref="B55:B57"/>
    <mergeCell ref="B58:B62"/>
    <mergeCell ref="B63:B67"/>
    <mergeCell ref="B69:B74"/>
    <mergeCell ref="B75:B7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3"/>
  <dimension ref="A1:W51"/>
  <sheetViews>
    <sheetView zoomScale="55" zoomScaleNormal="55" workbookViewId="0">
      <selection activeCell="B3" sqref="B3"/>
    </sheetView>
  </sheetViews>
  <sheetFormatPr baseColWidth="10" defaultColWidth="11.42578125" defaultRowHeight="15"/>
  <cols>
    <col min="2" max="2" width="28.85546875" bestFit="1" customWidth="1"/>
    <col min="3" max="3" width="35.85546875" bestFit="1" customWidth="1"/>
    <col min="4" max="4" width="38" bestFit="1" customWidth="1"/>
    <col min="5" max="5" width="42.85546875" bestFit="1" customWidth="1"/>
    <col min="6" max="6" width="45" bestFit="1" customWidth="1"/>
    <col min="7" max="7" width="35.85546875" bestFit="1" customWidth="1"/>
    <col min="8" max="8" width="38" bestFit="1" customWidth="1"/>
    <col min="9" max="9" width="35.85546875" bestFit="1" customWidth="1"/>
    <col min="10" max="10" width="38" bestFit="1" customWidth="1"/>
    <col min="11" max="11" width="35.85546875" bestFit="1" customWidth="1"/>
    <col min="12" max="12" width="38" bestFit="1" customWidth="1"/>
    <col min="13" max="13" width="35.85546875" bestFit="1" customWidth="1"/>
    <col min="14" max="14" width="38" bestFit="1" customWidth="1"/>
    <col min="15" max="15" width="35.85546875" bestFit="1" customWidth="1"/>
    <col min="16" max="16" width="38" bestFit="1" customWidth="1"/>
    <col min="17" max="17" width="35.85546875" bestFit="1" customWidth="1"/>
    <col min="18" max="18" width="38" bestFit="1" customWidth="1"/>
    <col min="19" max="19" width="35.85546875" bestFit="1" customWidth="1"/>
    <col min="20" max="20" width="38" bestFit="1" customWidth="1"/>
    <col min="21" max="21" width="35.85546875" bestFit="1" customWidth="1"/>
    <col min="22" max="22" width="38" bestFit="1" customWidth="1"/>
    <col min="23" max="23" width="35.85546875" bestFit="1" customWidth="1"/>
    <col min="24" max="24" width="38" bestFit="1" customWidth="1"/>
    <col min="25" max="25" width="35.85546875" bestFit="1" customWidth="1"/>
    <col min="26" max="26" width="38" bestFit="1" customWidth="1"/>
    <col min="27" max="27" width="35.85546875" bestFit="1" customWidth="1"/>
    <col min="28" max="28" width="38" bestFit="1" customWidth="1"/>
    <col min="29" max="29" width="35.85546875" bestFit="1" customWidth="1"/>
    <col min="30" max="30" width="38" bestFit="1" customWidth="1"/>
    <col min="31" max="31" width="42.85546875" bestFit="1" customWidth="1"/>
    <col min="32" max="32" width="45" bestFit="1" customWidth="1"/>
    <col min="33" max="33" width="42.85546875" bestFit="1" customWidth="1"/>
    <col min="34" max="34" width="45" bestFit="1" customWidth="1"/>
    <col min="35" max="35" width="42.85546875" bestFit="1" customWidth="1"/>
    <col min="36" max="36" width="45" bestFit="1" customWidth="1"/>
    <col min="37" max="37" width="35.85546875" bestFit="1" customWidth="1"/>
    <col min="38" max="38" width="38" bestFit="1" customWidth="1"/>
    <col min="39" max="39" width="35.85546875" bestFit="1" customWidth="1"/>
    <col min="40" max="40" width="38" bestFit="1" customWidth="1"/>
    <col min="41" max="41" width="35.85546875" bestFit="1" customWidth="1"/>
    <col min="42" max="42" width="38" bestFit="1" customWidth="1"/>
    <col min="43" max="43" width="42.85546875" bestFit="1" customWidth="1"/>
    <col min="44" max="44" width="45" bestFit="1" customWidth="1"/>
    <col min="45" max="45" width="27.5703125" bestFit="1" customWidth="1"/>
    <col min="46" max="46" width="29" bestFit="1" customWidth="1"/>
    <col min="47" max="47" width="27.5703125" bestFit="1" customWidth="1"/>
    <col min="48" max="48" width="29" bestFit="1" customWidth="1"/>
    <col min="49" max="49" width="27.5703125" bestFit="1" customWidth="1"/>
    <col min="50" max="50" width="29" bestFit="1" customWidth="1"/>
    <col min="51" max="51" width="27.5703125" bestFit="1" customWidth="1"/>
    <col min="52" max="52" width="29" bestFit="1" customWidth="1"/>
    <col min="53" max="53" width="27.5703125" bestFit="1" customWidth="1"/>
    <col min="54" max="54" width="29" bestFit="1" customWidth="1"/>
    <col min="55" max="55" width="27.5703125" bestFit="1" customWidth="1"/>
    <col min="56" max="56" width="29" bestFit="1" customWidth="1"/>
    <col min="57" max="57" width="27.5703125" bestFit="1" customWidth="1"/>
    <col min="58" max="58" width="29" bestFit="1" customWidth="1"/>
    <col min="59" max="59" width="27.5703125" bestFit="1" customWidth="1"/>
    <col min="60" max="60" width="29" bestFit="1" customWidth="1"/>
    <col min="61" max="61" width="27.5703125" bestFit="1" customWidth="1"/>
    <col min="62" max="62" width="29" bestFit="1" customWidth="1"/>
    <col min="63" max="63" width="27.5703125" bestFit="1" customWidth="1"/>
    <col min="64" max="64" width="29" bestFit="1" customWidth="1"/>
    <col min="65" max="65" width="27.5703125" bestFit="1" customWidth="1"/>
    <col min="66" max="66" width="29" bestFit="1" customWidth="1"/>
    <col min="67" max="67" width="27.5703125" bestFit="1" customWidth="1"/>
    <col min="68" max="68" width="29" bestFit="1" customWidth="1"/>
    <col min="69" max="69" width="27.5703125" bestFit="1" customWidth="1"/>
    <col min="70" max="70" width="29" bestFit="1" customWidth="1"/>
    <col min="71" max="71" width="27.5703125" bestFit="1" customWidth="1"/>
    <col min="72" max="72" width="29" bestFit="1" customWidth="1"/>
    <col min="73" max="73" width="27.5703125" bestFit="1" customWidth="1"/>
    <col min="74" max="74" width="29" bestFit="1" customWidth="1"/>
    <col min="75" max="75" width="27.5703125" bestFit="1" customWidth="1"/>
    <col min="76" max="76" width="29" bestFit="1" customWidth="1"/>
    <col min="77" max="77" width="27.5703125" bestFit="1" customWidth="1"/>
    <col min="78" max="78" width="29" bestFit="1" customWidth="1"/>
    <col min="79" max="79" width="27.5703125" bestFit="1" customWidth="1"/>
    <col min="80" max="80" width="29" bestFit="1" customWidth="1"/>
    <col min="81" max="81" width="27.5703125" bestFit="1" customWidth="1"/>
    <col min="82" max="82" width="29" bestFit="1" customWidth="1"/>
    <col min="83" max="83" width="27.5703125" bestFit="1" customWidth="1"/>
    <col min="84" max="84" width="29" bestFit="1" customWidth="1"/>
    <col min="85" max="85" width="27.5703125" bestFit="1" customWidth="1"/>
    <col min="86" max="86" width="29" bestFit="1" customWidth="1"/>
    <col min="87" max="87" width="27.5703125" bestFit="1" customWidth="1"/>
    <col min="88" max="88" width="29" bestFit="1" customWidth="1"/>
    <col min="89" max="89" width="27.5703125" bestFit="1" customWidth="1"/>
    <col min="90" max="90" width="29" bestFit="1" customWidth="1"/>
    <col min="91" max="91" width="27.5703125" bestFit="1" customWidth="1"/>
    <col min="92" max="92" width="29" bestFit="1" customWidth="1"/>
    <col min="93" max="93" width="27.5703125" bestFit="1" customWidth="1"/>
    <col min="94" max="94" width="29" bestFit="1" customWidth="1"/>
    <col min="95" max="95" width="27.5703125" bestFit="1" customWidth="1"/>
    <col min="96" max="96" width="29" bestFit="1" customWidth="1"/>
    <col min="97" max="97" width="27.5703125" bestFit="1" customWidth="1"/>
    <col min="98" max="98" width="29" bestFit="1" customWidth="1"/>
    <col min="99" max="99" width="27.5703125" bestFit="1" customWidth="1"/>
    <col min="100" max="100" width="29" bestFit="1" customWidth="1"/>
    <col min="101" max="101" width="27.5703125" bestFit="1" customWidth="1"/>
    <col min="102" max="102" width="29" bestFit="1" customWidth="1"/>
    <col min="103" max="103" width="27.5703125" bestFit="1" customWidth="1"/>
    <col min="104" max="104" width="29" bestFit="1" customWidth="1"/>
    <col min="105" max="105" width="27.5703125" bestFit="1" customWidth="1"/>
    <col min="106" max="106" width="29" bestFit="1" customWidth="1"/>
    <col min="107" max="107" width="27.5703125" bestFit="1" customWidth="1"/>
    <col min="108" max="108" width="29" bestFit="1" customWidth="1"/>
    <col min="109" max="109" width="27.5703125" bestFit="1" customWidth="1"/>
    <col min="110" max="110" width="29" bestFit="1" customWidth="1"/>
    <col min="111" max="111" width="27.5703125" bestFit="1" customWidth="1"/>
    <col min="112" max="112" width="29" bestFit="1" customWidth="1"/>
    <col min="113" max="113" width="27.5703125" bestFit="1" customWidth="1"/>
    <col min="114" max="114" width="29" bestFit="1" customWidth="1"/>
    <col min="115" max="115" width="27.5703125" bestFit="1" customWidth="1"/>
    <col min="116" max="116" width="29" bestFit="1" customWidth="1"/>
    <col min="117" max="117" width="27.5703125" bestFit="1" customWidth="1"/>
    <col min="118" max="118" width="29" bestFit="1" customWidth="1"/>
    <col min="119" max="119" width="27.5703125" bestFit="1" customWidth="1"/>
    <col min="120" max="120" width="29" bestFit="1" customWidth="1"/>
    <col min="121" max="121" width="27.5703125" bestFit="1" customWidth="1"/>
    <col min="122" max="122" width="29" bestFit="1" customWidth="1"/>
    <col min="123" max="123" width="27.5703125" bestFit="1" customWidth="1"/>
    <col min="124" max="124" width="29" bestFit="1" customWidth="1"/>
    <col min="125" max="125" width="27.5703125" bestFit="1" customWidth="1"/>
    <col min="126" max="126" width="29" bestFit="1" customWidth="1"/>
    <col min="127" max="127" width="27.5703125" bestFit="1" customWidth="1"/>
    <col min="128" max="128" width="29" bestFit="1" customWidth="1"/>
    <col min="129" max="129" width="27.5703125" bestFit="1" customWidth="1"/>
    <col min="130" max="130" width="29" bestFit="1" customWidth="1"/>
    <col min="131" max="131" width="27.5703125" bestFit="1" customWidth="1"/>
    <col min="132" max="132" width="29" bestFit="1" customWidth="1"/>
    <col min="133" max="133" width="27.5703125" bestFit="1" customWidth="1"/>
    <col min="134" max="134" width="29" bestFit="1" customWidth="1"/>
    <col min="135" max="135" width="27.5703125" bestFit="1" customWidth="1"/>
    <col min="136" max="136" width="29" bestFit="1" customWidth="1"/>
    <col min="137" max="137" width="27.5703125" bestFit="1" customWidth="1"/>
    <col min="138" max="138" width="29" bestFit="1" customWidth="1"/>
    <col min="139" max="139" width="27.5703125" bestFit="1" customWidth="1"/>
    <col min="140" max="140" width="29" bestFit="1" customWidth="1"/>
    <col min="141" max="141" width="27.5703125" bestFit="1" customWidth="1"/>
    <col min="142" max="142" width="29" bestFit="1" customWidth="1"/>
    <col min="143" max="143" width="27.5703125" bestFit="1" customWidth="1"/>
    <col min="144" max="144" width="29" bestFit="1" customWidth="1"/>
    <col min="145" max="145" width="27.5703125" bestFit="1" customWidth="1"/>
    <col min="146" max="146" width="29" bestFit="1" customWidth="1"/>
    <col min="147" max="147" width="27.5703125" bestFit="1" customWidth="1"/>
    <col min="148" max="148" width="29" bestFit="1" customWidth="1"/>
    <col min="149" max="149" width="27.5703125" bestFit="1" customWidth="1"/>
    <col min="150" max="150" width="29" bestFit="1" customWidth="1"/>
    <col min="151" max="151" width="27.5703125" bestFit="1" customWidth="1"/>
    <col min="152" max="152" width="29" bestFit="1" customWidth="1"/>
    <col min="153" max="153" width="27.5703125" bestFit="1" customWidth="1"/>
    <col min="154" max="154" width="29" bestFit="1" customWidth="1"/>
    <col min="155" max="155" width="27.5703125" bestFit="1" customWidth="1"/>
    <col min="156" max="156" width="29" bestFit="1" customWidth="1"/>
    <col min="157" max="157" width="27.5703125" bestFit="1" customWidth="1"/>
    <col min="158" max="158" width="29" bestFit="1" customWidth="1"/>
    <col min="159" max="159" width="27.5703125" bestFit="1" customWidth="1"/>
    <col min="160" max="160" width="29" bestFit="1" customWidth="1"/>
    <col min="161" max="161" width="27.5703125" bestFit="1" customWidth="1"/>
    <col min="162" max="162" width="29" bestFit="1" customWidth="1"/>
    <col min="163" max="163" width="27.5703125" bestFit="1" customWidth="1"/>
    <col min="164" max="164" width="29" bestFit="1" customWidth="1"/>
    <col min="165" max="165" width="27.5703125" bestFit="1" customWidth="1"/>
    <col min="166" max="166" width="29" bestFit="1" customWidth="1"/>
    <col min="167" max="167" width="27.5703125" bestFit="1" customWidth="1"/>
    <col min="168" max="168" width="29" bestFit="1" customWidth="1"/>
    <col min="169" max="169" width="27.5703125" bestFit="1" customWidth="1"/>
    <col min="170" max="170" width="29" bestFit="1" customWidth="1"/>
    <col min="171" max="171" width="27.5703125" bestFit="1" customWidth="1"/>
    <col min="172" max="172" width="29" bestFit="1" customWidth="1"/>
    <col min="173" max="173" width="27.5703125" bestFit="1" customWidth="1"/>
    <col min="174" max="174" width="29" bestFit="1" customWidth="1"/>
    <col min="175" max="175" width="27.5703125" bestFit="1" customWidth="1"/>
    <col min="176" max="176" width="29" bestFit="1" customWidth="1"/>
    <col min="177" max="177" width="27.5703125" bestFit="1" customWidth="1"/>
    <col min="178" max="178" width="29" bestFit="1" customWidth="1"/>
    <col min="179" max="179" width="27.5703125" bestFit="1" customWidth="1"/>
    <col min="180" max="180" width="29" bestFit="1" customWidth="1"/>
    <col min="181" max="181" width="27.5703125" bestFit="1" customWidth="1"/>
    <col min="182" max="182" width="29" bestFit="1" customWidth="1"/>
    <col min="183" max="183" width="27.5703125" bestFit="1" customWidth="1"/>
    <col min="184" max="184" width="29" bestFit="1" customWidth="1"/>
    <col min="185" max="185" width="27.5703125" bestFit="1" customWidth="1"/>
    <col min="186" max="186" width="29" bestFit="1" customWidth="1"/>
    <col min="187" max="187" width="27.5703125" bestFit="1" customWidth="1"/>
    <col min="188" max="188" width="29" bestFit="1" customWidth="1"/>
    <col min="189" max="189" width="27.5703125" bestFit="1" customWidth="1"/>
    <col min="190" max="190" width="29" bestFit="1" customWidth="1"/>
    <col min="191" max="191" width="27.5703125" bestFit="1" customWidth="1"/>
    <col min="192" max="192" width="29" bestFit="1" customWidth="1"/>
    <col min="193" max="193" width="27.5703125" bestFit="1" customWidth="1"/>
    <col min="194" max="194" width="29" bestFit="1" customWidth="1"/>
    <col min="195" max="195" width="27.5703125" bestFit="1" customWidth="1"/>
    <col min="196" max="196" width="29" bestFit="1" customWidth="1"/>
    <col min="197" max="197" width="27.5703125" bestFit="1" customWidth="1"/>
    <col min="198" max="198" width="29" bestFit="1" customWidth="1"/>
    <col min="199" max="199" width="27.5703125" bestFit="1" customWidth="1"/>
    <col min="200" max="200" width="29" bestFit="1" customWidth="1"/>
    <col min="201" max="201" width="27.5703125" bestFit="1" customWidth="1"/>
    <col min="202" max="202" width="29" bestFit="1" customWidth="1"/>
    <col min="203" max="203" width="27.5703125" bestFit="1" customWidth="1"/>
    <col min="204" max="204" width="29" bestFit="1" customWidth="1"/>
    <col min="205" max="205" width="27.5703125" bestFit="1" customWidth="1"/>
    <col min="206" max="206" width="29" bestFit="1" customWidth="1"/>
    <col min="207" max="207" width="27.5703125" bestFit="1" customWidth="1"/>
    <col min="208" max="208" width="29" bestFit="1" customWidth="1"/>
    <col min="209" max="209" width="27.5703125" bestFit="1" customWidth="1"/>
    <col min="210" max="210" width="29" bestFit="1" customWidth="1"/>
    <col min="211" max="211" width="27.5703125" bestFit="1" customWidth="1"/>
    <col min="212" max="212" width="29" bestFit="1" customWidth="1"/>
    <col min="213" max="213" width="27.5703125" bestFit="1" customWidth="1"/>
    <col min="214" max="214" width="29" bestFit="1" customWidth="1"/>
    <col min="215" max="215" width="27.5703125" bestFit="1" customWidth="1"/>
    <col min="216" max="216" width="29" bestFit="1" customWidth="1"/>
    <col min="217" max="217" width="27.5703125" bestFit="1" customWidth="1"/>
    <col min="218" max="218" width="29" bestFit="1" customWidth="1"/>
    <col min="219" max="219" width="27.5703125" bestFit="1" customWidth="1"/>
    <col min="220" max="220" width="29" bestFit="1" customWidth="1"/>
    <col min="221" max="221" width="27.5703125" bestFit="1" customWidth="1"/>
    <col min="222" max="222" width="29" bestFit="1" customWidth="1"/>
    <col min="223" max="223" width="27.5703125" bestFit="1" customWidth="1"/>
    <col min="224" max="224" width="29" bestFit="1" customWidth="1"/>
    <col min="225" max="225" width="27.5703125" bestFit="1" customWidth="1"/>
    <col min="226" max="226" width="29" bestFit="1" customWidth="1"/>
    <col min="227" max="227" width="27.5703125" bestFit="1" customWidth="1"/>
    <col min="228" max="228" width="29" bestFit="1" customWidth="1"/>
    <col min="229" max="229" width="27.5703125" bestFit="1" customWidth="1"/>
    <col min="230" max="230" width="29" bestFit="1" customWidth="1"/>
    <col min="231" max="231" width="27.5703125" bestFit="1" customWidth="1"/>
    <col min="232" max="232" width="29" bestFit="1" customWidth="1"/>
    <col min="233" max="233" width="27.5703125" bestFit="1" customWidth="1"/>
    <col min="234" max="234" width="29" bestFit="1" customWidth="1"/>
    <col min="235" max="235" width="27.5703125" bestFit="1" customWidth="1"/>
    <col min="236" max="236" width="29" bestFit="1" customWidth="1"/>
    <col min="237" max="237" width="27.5703125" bestFit="1" customWidth="1"/>
    <col min="238" max="238" width="29" bestFit="1" customWidth="1"/>
    <col min="239" max="239" width="27.5703125" bestFit="1" customWidth="1"/>
    <col min="240" max="240" width="29" bestFit="1" customWidth="1"/>
    <col min="241" max="241" width="27.5703125" bestFit="1" customWidth="1"/>
    <col min="242" max="242" width="29" bestFit="1" customWidth="1"/>
    <col min="243" max="243" width="27.5703125" bestFit="1" customWidth="1"/>
    <col min="244" max="244" width="29" bestFit="1" customWidth="1"/>
    <col min="245" max="245" width="27.5703125" bestFit="1" customWidth="1"/>
    <col min="246" max="246" width="29" bestFit="1" customWidth="1"/>
    <col min="247" max="247" width="27.5703125" bestFit="1" customWidth="1"/>
    <col min="248" max="248" width="29" bestFit="1" customWidth="1"/>
    <col min="249" max="249" width="27.5703125" bestFit="1" customWidth="1"/>
    <col min="250" max="250" width="29" bestFit="1" customWidth="1"/>
    <col min="251" max="251" width="27.5703125" bestFit="1" customWidth="1"/>
    <col min="252" max="252" width="29" bestFit="1" customWidth="1"/>
    <col min="253" max="253" width="32.5703125" bestFit="1" customWidth="1"/>
    <col min="254" max="254" width="34" bestFit="1" customWidth="1"/>
  </cols>
  <sheetData>
    <row r="1" spans="2:6">
      <c r="B1" s="174" t="s">
        <v>68</v>
      </c>
      <c r="C1" s="522" t="s" vm="2">
        <v>861</v>
      </c>
    </row>
    <row r="3" spans="2:6">
      <c r="C3" s="174" t="s">
        <v>74</v>
      </c>
    </row>
    <row r="4" spans="2:6">
      <c r="C4" s="522">
        <v>2012</v>
      </c>
      <c r="E4" s="522" t="s">
        <v>903</v>
      </c>
      <c r="F4" s="522" t="s">
        <v>904</v>
      </c>
    </row>
    <row r="5" spans="2:6">
      <c r="B5" s="174" t="s">
        <v>64</v>
      </c>
      <c r="C5" s="522" t="s">
        <v>849</v>
      </c>
      <c r="D5" s="522" t="s">
        <v>905</v>
      </c>
    </row>
    <row r="6" spans="2:6">
      <c r="B6" s="88" t="s">
        <v>28</v>
      </c>
      <c r="C6" s="233">
        <v>0</v>
      </c>
      <c r="D6" s="233">
        <v>0</v>
      </c>
      <c r="E6" s="233">
        <v>0</v>
      </c>
      <c r="F6" s="233">
        <v>0</v>
      </c>
    </row>
    <row r="7" spans="2:6">
      <c r="B7" s="88" t="s">
        <v>86</v>
      </c>
      <c r="C7" s="233">
        <v>0</v>
      </c>
      <c r="D7" s="233">
        <v>0</v>
      </c>
      <c r="E7" s="233">
        <v>0</v>
      </c>
      <c r="F7" s="233">
        <v>0</v>
      </c>
    </row>
    <row r="19" spans="2:23" ht="21">
      <c r="B19" s="151" t="s">
        <v>391</v>
      </c>
    </row>
    <row r="20" spans="2:23">
      <c r="B20" s="147" t="s">
        <v>392</v>
      </c>
      <c r="C20">
        <v>2010</v>
      </c>
      <c r="D20">
        <v>2011</v>
      </c>
      <c r="E20">
        <v>2012</v>
      </c>
      <c r="F20">
        <v>2013</v>
      </c>
      <c r="G20">
        <v>2014</v>
      </c>
      <c r="H20">
        <v>2015</v>
      </c>
      <c r="I20">
        <v>2016</v>
      </c>
      <c r="J20">
        <v>2017</v>
      </c>
      <c r="K20">
        <v>2018</v>
      </c>
      <c r="L20">
        <v>2019</v>
      </c>
      <c r="M20">
        <v>2020</v>
      </c>
      <c r="N20">
        <v>2021</v>
      </c>
      <c r="O20">
        <v>2022</v>
      </c>
      <c r="P20">
        <v>2023</v>
      </c>
      <c r="Q20">
        <v>2024</v>
      </c>
      <c r="R20">
        <v>2025</v>
      </c>
      <c r="S20" s="401">
        <v>2026</v>
      </c>
      <c r="T20" s="401">
        <v>2027</v>
      </c>
      <c r="U20" s="401">
        <v>2028</v>
      </c>
      <c r="V20" s="401">
        <v>2029</v>
      </c>
      <c r="W20" s="401">
        <v>2030</v>
      </c>
    </row>
    <row r="21" spans="2:23">
      <c r="B21" t="s">
        <v>326</v>
      </c>
      <c r="C21" s="437">
        <f>IFERROR(GETPIVOTDATA("[Measures].[Somme de Conso_kWh_DEET]",TCD_Conso!$B$3,"[Tab_concat].[Type]","[Tab_concat].[Type].&amp;[Consommation]","[Tab_concat].[Detail usage]","[Tab_concat].[Detail usage].&amp;["&amp;$B34&amp;"]","[Tab_concat].[Annee]","[Tab_concat].[Annee].&amp;["&amp;C$33&amp;"]"),0)</f>
        <v>0</v>
      </c>
      <c r="D21" s="437">
        <f>IFERROR(GETPIVOTDATA("[Measures].[Somme de Conso_kWh_DEET]",TCD_Conso!$B$3,"[Tab_concat].[Type]","[Tab_concat].[Type].&amp;[Consommation]","[Tab_concat].[Detail usage]","[Tab_concat].[Detail usage].&amp;["&amp;$B34&amp;"]","[Tab_concat].[Annee]","[Tab_concat].[Annee].&amp;["&amp;D$33&amp;"]"),0)</f>
        <v>0</v>
      </c>
      <c r="E21" s="437">
        <f>IFERROR(GETPIVOTDATA("[Measures].[Somme de Conso_kWh_DEET]",TCD_Conso!$B$3,"[Tab_concat].[Type]","[Tab_concat].[Type].&amp;[Consommation]","[Tab_concat].[Detail usage]","[Tab_concat].[Detail usage].&amp;["&amp;$B34&amp;"]","[Tab_concat].[Annee]","[Tab_concat].[Annee].&amp;["&amp;E$33&amp;"]"),0)</f>
        <v>0</v>
      </c>
      <c r="F21" s="437">
        <f>IFERROR(GETPIVOTDATA("[Measures].[Somme de Conso_kWh_DEET]",TCD_Conso!$B$3,"[Tab_concat].[Type]","[Tab_concat].[Type].&amp;[Consommation]","[Tab_concat].[Detail usage]","[Tab_concat].[Detail usage].&amp;["&amp;$B34&amp;"]","[Tab_concat].[Annee]","[Tab_concat].[Annee].&amp;["&amp;F$33&amp;"]"),0)</f>
        <v>0</v>
      </c>
      <c r="G21" s="437">
        <f>IFERROR(GETPIVOTDATA("[Measures].[Somme de Conso_kWh_DEET]",TCD_Conso!$B$3,"[Tab_concat].[Type]","[Tab_concat].[Type].&amp;[Consommation]","[Tab_concat].[Detail usage]","[Tab_concat].[Detail usage].&amp;["&amp;$B34&amp;"]","[Tab_concat].[Annee]","[Tab_concat].[Annee].&amp;["&amp;G$33&amp;"]"),0)</f>
        <v>0</v>
      </c>
      <c r="H21" s="437">
        <f>IFERROR(GETPIVOTDATA("[Measures].[Somme de Conso_kWh_DEET]",TCD_Conso!$B$3,"[Tab_concat].[Type]","[Tab_concat].[Type].&amp;[Consommation]","[Tab_concat].[Detail usage]","[Tab_concat].[Detail usage].&amp;["&amp;$B34&amp;"]","[Tab_concat].[Annee]","[Tab_concat].[Annee].&amp;["&amp;H$33&amp;"]"),0)</f>
        <v>0</v>
      </c>
      <c r="I21" s="437">
        <f>IFERROR(GETPIVOTDATA("[Measures].[Somme de Conso_kWh_DEET]",TCD_Conso!$B$3,"[Tab_concat].[Type]","[Tab_concat].[Type].&amp;[Consommation]","[Tab_concat].[Detail usage]","[Tab_concat].[Detail usage].&amp;["&amp;$B34&amp;"]","[Tab_concat].[Annee]","[Tab_concat].[Annee].&amp;["&amp;I$33&amp;"]"),0)</f>
        <v>0</v>
      </c>
      <c r="J21" s="437">
        <f>IFERROR(GETPIVOTDATA("[Measures].[Somme de Conso_kWh_DEET]",TCD_Conso!$B$3,"[Tab_concat].[Type]","[Tab_concat].[Type].&amp;[Consommation]","[Tab_concat].[Detail usage]","[Tab_concat].[Detail usage].&amp;["&amp;$B34&amp;"]","[Tab_concat].[Annee]","[Tab_concat].[Annee].&amp;["&amp;J$33&amp;"]"),0)</f>
        <v>0</v>
      </c>
      <c r="K21" s="437">
        <f>IFERROR(GETPIVOTDATA("[Measures].[Somme de Conso_kWh_DEET]",TCD_Conso!$B$3,"[Tab_concat].[Type]","[Tab_concat].[Type].&amp;[Consommation]","[Tab_concat].[Detail usage]","[Tab_concat].[Detail usage].&amp;["&amp;$B34&amp;"]","[Tab_concat].[Annee]","[Tab_concat].[Annee].&amp;["&amp;K$33&amp;"]"),0)</f>
        <v>0</v>
      </c>
      <c r="L21" s="437">
        <f>IFERROR(GETPIVOTDATA("[Measures].[Somme de Conso_kWh_DEET]",TCD_Conso!$B$3,"[Tab_concat].[Type]","[Tab_concat].[Type].&amp;[Consommation]","[Tab_concat].[Detail usage]","[Tab_concat].[Detail usage].&amp;["&amp;$B34&amp;"]","[Tab_concat].[Annee]","[Tab_concat].[Annee].&amp;["&amp;L$33&amp;"]"),0)</f>
        <v>0</v>
      </c>
      <c r="M21" s="437">
        <f>IFERROR(GETPIVOTDATA("[Measures].[Somme de Conso_kWh_DEET]",TCD_Conso!$B$3,"[Tab_concat].[Type]","[Tab_concat].[Type].&amp;[Consommation]","[Tab_concat].[Detail usage]","[Tab_concat].[Detail usage].&amp;["&amp;$B34&amp;"]","[Tab_concat].[Annee]","[Tab_concat].[Annee].&amp;["&amp;M$33&amp;"]"),0)</f>
        <v>0</v>
      </c>
      <c r="N21" s="437">
        <f>IFERROR(GETPIVOTDATA("[Measures].[Somme de Conso_kWh_DEET]",TCD_Conso!$B$3,"[Tab_concat].[Type]","[Tab_concat].[Type].&amp;[Consommation]","[Tab_concat].[Detail usage]","[Tab_concat].[Detail usage].&amp;["&amp;$B34&amp;"]","[Tab_concat].[Annee]","[Tab_concat].[Annee].&amp;["&amp;N$33&amp;"]"),0)</f>
        <v>0</v>
      </c>
      <c r="O21" s="437">
        <f>IFERROR(GETPIVOTDATA("[Measures].[Somme de Conso_kWh_DEET]",TCD_Conso!$B$3,"[Tab_concat].[Type]","[Tab_concat].[Type].&amp;[Consommation]","[Tab_concat].[Detail usage]","[Tab_concat].[Detail usage].&amp;["&amp;$B34&amp;"]","[Tab_concat].[Annee]","[Tab_concat].[Annee].&amp;["&amp;O$33&amp;"]"),0)</f>
        <v>0</v>
      </c>
      <c r="P21" s="437">
        <f>IFERROR(GETPIVOTDATA("[Measures].[Somme de Conso_kWh_DEET]",TCD_Conso!$B$3,"[Tab_concat].[Type]","[Tab_concat].[Type].&amp;[Consommation]","[Tab_concat].[Detail usage]","[Tab_concat].[Detail usage].&amp;["&amp;$B34&amp;"]","[Tab_concat].[Annee]","[Tab_concat].[Annee].&amp;["&amp;P$33&amp;"]"),0)</f>
        <v>0</v>
      </c>
      <c r="Q21" s="437">
        <f>IFERROR(GETPIVOTDATA("[Measures].[Somme de Conso_kWh_DEET]",TCD_Conso!$B$3,"[Tab_concat].[Type]","[Tab_concat].[Type].&amp;[Consommation]","[Tab_concat].[Detail usage]","[Tab_concat].[Detail usage].&amp;["&amp;$B34&amp;"]","[Tab_concat].[Annee]","[Tab_concat].[Annee].&amp;["&amp;Q$33&amp;"]"),0)</f>
        <v>0</v>
      </c>
      <c r="R21" s="437">
        <f>IFERROR(GETPIVOTDATA("[Measures].[Somme de Conso_kWh_DEET]",TCD_Conso!$B$3,"[Tab_concat].[Type]","[Tab_concat].[Type].&amp;[Consommation]","[Tab_concat].[Detail usage]","[Tab_concat].[Detail usage].&amp;["&amp;$B34&amp;"]","[Tab_concat].[Annee]","[Tab_concat].[Annee].&amp;["&amp;R$33&amp;"]"),0)</f>
        <v>0</v>
      </c>
      <c r="S21" s="437">
        <f>IFERROR(GETPIVOTDATA("[Measures].[Somme de Conso_kWh_DEET]",TCD_Conso!$B$3,"[Tab_concat].[Type]","[Tab_concat].[Type].&amp;[Consommation]","[Tab_concat].[Detail usage]","[Tab_concat].[Detail usage].&amp;["&amp;$B34&amp;"]","[Tab_concat].[Annee]","[Tab_concat].[Annee].&amp;["&amp;S$33&amp;"]"),0)</f>
        <v>0</v>
      </c>
      <c r="T21" s="437">
        <f>IFERROR(GETPIVOTDATA("[Measures].[Somme de Conso_kWh_DEET]",TCD_Conso!$B$3,"[Tab_concat].[Type]","[Tab_concat].[Type].&amp;[Consommation]","[Tab_concat].[Detail usage]","[Tab_concat].[Detail usage].&amp;["&amp;$B34&amp;"]","[Tab_concat].[Annee]","[Tab_concat].[Annee].&amp;["&amp;T$33&amp;"]"),0)</f>
        <v>0</v>
      </c>
      <c r="U21" s="437">
        <f>IFERROR(GETPIVOTDATA("[Measures].[Somme de Conso_kWh_DEET]",TCD_Conso!$B$3,"[Tab_concat].[Type]","[Tab_concat].[Type].&amp;[Consommation]","[Tab_concat].[Detail usage]","[Tab_concat].[Detail usage].&amp;["&amp;$B34&amp;"]","[Tab_concat].[Annee]","[Tab_concat].[Annee].&amp;["&amp;U$33&amp;"]"),0)</f>
        <v>0</v>
      </c>
      <c r="V21" s="437">
        <f>IFERROR(GETPIVOTDATA("[Measures].[Somme de Conso_kWh_DEET]",TCD_Conso!$B$3,"[Tab_concat].[Type]","[Tab_concat].[Type].&amp;[Consommation]","[Tab_concat].[Detail usage]","[Tab_concat].[Detail usage].&amp;["&amp;$B34&amp;"]","[Tab_concat].[Annee]","[Tab_concat].[Annee].&amp;["&amp;V$33&amp;"]"),0)</f>
        <v>0</v>
      </c>
      <c r="W21" s="437">
        <f>IFERROR(GETPIVOTDATA("[Measures].[Somme de Conso_kWh_DEET]",TCD_Conso!$B$3,"[Tab_concat].[Type]","[Tab_concat].[Type].&amp;[Consommation]","[Tab_concat].[Detail usage]","[Tab_concat].[Detail usage].&amp;["&amp;$B34&amp;"]","[Tab_concat].[Annee]","[Tab_concat].[Annee].&amp;["&amp;W$33&amp;"]"),0)</f>
        <v>0</v>
      </c>
    </row>
    <row r="22" spans="2:23">
      <c r="B22" t="s">
        <v>181</v>
      </c>
      <c r="C22" s="437">
        <f>IFERROR(GETPIVOTDATA("[Measures].[Somme de Conso_kWh_DEET]",TCD_Conso!$B$3,"[Tab_concat].[Type]","[Tab_concat].[Type].&amp;[Consommation]","[Tab_concat].[Detail usage]","[Tab_concat].[Detail usage].&amp;["&amp;$B35&amp;"]","[Tab_concat].[Annee]","[Tab_concat].[Annee].&amp;["&amp;C$33&amp;"]"),0)</f>
        <v>0</v>
      </c>
      <c r="D22" s="437">
        <f>IFERROR(GETPIVOTDATA("[Measures].[Somme de Conso_kWh_DEET]",TCD_Conso!$B$3,"[Tab_concat].[Type]","[Tab_concat].[Type].&amp;[Consommation]","[Tab_concat].[Detail usage]","[Tab_concat].[Detail usage].&amp;["&amp;$B35&amp;"]","[Tab_concat].[Annee]","[Tab_concat].[Annee].&amp;["&amp;D$33&amp;"]"),0)</f>
        <v>0</v>
      </c>
      <c r="E22" s="437">
        <f>IFERROR(GETPIVOTDATA("[Measures].[Somme de Conso_kWh_DEET]",TCD_Conso!$B$3,"[Tab_concat].[Type]","[Tab_concat].[Type].&amp;[Consommation]","[Tab_concat].[Detail usage]","[Tab_concat].[Detail usage].&amp;["&amp;$B35&amp;"]","[Tab_concat].[Annee]","[Tab_concat].[Annee].&amp;["&amp;E$33&amp;"]"),0)</f>
        <v>0</v>
      </c>
      <c r="F22" s="437">
        <f>IFERROR(GETPIVOTDATA("[Measures].[Somme de Conso_kWh_DEET]",TCD_Conso!$B$3,"[Tab_concat].[Type]","[Tab_concat].[Type].&amp;[Consommation]","[Tab_concat].[Detail usage]","[Tab_concat].[Detail usage].&amp;["&amp;$B35&amp;"]","[Tab_concat].[Annee]","[Tab_concat].[Annee].&amp;["&amp;F$33&amp;"]"),0)</f>
        <v>0</v>
      </c>
      <c r="G22" s="437">
        <f>IFERROR(GETPIVOTDATA("[Measures].[Somme de Conso_kWh_DEET]",TCD_Conso!$B$3,"[Tab_concat].[Type]","[Tab_concat].[Type].&amp;[Consommation]","[Tab_concat].[Detail usage]","[Tab_concat].[Detail usage].&amp;["&amp;$B35&amp;"]","[Tab_concat].[Annee]","[Tab_concat].[Annee].&amp;["&amp;G$33&amp;"]"),0)</f>
        <v>0</v>
      </c>
      <c r="H22" s="437">
        <f>IFERROR(GETPIVOTDATA("[Measures].[Somme de Conso_kWh_DEET]",TCD_Conso!$B$3,"[Tab_concat].[Type]","[Tab_concat].[Type].&amp;[Consommation]","[Tab_concat].[Detail usage]","[Tab_concat].[Detail usage].&amp;["&amp;$B35&amp;"]","[Tab_concat].[Annee]","[Tab_concat].[Annee].&amp;["&amp;H$33&amp;"]"),0)</f>
        <v>0</v>
      </c>
      <c r="I22" s="437">
        <f>IFERROR(GETPIVOTDATA("[Measures].[Somme de Conso_kWh_DEET]",TCD_Conso!$B$3,"[Tab_concat].[Type]","[Tab_concat].[Type].&amp;[Consommation]","[Tab_concat].[Detail usage]","[Tab_concat].[Detail usage].&amp;["&amp;$B35&amp;"]","[Tab_concat].[Annee]","[Tab_concat].[Annee].&amp;["&amp;I$33&amp;"]"),0)</f>
        <v>0</v>
      </c>
      <c r="J22" s="437">
        <f>IFERROR(GETPIVOTDATA("[Measures].[Somme de Conso_kWh_DEET]",TCD_Conso!$B$3,"[Tab_concat].[Type]","[Tab_concat].[Type].&amp;[Consommation]","[Tab_concat].[Detail usage]","[Tab_concat].[Detail usage].&amp;["&amp;$B35&amp;"]","[Tab_concat].[Annee]","[Tab_concat].[Annee].&amp;["&amp;J$33&amp;"]"),0)</f>
        <v>0</v>
      </c>
      <c r="K22" s="437">
        <f>IFERROR(GETPIVOTDATA("[Measures].[Somme de Conso_kWh_DEET]",TCD_Conso!$B$3,"[Tab_concat].[Type]","[Tab_concat].[Type].&amp;[Consommation]","[Tab_concat].[Detail usage]","[Tab_concat].[Detail usage].&amp;["&amp;$B35&amp;"]","[Tab_concat].[Annee]","[Tab_concat].[Annee].&amp;["&amp;K$33&amp;"]"),0)</f>
        <v>0</v>
      </c>
      <c r="L22" s="437">
        <f>IFERROR(GETPIVOTDATA("[Measures].[Somme de Conso_kWh_DEET]",TCD_Conso!$B$3,"[Tab_concat].[Type]","[Tab_concat].[Type].&amp;[Consommation]","[Tab_concat].[Detail usage]","[Tab_concat].[Detail usage].&amp;["&amp;$B35&amp;"]","[Tab_concat].[Annee]","[Tab_concat].[Annee].&amp;["&amp;L$33&amp;"]"),0)</f>
        <v>0</v>
      </c>
      <c r="M22" s="437">
        <f>IFERROR(GETPIVOTDATA("[Measures].[Somme de Conso_kWh_DEET]",TCD_Conso!$B$3,"[Tab_concat].[Type]","[Tab_concat].[Type].&amp;[Consommation]","[Tab_concat].[Detail usage]","[Tab_concat].[Detail usage].&amp;["&amp;$B35&amp;"]","[Tab_concat].[Annee]","[Tab_concat].[Annee].&amp;["&amp;M$33&amp;"]"),0)</f>
        <v>0</v>
      </c>
      <c r="N22" s="437">
        <f>IFERROR(GETPIVOTDATA("[Measures].[Somme de Conso_kWh_DEET]",TCD_Conso!$B$3,"[Tab_concat].[Type]","[Tab_concat].[Type].&amp;[Consommation]","[Tab_concat].[Detail usage]","[Tab_concat].[Detail usage].&amp;["&amp;$B35&amp;"]","[Tab_concat].[Annee]","[Tab_concat].[Annee].&amp;["&amp;N$33&amp;"]"),0)</f>
        <v>0</v>
      </c>
      <c r="O22" s="437">
        <f>IFERROR(GETPIVOTDATA("[Measures].[Somme de Conso_kWh_DEET]",TCD_Conso!$B$3,"[Tab_concat].[Type]","[Tab_concat].[Type].&amp;[Consommation]","[Tab_concat].[Detail usage]","[Tab_concat].[Detail usage].&amp;["&amp;$B35&amp;"]","[Tab_concat].[Annee]","[Tab_concat].[Annee].&amp;["&amp;O$33&amp;"]"),0)</f>
        <v>0</v>
      </c>
      <c r="P22" s="437">
        <f>IFERROR(GETPIVOTDATA("[Measures].[Somme de Conso_kWh_DEET]",TCD_Conso!$B$3,"[Tab_concat].[Type]","[Tab_concat].[Type].&amp;[Consommation]","[Tab_concat].[Detail usage]","[Tab_concat].[Detail usage].&amp;["&amp;$B35&amp;"]","[Tab_concat].[Annee]","[Tab_concat].[Annee].&amp;["&amp;P$33&amp;"]"),0)</f>
        <v>0</v>
      </c>
      <c r="Q22" s="437">
        <f>IFERROR(GETPIVOTDATA("[Measures].[Somme de Conso_kWh_DEET]",TCD_Conso!$B$3,"[Tab_concat].[Type]","[Tab_concat].[Type].&amp;[Consommation]","[Tab_concat].[Detail usage]","[Tab_concat].[Detail usage].&amp;["&amp;$B35&amp;"]","[Tab_concat].[Annee]","[Tab_concat].[Annee].&amp;["&amp;Q$33&amp;"]"),0)</f>
        <v>0</v>
      </c>
      <c r="R22" s="437">
        <f>IFERROR(GETPIVOTDATA("[Measures].[Somme de Conso_kWh_DEET]",TCD_Conso!$B$3,"[Tab_concat].[Type]","[Tab_concat].[Type].&amp;[Consommation]","[Tab_concat].[Detail usage]","[Tab_concat].[Detail usage].&amp;["&amp;$B35&amp;"]","[Tab_concat].[Annee]","[Tab_concat].[Annee].&amp;["&amp;R$33&amp;"]"),0)</f>
        <v>0</v>
      </c>
      <c r="S22" s="437">
        <f>IFERROR(GETPIVOTDATA("[Measures].[Somme de Conso_kWh_DEET]",TCD_Conso!$B$3,"[Tab_concat].[Type]","[Tab_concat].[Type].&amp;[Consommation]","[Tab_concat].[Detail usage]","[Tab_concat].[Detail usage].&amp;["&amp;$B35&amp;"]","[Tab_concat].[Annee]","[Tab_concat].[Annee].&amp;["&amp;S$33&amp;"]"),0)</f>
        <v>0</v>
      </c>
      <c r="T22" s="437">
        <f>IFERROR(GETPIVOTDATA("[Measures].[Somme de Conso_kWh_DEET]",TCD_Conso!$B$3,"[Tab_concat].[Type]","[Tab_concat].[Type].&amp;[Consommation]","[Tab_concat].[Detail usage]","[Tab_concat].[Detail usage].&amp;["&amp;$B35&amp;"]","[Tab_concat].[Annee]","[Tab_concat].[Annee].&amp;["&amp;T$33&amp;"]"),0)</f>
        <v>0</v>
      </c>
      <c r="U22" s="437">
        <f>IFERROR(GETPIVOTDATA("[Measures].[Somme de Conso_kWh_DEET]",TCD_Conso!$B$3,"[Tab_concat].[Type]","[Tab_concat].[Type].&amp;[Consommation]","[Tab_concat].[Detail usage]","[Tab_concat].[Detail usage].&amp;["&amp;$B35&amp;"]","[Tab_concat].[Annee]","[Tab_concat].[Annee].&amp;["&amp;U$33&amp;"]"),0)</f>
        <v>0</v>
      </c>
      <c r="V22" s="437">
        <f>IFERROR(GETPIVOTDATA("[Measures].[Somme de Conso_kWh_DEET]",TCD_Conso!$B$3,"[Tab_concat].[Type]","[Tab_concat].[Type].&amp;[Consommation]","[Tab_concat].[Detail usage]","[Tab_concat].[Detail usage].&amp;["&amp;$B35&amp;"]","[Tab_concat].[Annee]","[Tab_concat].[Annee].&amp;["&amp;V$33&amp;"]"),0)</f>
        <v>0</v>
      </c>
      <c r="W22" s="437">
        <f>IFERROR(GETPIVOTDATA("[Measures].[Somme de Conso_kWh_DEET]",TCD_Conso!$B$3,"[Tab_concat].[Type]","[Tab_concat].[Type].&amp;[Consommation]","[Tab_concat].[Detail usage]","[Tab_concat].[Detail usage].&amp;["&amp;$B35&amp;"]","[Tab_concat].[Annee]","[Tab_concat].[Annee].&amp;["&amp;W$33&amp;"]"),0)</f>
        <v>0</v>
      </c>
    </row>
    <row r="23" spans="2:23">
      <c r="B23" t="s">
        <v>393</v>
      </c>
      <c r="C23">
        <f>SUM(C21:C22)</f>
        <v>0</v>
      </c>
      <c r="D23">
        <f t="shared" ref="D23:I23" si="0">SUM(D21:D22)</f>
        <v>0</v>
      </c>
      <c r="E23">
        <f t="shared" si="0"/>
        <v>0</v>
      </c>
      <c r="F23">
        <f t="shared" si="0"/>
        <v>0</v>
      </c>
      <c r="G23">
        <f t="shared" si="0"/>
        <v>0</v>
      </c>
      <c r="H23">
        <f t="shared" si="0"/>
        <v>0</v>
      </c>
      <c r="I23">
        <f t="shared" si="0"/>
        <v>0</v>
      </c>
      <c r="J23">
        <f t="shared" ref="J23:P23" si="1">SUM(J21:J22)</f>
        <v>0</v>
      </c>
      <c r="K23">
        <f t="shared" si="1"/>
        <v>0</v>
      </c>
      <c r="L23">
        <f t="shared" si="1"/>
        <v>0</v>
      </c>
      <c r="M23">
        <f t="shared" si="1"/>
        <v>0</v>
      </c>
      <c r="N23">
        <f t="shared" si="1"/>
        <v>0</v>
      </c>
      <c r="O23">
        <f t="shared" si="1"/>
        <v>0</v>
      </c>
      <c r="P23">
        <f t="shared" si="1"/>
        <v>0</v>
      </c>
      <c r="Q23">
        <f t="shared" ref="Q23:W23" si="2">SUM(Q21:Q22)</f>
        <v>0</v>
      </c>
      <c r="R23">
        <f>SUM(R21:R22)</f>
        <v>0</v>
      </c>
      <c r="S23" s="401">
        <f t="shared" si="2"/>
        <v>0</v>
      </c>
      <c r="T23" s="401">
        <f>SUM(T21:T22)</f>
        <v>0</v>
      </c>
      <c r="U23" s="401">
        <f t="shared" si="2"/>
        <v>0</v>
      </c>
      <c r="V23" s="401">
        <f>SUM(V21:V22)</f>
        <v>0</v>
      </c>
      <c r="W23" s="401">
        <f t="shared" si="2"/>
        <v>0</v>
      </c>
    </row>
    <row r="26" spans="2:23">
      <c r="B26" s="32" t="s">
        <v>394</v>
      </c>
    </row>
    <row r="27" spans="2:23">
      <c r="C27">
        <v>2010</v>
      </c>
      <c r="D27">
        <v>2011</v>
      </c>
      <c r="E27">
        <v>2012</v>
      </c>
      <c r="F27">
        <v>2013</v>
      </c>
      <c r="G27">
        <v>2014</v>
      </c>
      <c r="H27">
        <v>2015</v>
      </c>
      <c r="I27">
        <v>2016</v>
      </c>
      <c r="J27">
        <v>2017</v>
      </c>
      <c r="K27">
        <v>2018</v>
      </c>
      <c r="L27">
        <v>2019</v>
      </c>
      <c r="M27">
        <v>2020</v>
      </c>
      <c r="N27">
        <v>2021</v>
      </c>
      <c r="O27">
        <v>2022</v>
      </c>
      <c r="P27">
        <v>2023</v>
      </c>
      <c r="Q27">
        <v>2024</v>
      </c>
      <c r="R27">
        <v>2025</v>
      </c>
      <c r="S27" s="401">
        <v>2026</v>
      </c>
      <c r="T27" s="401">
        <v>2027</v>
      </c>
      <c r="U27" s="401">
        <v>2028</v>
      </c>
      <c r="V27" s="401">
        <v>2029</v>
      </c>
      <c r="W27" s="401">
        <v>2030</v>
      </c>
    </row>
    <row r="28" spans="2:23">
      <c r="B28" t="s">
        <v>326</v>
      </c>
      <c r="C28" s="437">
        <f>IFERROR(GETPIVOTDATA("[Measures].[Moyenne de Conso_kWh_DEET]",$B$3,"[Tab_concat].[Annee]","[Tab_concat].[Annee].&amp;["&amp;C$20&amp;"]","[Tab_concat].[Detail usage]","[Tab_concat].[Detail usage].&amp;["&amp;$B28&amp;"]"),0)*366</f>
        <v>0</v>
      </c>
      <c r="D28" s="437">
        <f>IFERROR(GETPIVOTDATA("[Measures].[Moyenne de Conso_kWh_DEET]",$B$3,"[Tab_concat].[Annee]","[Tab_concat].[Annee].&amp;["&amp;D$20&amp;"]","[Tab_concat].[Detail usage]","[Tab_concat].[Detail usage].&amp;["&amp;$B28&amp;"]"),0)*366</f>
        <v>0</v>
      </c>
      <c r="E28" s="437">
        <f>IFERROR(GETPIVOTDATA("[Measures].[Moyenne de Conso_kWh_DEET]",$B$3,"[Tab_concat].[Annee]","[Tab_concat].[Annee].&amp;["&amp;E$20&amp;"]","[Tab_concat].[Detail usage]","[Tab_concat].[Detail usage].&amp;["&amp;$B28&amp;"]"),0)*366</f>
        <v>0</v>
      </c>
      <c r="F28" s="437">
        <f t="shared" ref="F28:W29" si="3">IFERROR(GETPIVOTDATA("[Measures].[Moyenne de Conso_kWh_DEET]",$B$3,"[Tab_concat].[Annee]","[Tab_concat].[Annee].&amp;["&amp;F$20&amp;"]","[Tab_concat].[Detail usage]","[Tab_concat].[Detail usage].&amp;["&amp;$B28&amp;"]"),0)*366</f>
        <v>0</v>
      </c>
      <c r="G28" s="437">
        <f t="shared" si="3"/>
        <v>0</v>
      </c>
      <c r="H28" s="437">
        <f t="shared" si="3"/>
        <v>0</v>
      </c>
      <c r="I28" s="437">
        <f t="shared" si="3"/>
        <v>0</v>
      </c>
      <c r="J28" s="437">
        <f t="shared" si="3"/>
        <v>0</v>
      </c>
      <c r="K28" s="437">
        <f t="shared" si="3"/>
        <v>0</v>
      </c>
      <c r="L28" s="437">
        <f t="shared" si="3"/>
        <v>0</v>
      </c>
      <c r="M28" s="437">
        <f t="shared" si="3"/>
        <v>0</v>
      </c>
      <c r="N28" s="437">
        <f t="shared" si="3"/>
        <v>0</v>
      </c>
      <c r="O28" s="437">
        <f t="shared" si="3"/>
        <v>0</v>
      </c>
      <c r="P28" s="437">
        <f t="shared" si="3"/>
        <v>0</v>
      </c>
      <c r="Q28" s="437">
        <f t="shared" si="3"/>
        <v>0</v>
      </c>
      <c r="R28" s="437">
        <f t="shared" si="3"/>
        <v>0</v>
      </c>
      <c r="S28" s="437">
        <f t="shared" si="3"/>
        <v>0</v>
      </c>
      <c r="T28" s="437">
        <f t="shared" si="3"/>
        <v>0</v>
      </c>
      <c r="U28" s="437">
        <f t="shared" si="3"/>
        <v>0</v>
      </c>
      <c r="V28" s="437">
        <f t="shared" si="3"/>
        <v>0</v>
      </c>
      <c r="W28" s="437">
        <f t="shared" si="3"/>
        <v>0</v>
      </c>
    </row>
    <row r="29" spans="2:23">
      <c r="B29" t="s">
        <v>181</v>
      </c>
      <c r="C29" s="437">
        <f>IFERROR(GETPIVOTDATA("[Measures].[Moyenne de Conso_kWh_DEET]",$B$3,"[Tab_concat].[Annee]","[Tab_concat].[Annee].&amp;["&amp;C$20&amp;"]","[Tab_concat].[Detail usage]","[Tab_concat].[Detail usage].&amp;["&amp;$B29&amp;"]"),0)*12</f>
        <v>0</v>
      </c>
      <c r="D29" s="437">
        <f>IFERROR(GETPIVOTDATA("[Measures].[Moyenne de Conso_kWh_DEET]",$B$3,"[Tab_concat].[Annee]","[Tab_concat].[Annee].&amp;["&amp;D$20&amp;"]","[Tab_concat].[Detail usage]","[Tab_concat].[Detail usage].&amp;["&amp;$B29&amp;"]"),0)*366</f>
        <v>0</v>
      </c>
      <c r="E29" s="437">
        <f>IFERROR(GETPIVOTDATA("[Measures].[Moyenne de Conso_kWh_DEET]",$B$3,"[Tab_concat].[Annee]","[Tab_concat].[Annee].&amp;["&amp;E$20&amp;"]","[Tab_concat].[Detail usage]","[Tab_concat].[Detail usage].&amp;["&amp;$B29&amp;"]"),0)*366</f>
        <v>0</v>
      </c>
      <c r="F29" s="437">
        <f t="shared" si="3"/>
        <v>0</v>
      </c>
      <c r="G29" s="437">
        <f t="shared" si="3"/>
        <v>0</v>
      </c>
      <c r="H29" s="437">
        <f t="shared" si="3"/>
        <v>0</v>
      </c>
      <c r="I29" s="437">
        <f t="shared" si="3"/>
        <v>0</v>
      </c>
      <c r="J29" s="437">
        <f t="shared" si="3"/>
        <v>0</v>
      </c>
      <c r="K29" s="437">
        <f t="shared" si="3"/>
        <v>0</v>
      </c>
      <c r="L29" s="437">
        <f t="shared" si="3"/>
        <v>0</v>
      </c>
      <c r="M29" s="437">
        <f t="shared" si="3"/>
        <v>0</v>
      </c>
      <c r="N29" s="437">
        <f t="shared" si="3"/>
        <v>0</v>
      </c>
      <c r="O29" s="437">
        <f t="shared" si="3"/>
        <v>0</v>
      </c>
      <c r="P29" s="437">
        <f t="shared" si="3"/>
        <v>0</v>
      </c>
      <c r="Q29" s="437">
        <f t="shared" si="3"/>
        <v>0</v>
      </c>
      <c r="R29" s="437">
        <f t="shared" si="3"/>
        <v>0</v>
      </c>
      <c r="S29" s="437">
        <f t="shared" si="3"/>
        <v>0</v>
      </c>
      <c r="T29" s="437">
        <f t="shared" si="3"/>
        <v>0</v>
      </c>
      <c r="U29" s="437">
        <f t="shared" si="3"/>
        <v>0</v>
      </c>
      <c r="V29" s="437">
        <f t="shared" si="3"/>
        <v>0</v>
      </c>
      <c r="W29" s="437">
        <f t="shared" si="3"/>
        <v>0</v>
      </c>
    </row>
    <row r="30" spans="2:23">
      <c r="B30" t="s">
        <v>393</v>
      </c>
      <c r="C30">
        <f>IF($C$49="Oui",IF($C$50="Oui",(100-$C$51)*C23/100,SUM(C28:C29)),0)</f>
        <v>0</v>
      </c>
      <c r="D30">
        <f t="shared" ref="D30:R30" si="4">IF($C$49="Oui",IF($C$50="Oui",(100-$C$51)*D23/100,SUM(D28:D29)),0)</f>
        <v>0</v>
      </c>
      <c r="E30">
        <f t="shared" si="4"/>
        <v>0</v>
      </c>
      <c r="F30">
        <f t="shared" si="4"/>
        <v>0</v>
      </c>
      <c r="G30">
        <f t="shared" si="4"/>
        <v>0</v>
      </c>
      <c r="H30">
        <f t="shared" si="4"/>
        <v>0</v>
      </c>
      <c r="I30">
        <f t="shared" si="4"/>
        <v>0</v>
      </c>
      <c r="J30">
        <f t="shared" si="4"/>
        <v>0</v>
      </c>
      <c r="K30">
        <f t="shared" si="4"/>
        <v>0</v>
      </c>
      <c r="L30">
        <f t="shared" si="4"/>
        <v>0</v>
      </c>
      <c r="M30">
        <f t="shared" si="4"/>
        <v>0</v>
      </c>
      <c r="N30">
        <f t="shared" si="4"/>
        <v>0</v>
      </c>
      <c r="O30">
        <f t="shared" si="4"/>
        <v>0</v>
      </c>
      <c r="P30">
        <f t="shared" si="4"/>
        <v>0</v>
      </c>
      <c r="Q30">
        <f t="shared" si="4"/>
        <v>0</v>
      </c>
      <c r="R30">
        <f t="shared" si="4"/>
        <v>0</v>
      </c>
      <c r="S30" s="401">
        <f>IF($C$49="Oui",IF($C$50="Oui",(100-$C$51)*S23/100,SUM(S28:S29)),0)</f>
        <v>0</v>
      </c>
      <c r="T30" s="401">
        <f>IF($C$49="Oui",IF($C$50="Oui",(100-$C$51)*T23/100,SUM(T28:T29)),0)</f>
        <v>0</v>
      </c>
      <c r="U30" s="401">
        <f>IF($C$49="Oui",IF($C$50="Oui",(100-$C$51)*U23/100,SUM(U28:U29)),0)</f>
        <v>0</v>
      </c>
      <c r="V30" s="401">
        <f>IF($C$49="Oui",IF($C$50="Oui",(100-$C$51)*V23/100,SUM(V28:V29)),0)</f>
        <v>0</v>
      </c>
      <c r="W30" s="401">
        <f>IF($C$49="Oui",IF($C$50="Oui",(100-$C$51)*W23/100,SUM(W28:W29)),0)</f>
        <v>0</v>
      </c>
    </row>
    <row r="32" spans="2:23" ht="21">
      <c r="B32" s="151" t="s">
        <v>395</v>
      </c>
    </row>
    <row r="33" spans="1:23">
      <c r="B33" s="147" t="s">
        <v>392</v>
      </c>
      <c r="C33">
        <v>2010</v>
      </c>
      <c r="D33">
        <v>2011</v>
      </c>
      <c r="E33">
        <v>2012</v>
      </c>
      <c r="F33">
        <v>2013</v>
      </c>
      <c r="G33">
        <v>2014</v>
      </c>
      <c r="H33">
        <v>2015</v>
      </c>
      <c r="I33">
        <v>2016</v>
      </c>
      <c r="J33">
        <v>2017</v>
      </c>
      <c r="K33">
        <v>2018</v>
      </c>
      <c r="L33">
        <v>2019</v>
      </c>
      <c r="M33">
        <v>2020</v>
      </c>
      <c r="N33">
        <v>2021</v>
      </c>
      <c r="O33">
        <v>2022</v>
      </c>
      <c r="P33">
        <v>2023</v>
      </c>
      <c r="Q33">
        <v>2024</v>
      </c>
      <c r="R33">
        <v>2025</v>
      </c>
      <c r="S33" s="401">
        <v>2026</v>
      </c>
      <c r="T33" s="401">
        <v>2027</v>
      </c>
      <c r="U33" s="401">
        <v>2028</v>
      </c>
      <c r="V33" s="401">
        <v>2029</v>
      </c>
      <c r="W33" s="401">
        <v>2030</v>
      </c>
    </row>
    <row r="34" spans="1:23">
      <c r="B34" t="s">
        <v>326</v>
      </c>
      <c r="C34">
        <f>IFERROR(GETPIVOTDATA("[Measures].[Somme de Conso_kWh_PCI]",TCD_Conso!$B$3,"[Tab_concat].[Type]","[Tab_concat].[Type].&amp;[Consommation]","[Tab_concat].[Detail usage]","[Tab_concat].[Detail usage].&amp;["&amp;$B34&amp;"]","[Tab_concat].[Annee]","[Tab_concat].[Annee].&amp;["&amp;C$33&amp;"]"),0)</f>
        <v>0</v>
      </c>
      <c r="D34" s="437">
        <f>IFERROR(GETPIVOTDATA("[Measures].[Somme de Conso_kWh_PCI]",TCD_Conso!$B$3,"[Tab_concat].[Type]","[Tab_concat].[Type].&amp;[Consommation]","[Tab_concat].[Detail usage]","[Tab_concat].[Detail usage].&amp;["&amp;$B34&amp;"]","[Tab_concat].[Annee]","[Tab_concat].[Annee].&amp;["&amp;D$33&amp;"]"),0)</f>
        <v>0</v>
      </c>
      <c r="E34" s="437">
        <f>IFERROR(GETPIVOTDATA("[Measures].[Somme de Conso_kWh_PCI]",TCD_Conso!$B$3,"[Tab_concat].[Type]","[Tab_concat].[Type].&amp;[Consommation]","[Tab_concat].[Detail usage]","[Tab_concat].[Detail usage].&amp;["&amp;$B34&amp;"]","[Tab_concat].[Annee]","[Tab_concat].[Annee].&amp;["&amp;E$33&amp;"]"),0)</f>
        <v>0</v>
      </c>
      <c r="F34" s="437">
        <f>IFERROR(GETPIVOTDATA("[Measures].[Somme de Conso_kWh_PCI]",TCD_Conso!$B$3,"[Tab_concat].[Type]","[Tab_concat].[Type].&amp;[Consommation]","[Tab_concat].[Detail usage]","[Tab_concat].[Detail usage].&amp;["&amp;$B34&amp;"]","[Tab_concat].[Annee]","[Tab_concat].[Annee].&amp;["&amp;F$33&amp;"]"),0)</f>
        <v>0</v>
      </c>
      <c r="G34" s="437">
        <f>IFERROR(GETPIVOTDATA("[Measures].[Somme de Conso_kWh_PCI]",TCD_Conso!$B$3,"[Tab_concat].[Type]","[Tab_concat].[Type].&amp;[Consommation]","[Tab_concat].[Detail usage]","[Tab_concat].[Detail usage].&amp;["&amp;$B34&amp;"]","[Tab_concat].[Annee]","[Tab_concat].[Annee].&amp;["&amp;G$33&amp;"]"),0)</f>
        <v>0</v>
      </c>
      <c r="H34" s="437">
        <f>IFERROR(GETPIVOTDATA("[Measures].[Somme de Conso_kWh_PCI]",TCD_Conso!$B$3,"[Tab_concat].[Type]","[Tab_concat].[Type].&amp;[Consommation]","[Tab_concat].[Detail usage]","[Tab_concat].[Detail usage].&amp;["&amp;$B34&amp;"]","[Tab_concat].[Annee]","[Tab_concat].[Annee].&amp;["&amp;H$33&amp;"]"),0)</f>
        <v>0</v>
      </c>
      <c r="I34" s="437">
        <f>IFERROR(GETPIVOTDATA("[Measures].[Somme de Conso_kWh_PCI]",TCD_Conso!$B$3,"[Tab_concat].[Type]","[Tab_concat].[Type].&amp;[Consommation]","[Tab_concat].[Detail usage]","[Tab_concat].[Detail usage].&amp;["&amp;$B34&amp;"]","[Tab_concat].[Annee]","[Tab_concat].[Annee].&amp;["&amp;I$33&amp;"]"),0)</f>
        <v>0</v>
      </c>
      <c r="J34" s="437">
        <f>IFERROR(GETPIVOTDATA("[Measures].[Somme de Conso_kWh_PCI]",TCD_Conso!$B$3,"[Tab_concat].[Type]","[Tab_concat].[Type].&amp;[Consommation]","[Tab_concat].[Detail usage]","[Tab_concat].[Detail usage].&amp;["&amp;$B34&amp;"]","[Tab_concat].[Annee]","[Tab_concat].[Annee].&amp;["&amp;J$33&amp;"]"),0)</f>
        <v>0</v>
      </c>
      <c r="K34" s="437">
        <f>IFERROR(GETPIVOTDATA("[Measures].[Somme de Conso_kWh_PCI]",TCD_Conso!$B$3,"[Tab_concat].[Type]","[Tab_concat].[Type].&amp;[Consommation]","[Tab_concat].[Detail usage]","[Tab_concat].[Detail usage].&amp;["&amp;$B34&amp;"]","[Tab_concat].[Annee]","[Tab_concat].[Annee].&amp;["&amp;K$33&amp;"]"),0)</f>
        <v>0</v>
      </c>
      <c r="L34" s="437">
        <f>IFERROR(GETPIVOTDATA("[Measures].[Somme de Conso_kWh_PCI]",TCD_Conso!$B$3,"[Tab_concat].[Type]","[Tab_concat].[Type].&amp;[Consommation]","[Tab_concat].[Detail usage]","[Tab_concat].[Detail usage].&amp;["&amp;$B34&amp;"]","[Tab_concat].[Annee]","[Tab_concat].[Annee].&amp;["&amp;L$33&amp;"]"),0)</f>
        <v>0</v>
      </c>
      <c r="M34" s="437">
        <f>IFERROR(GETPIVOTDATA("[Measures].[Somme de Conso_kWh_PCI]",TCD_Conso!$B$3,"[Tab_concat].[Type]","[Tab_concat].[Type].&amp;[Consommation]","[Tab_concat].[Detail usage]","[Tab_concat].[Detail usage].&amp;["&amp;$B34&amp;"]","[Tab_concat].[Annee]","[Tab_concat].[Annee].&amp;["&amp;M$33&amp;"]"),0)</f>
        <v>0</v>
      </c>
      <c r="N34" s="437">
        <f>IFERROR(GETPIVOTDATA("[Measures].[Somme de Conso_kWh_PCI]",TCD_Conso!$B$3,"[Tab_concat].[Type]","[Tab_concat].[Type].&amp;[Consommation]","[Tab_concat].[Detail usage]","[Tab_concat].[Detail usage].&amp;["&amp;$B34&amp;"]","[Tab_concat].[Annee]","[Tab_concat].[Annee].&amp;["&amp;N$33&amp;"]"),0)</f>
        <v>0</v>
      </c>
      <c r="O34" s="437">
        <f>IFERROR(GETPIVOTDATA("[Measures].[Somme de Conso_kWh_PCI]",TCD_Conso!$B$3,"[Tab_concat].[Type]","[Tab_concat].[Type].&amp;[Consommation]","[Tab_concat].[Detail usage]","[Tab_concat].[Detail usage].&amp;["&amp;$B34&amp;"]","[Tab_concat].[Annee]","[Tab_concat].[Annee].&amp;["&amp;O$33&amp;"]"),0)</f>
        <v>0</v>
      </c>
      <c r="P34" s="437">
        <f>IFERROR(GETPIVOTDATA("[Measures].[Somme de Conso_kWh_PCI]",TCD_Conso!$B$3,"[Tab_concat].[Type]","[Tab_concat].[Type].&amp;[Consommation]","[Tab_concat].[Detail usage]","[Tab_concat].[Detail usage].&amp;["&amp;$B34&amp;"]","[Tab_concat].[Annee]","[Tab_concat].[Annee].&amp;["&amp;P$33&amp;"]"),0)</f>
        <v>0</v>
      </c>
      <c r="Q34" s="437">
        <f>IFERROR(GETPIVOTDATA("[Measures].[Somme de Conso_kWh_PCI]",TCD_Conso!$B$3,"[Tab_concat].[Type]","[Tab_concat].[Type].&amp;[Consommation]","[Tab_concat].[Detail usage]","[Tab_concat].[Detail usage].&amp;["&amp;$B34&amp;"]","[Tab_concat].[Annee]","[Tab_concat].[Annee].&amp;["&amp;Q$33&amp;"]"),0)</f>
        <v>0</v>
      </c>
      <c r="R34" s="437">
        <f>IFERROR(GETPIVOTDATA("[Measures].[Somme de Conso_kWh_PCI]",TCD_Conso!$B$3,"[Tab_concat].[Type]","[Tab_concat].[Type].&amp;[Consommation]","[Tab_concat].[Detail usage]","[Tab_concat].[Detail usage].&amp;["&amp;$B34&amp;"]","[Tab_concat].[Annee]","[Tab_concat].[Annee].&amp;["&amp;R$33&amp;"]"),0)</f>
        <v>0</v>
      </c>
      <c r="S34" s="437">
        <f>IFERROR(GETPIVOTDATA("[Measures].[Somme de Conso_kWh_PCI]",TCD_Conso!$B$3,"[Tab_concat].[Type]","[Tab_concat].[Type].&amp;[Consommation]","[Tab_concat].[Detail usage]","[Tab_concat].[Detail usage].&amp;["&amp;$B34&amp;"]","[Tab_concat].[Annee]","[Tab_concat].[Annee].&amp;["&amp;S$33&amp;"]"),0)</f>
        <v>0</v>
      </c>
      <c r="T34" s="437">
        <f>IFERROR(GETPIVOTDATA("[Measures].[Somme de Conso_kWh_PCI]",TCD_Conso!$B$3,"[Tab_concat].[Type]","[Tab_concat].[Type].&amp;[Consommation]","[Tab_concat].[Detail usage]","[Tab_concat].[Detail usage].&amp;["&amp;$B34&amp;"]","[Tab_concat].[Annee]","[Tab_concat].[Annee].&amp;["&amp;T$33&amp;"]"),0)</f>
        <v>0</v>
      </c>
      <c r="U34" s="437">
        <f>IFERROR(GETPIVOTDATA("[Measures].[Somme de Conso_kWh_PCI]",TCD_Conso!$B$3,"[Tab_concat].[Type]","[Tab_concat].[Type].&amp;[Consommation]","[Tab_concat].[Detail usage]","[Tab_concat].[Detail usage].&amp;["&amp;$B34&amp;"]","[Tab_concat].[Annee]","[Tab_concat].[Annee].&amp;["&amp;U$33&amp;"]"),0)</f>
        <v>0</v>
      </c>
      <c r="V34" s="437">
        <f>IFERROR(GETPIVOTDATA("[Measures].[Somme de Conso_kWh_PCI]",TCD_Conso!$B$3,"[Tab_concat].[Type]","[Tab_concat].[Type].&amp;[Consommation]","[Tab_concat].[Detail usage]","[Tab_concat].[Detail usage].&amp;["&amp;$B34&amp;"]","[Tab_concat].[Annee]","[Tab_concat].[Annee].&amp;["&amp;V$33&amp;"]"),0)</f>
        <v>0</v>
      </c>
      <c r="W34" s="437">
        <f>IFERROR(GETPIVOTDATA("[Measures].[Somme de Conso_kWh_PCI]",TCD_Conso!$B$3,"[Tab_concat].[Type]","[Tab_concat].[Type].&amp;[Consommation]","[Tab_concat].[Detail usage]","[Tab_concat].[Detail usage].&amp;["&amp;$B34&amp;"]","[Tab_concat].[Annee]","[Tab_concat].[Annee].&amp;["&amp;W$33&amp;"]"),0)</f>
        <v>0</v>
      </c>
    </row>
    <row r="35" spans="1:23">
      <c r="B35" t="s">
        <v>181</v>
      </c>
      <c r="C35" s="437">
        <f>IFERROR(GETPIVOTDATA("[Measures].[Somme de Conso_kWh_PCI]",TCD_Conso!$B$3,"[Tab_concat].[Type]","[Tab_concat].[Type].&amp;[Consommation]","[Tab_concat].[Detail usage]","[Tab_concat].[Detail usage].&amp;["&amp;$B35&amp;"]","[Tab_concat].[Annee]","[Tab_concat].[Annee].&amp;["&amp;C$33&amp;"]"),0)</f>
        <v>0</v>
      </c>
      <c r="D35" s="437">
        <f>IFERROR(GETPIVOTDATA("[Measures].[Somme de Conso_kWh_PCI]",TCD_Conso!$B$3,"[Tab_concat].[Type]","[Tab_concat].[Type].&amp;[Consommation]","[Tab_concat].[Detail usage]","[Tab_concat].[Detail usage].&amp;["&amp;$B35&amp;"]","[Tab_concat].[Annee]","[Tab_concat].[Annee].&amp;["&amp;D$33&amp;"]"),0)</f>
        <v>0</v>
      </c>
      <c r="E35" s="437">
        <f>IFERROR(GETPIVOTDATA("[Measures].[Somme de Conso_kWh_PCI]",TCD_Conso!$B$3,"[Tab_concat].[Type]","[Tab_concat].[Type].&amp;[Consommation]","[Tab_concat].[Detail usage]","[Tab_concat].[Detail usage].&amp;["&amp;$B35&amp;"]","[Tab_concat].[Annee]","[Tab_concat].[Annee].&amp;["&amp;E$33&amp;"]"),0)</f>
        <v>0</v>
      </c>
      <c r="F35" s="437">
        <f>IFERROR(GETPIVOTDATA("[Measures].[Somme de Conso_kWh_PCI]",TCD_Conso!$B$3,"[Tab_concat].[Type]","[Tab_concat].[Type].&amp;[Consommation]","[Tab_concat].[Detail usage]","[Tab_concat].[Detail usage].&amp;["&amp;$B35&amp;"]","[Tab_concat].[Annee]","[Tab_concat].[Annee].&amp;["&amp;F$33&amp;"]"),0)</f>
        <v>0</v>
      </c>
      <c r="G35" s="437">
        <f>IFERROR(GETPIVOTDATA("[Measures].[Somme de Conso_kWh_PCI]",TCD_Conso!$B$3,"[Tab_concat].[Type]","[Tab_concat].[Type].&amp;[Consommation]","[Tab_concat].[Detail usage]","[Tab_concat].[Detail usage].&amp;["&amp;$B35&amp;"]","[Tab_concat].[Annee]","[Tab_concat].[Annee].&amp;["&amp;G$33&amp;"]"),0)</f>
        <v>0</v>
      </c>
      <c r="H35" s="437">
        <f>IFERROR(GETPIVOTDATA("[Measures].[Somme de Conso_kWh_PCI]",TCD_Conso!$B$3,"[Tab_concat].[Type]","[Tab_concat].[Type].&amp;[Consommation]","[Tab_concat].[Detail usage]","[Tab_concat].[Detail usage].&amp;["&amp;$B35&amp;"]","[Tab_concat].[Annee]","[Tab_concat].[Annee].&amp;["&amp;H$33&amp;"]"),0)</f>
        <v>0</v>
      </c>
      <c r="I35" s="437">
        <f>IFERROR(GETPIVOTDATA("[Measures].[Somme de Conso_kWh_PCI]",TCD_Conso!$B$3,"[Tab_concat].[Type]","[Tab_concat].[Type].&amp;[Consommation]","[Tab_concat].[Detail usage]","[Tab_concat].[Detail usage].&amp;["&amp;$B35&amp;"]","[Tab_concat].[Annee]","[Tab_concat].[Annee].&amp;["&amp;I$33&amp;"]"),0)</f>
        <v>0</v>
      </c>
      <c r="J35" s="437">
        <f>IFERROR(GETPIVOTDATA("[Measures].[Somme de Conso_kWh_PCI]",TCD_Conso!$B$3,"[Tab_concat].[Type]","[Tab_concat].[Type].&amp;[Consommation]","[Tab_concat].[Detail usage]","[Tab_concat].[Detail usage].&amp;["&amp;$B35&amp;"]","[Tab_concat].[Annee]","[Tab_concat].[Annee].&amp;["&amp;J$33&amp;"]"),0)</f>
        <v>0</v>
      </c>
      <c r="K35" s="437">
        <f>IFERROR(GETPIVOTDATA("[Measures].[Somme de Conso_kWh_PCI]",TCD_Conso!$B$3,"[Tab_concat].[Type]","[Tab_concat].[Type].&amp;[Consommation]","[Tab_concat].[Detail usage]","[Tab_concat].[Detail usage].&amp;["&amp;$B35&amp;"]","[Tab_concat].[Annee]","[Tab_concat].[Annee].&amp;["&amp;K$33&amp;"]"),0)</f>
        <v>0</v>
      </c>
      <c r="L35" s="437">
        <f>IFERROR(GETPIVOTDATA("[Measures].[Somme de Conso_kWh_PCI]",TCD_Conso!$B$3,"[Tab_concat].[Type]","[Tab_concat].[Type].&amp;[Consommation]","[Tab_concat].[Detail usage]","[Tab_concat].[Detail usage].&amp;["&amp;$B35&amp;"]","[Tab_concat].[Annee]","[Tab_concat].[Annee].&amp;["&amp;L$33&amp;"]"),0)</f>
        <v>0</v>
      </c>
      <c r="M35" s="437">
        <f>IFERROR(GETPIVOTDATA("[Measures].[Somme de Conso_kWh_PCI]",TCD_Conso!$B$3,"[Tab_concat].[Type]","[Tab_concat].[Type].&amp;[Consommation]","[Tab_concat].[Detail usage]","[Tab_concat].[Detail usage].&amp;["&amp;$B35&amp;"]","[Tab_concat].[Annee]","[Tab_concat].[Annee].&amp;["&amp;M$33&amp;"]"),0)</f>
        <v>0</v>
      </c>
      <c r="N35" s="437">
        <f>IFERROR(GETPIVOTDATA("[Measures].[Somme de Conso_kWh_PCI]",TCD_Conso!$B$3,"[Tab_concat].[Type]","[Tab_concat].[Type].&amp;[Consommation]","[Tab_concat].[Detail usage]","[Tab_concat].[Detail usage].&amp;["&amp;$B35&amp;"]","[Tab_concat].[Annee]","[Tab_concat].[Annee].&amp;["&amp;N$33&amp;"]"),0)</f>
        <v>0</v>
      </c>
      <c r="O35" s="437">
        <f>IFERROR(GETPIVOTDATA("[Measures].[Somme de Conso_kWh_PCI]",TCD_Conso!$B$3,"[Tab_concat].[Type]","[Tab_concat].[Type].&amp;[Consommation]","[Tab_concat].[Detail usage]","[Tab_concat].[Detail usage].&amp;["&amp;$B35&amp;"]","[Tab_concat].[Annee]","[Tab_concat].[Annee].&amp;["&amp;O$33&amp;"]"),0)</f>
        <v>0</v>
      </c>
      <c r="P35" s="437">
        <f>IFERROR(GETPIVOTDATA("[Measures].[Somme de Conso_kWh_PCI]",TCD_Conso!$B$3,"[Tab_concat].[Type]","[Tab_concat].[Type].&amp;[Consommation]","[Tab_concat].[Detail usage]","[Tab_concat].[Detail usage].&amp;["&amp;$B35&amp;"]","[Tab_concat].[Annee]","[Tab_concat].[Annee].&amp;["&amp;P$33&amp;"]"),0)</f>
        <v>0</v>
      </c>
      <c r="Q35" s="437">
        <f>IFERROR(GETPIVOTDATA("[Measures].[Somme de Conso_kWh_PCI]",TCD_Conso!$B$3,"[Tab_concat].[Type]","[Tab_concat].[Type].&amp;[Consommation]","[Tab_concat].[Detail usage]","[Tab_concat].[Detail usage].&amp;["&amp;$B35&amp;"]","[Tab_concat].[Annee]","[Tab_concat].[Annee].&amp;["&amp;Q$33&amp;"]"),0)</f>
        <v>0</v>
      </c>
      <c r="R35" s="437">
        <f>IFERROR(GETPIVOTDATA("[Measures].[Somme de Conso_kWh_PCI]",TCD_Conso!$B$3,"[Tab_concat].[Type]","[Tab_concat].[Type].&amp;[Consommation]","[Tab_concat].[Detail usage]","[Tab_concat].[Detail usage].&amp;["&amp;$B35&amp;"]","[Tab_concat].[Annee]","[Tab_concat].[Annee].&amp;["&amp;R$33&amp;"]"),0)</f>
        <v>0</v>
      </c>
      <c r="S35" s="437">
        <f>IFERROR(GETPIVOTDATA("[Measures].[Somme de Conso_kWh_PCI]",TCD_Conso!$B$3,"[Tab_concat].[Type]","[Tab_concat].[Type].&amp;[Consommation]","[Tab_concat].[Detail usage]","[Tab_concat].[Detail usage].&amp;["&amp;$B35&amp;"]","[Tab_concat].[Annee]","[Tab_concat].[Annee].&amp;["&amp;S$33&amp;"]"),0)</f>
        <v>0</v>
      </c>
      <c r="T35" s="437">
        <f>IFERROR(GETPIVOTDATA("[Measures].[Somme de Conso_kWh_PCI]",TCD_Conso!$B$3,"[Tab_concat].[Type]","[Tab_concat].[Type].&amp;[Consommation]","[Tab_concat].[Detail usage]","[Tab_concat].[Detail usage].&amp;["&amp;$B35&amp;"]","[Tab_concat].[Annee]","[Tab_concat].[Annee].&amp;["&amp;T$33&amp;"]"),0)</f>
        <v>0</v>
      </c>
      <c r="U35" s="437">
        <f>IFERROR(GETPIVOTDATA("[Measures].[Somme de Conso_kWh_PCI]",TCD_Conso!$B$3,"[Tab_concat].[Type]","[Tab_concat].[Type].&amp;[Consommation]","[Tab_concat].[Detail usage]","[Tab_concat].[Detail usage].&amp;["&amp;$B35&amp;"]","[Tab_concat].[Annee]","[Tab_concat].[Annee].&amp;["&amp;U$33&amp;"]"),0)</f>
        <v>0</v>
      </c>
      <c r="V35" s="437">
        <f>IFERROR(GETPIVOTDATA("[Measures].[Somme de Conso_kWh_PCI]",TCD_Conso!$B$3,"[Tab_concat].[Type]","[Tab_concat].[Type].&amp;[Consommation]","[Tab_concat].[Detail usage]","[Tab_concat].[Detail usage].&amp;["&amp;$B35&amp;"]","[Tab_concat].[Annee]","[Tab_concat].[Annee].&amp;["&amp;V$33&amp;"]"),0)</f>
        <v>0</v>
      </c>
      <c r="W35" s="437">
        <f>IFERROR(GETPIVOTDATA("[Measures].[Somme de Conso_kWh_PCI]",TCD_Conso!$B$3,"[Tab_concat].[Type]","[Tab_concat].[Type].&amp;[Consommation]","[Tab_concat].[Detail usage]","[Tab_concat].[Detail usage].&amp;["&amp;$B35&amp;"]","[Tab_concat].[Annee]","[Tab_concat].[Annee].&amp;["&amp;W$33&amp;"]"),0)</f>
        <v>0</v>
      </c>
    </row>
    <row r="36" spans="1:23">
      <c r="B36" t="s">
        <v>393</v>
      </c>
      <c r="C36">
        <f>SUM(C34:C35)</f>
        <v>0</v>
      </c>
      <c r="D36">
        <f t="shared" ref="D36:R36" si="5">SUM(D34:D35)</f>
        <v>0</v>
      </c>
      <c r="E36">
        <f t="shared" si="5"/>
        <v>0</v>
      </c>
      <c r="F36">
        <f t="shared" si="5"/>
        <v>0</v>
      </c>
      <c r="G36">
        <f t="shared" si="5"/>
        <v>0</v>
      </c>
      <c r="H36">
        <f t="shared" si="5"/>
        <v>0</v>
      </c>
      <c r="I36">
        <f t="shared" si="5"/>
        <v>0</v>
      </c>
      <c r="J36">
        <f t="shared" si="5"/>
        <v>0</v>
      </c>
      <c r="K36">
        <f t="shared" si="5"/>
        <v>0</v>
      </c>
      <c r="L36">
        <f t="shared" si="5"/>
        <v>0</v>
      </c>
      <c r="M36">
        <f t="shared" si="5"/>
        <v>0</v>
      </c>
      <c r="N36">
        <f t="shared" si="5"/>
        <v>0</v>
      </c>
      <c r="O36">
        <f t="shared" si="5"/>
        <v>0</v>
      </c>
      <c r="P36">
        <f t="shared" si="5"/>
        <v>0</v>
      </c>
      <c r="Q36">
        <f t="shared" si="5"/>
        <v>0</v>
      </c>
      <c r="R36">
        <f t="shared" si="5"/>
        <v>0</v>
      </c>
      <c r="S36" s="401">
        <f>SUM(S34:S35)</f>
        <v>0</v>
      </c>
      <c r="T36" s="401">
        <f>SUM(T34:T35)</f>
        <v>0</v>
      </c>
      <c r="U36" s="401">
        <f>SUM(U34:U35)</f>
        <v>0</v>
      </c>
      <c r="V36" s="401">
        <f>SUM(V34:V35)</f>
        <v>0</v>
      </c>
      <c r="W36" s="401">
        <f>SUM(W34:W35)</f>
        <v>0</v>
      </c>
    </row>
    <row r="37" spans="1:23" ht="21">
      <c r="B37" s="151"/>
    </row>
    <row r="38" spans="1:23" ht="21">
      <c r="B38" s="151"/>
    </row>
    <row r="40" spans="1:23">
      <c r="C40">
        <v>2010</v>
      </c>
      <c r="D40">
        <v>2011</v>
      </c>
      <c r="E40">
        <v>2012</v>
      </c>
      <c r="F40">
        <v>2013</v>
      </c>
      <c r="G40">
        <v>2014</v>
      </c>
      <c r="H40">
        <v>2015</v>
      </c>
      <c r="I40">
        <v>2016</v>
      </c>
      <c r="J40">
        <v>2017</v>
      </c>
      <c r="K40">
        <v>2018</v>
      </c>
      <c r="L40">
        <v>2019</v>
      </c>
      <c r="M40">
        <v>2020</v>
      </c>
      <c r="N40">
        <v>2021</v>
      </c>
      <c r="O40">
        <v>2022</v>
      </c>
      <c r="P40">
        <v>2023</v>
      </c>
      <c r="Q40">
        <v>2024</v>
      </c>
      <c r="R40">
        <v>2025</v>
      </c>
      <c r="S40" s="401">
        <v>2026</v>
      </c>
      <c r="T40" s="401">
        <v>2027</v>
      </c>
      <c r="U40" s="401">
        <v>2028</v>
      </c>
      <c r="V40" s="401">
        <v>2029</v>
      </c>
      <c r="W40" s="401">
        <v>2030</v>
      </c>
    </row>
    <row r="41" spans="1:23">
      <c r="B41" s="32" t="s">
        <v>326</v>
      </c>
      <c r="C41" s="437">
        <f>IFERROR(GETPIVOTDATA("[Measures].[Moyenne de Conso_kWh_PCI]",$B$3,"[Tab_concat].[Annee]","[Tab_concat].[Annee].&amp;["&amp;C$20&amp;"]","[Tab_concat].[Detail usage]","[Tab_concat].[Detail usage].&amp;["&amp;$B41&amp;"]"),0)*366</f>
        <v>0</v>
      </c>
      <c r="D41" s="437">
        <f t="shared" ref="D41:S43" si="6">IFERROR(GETPIVOTDATA("[Measures].[Moyenne de Conso_kWh_PCI]",$B$3,"[Tab_concat].[Annee]","[Tab_concat].[Annee].&amp;["&amp;D$20&amp;"]","[Tab_concat].[Detail usage]","[Tab_concat].[Detail usage].&amp;["&amp;$B41&amp;"]"),0)*366</f>
        <v>0</v>
      </c>
      <c r="E41" s="437">
        <f t="shared" si="6"/>
        <v>0</v>
      </c>
      <c r="F41" s="437">
        <f t="shared" si="6"/>
        <v>0</v>
      </c>
      <c r="G41" s="437">
        <f t="shared" si="6"/>
        <v>0</v>
      </c>
      <c r="H41" s="437">
        <f t="shared" si="6"/>
        <v>0</v>
      </c>
      <c r="I41" s="437">
        <f t="shared" si="6"/>
        <v>0</v>
      </c>
      <c r="J41" s="437">
        <f t="shared" si="6"/>
        <v>0</v>
      </c>
      <c r="K41" s="437">
        <f t="shared" si="6"/>
        <v>0</v>
      </c>
      <c r="L41" s="437">
        <f t="shared" si="6"/>
        <v>0</v>
      </c>
      <c r="M41" s="437">
        <f t="shared" si="6"/>
        <v>0</v>
      </c>
      <c r="N41" s="437">
        <f t="shared" si="6"/>
        <v>0</v>
      </c>
      <c r="O41" s="437">
        <f t="shared" si="6"/>
        <v>0</v>
      </c>
      <c r="P41" s="437">
        <f t="shared" si="6"/>
        <v>0</v>
      </c>
      <c r="Q41" s="437">
        <f t="shared" si="6"/>
        <v>0</v>
      </c>
      <c r="R41" s="437">
        <f>IFERROR(GETPIVOTDATA("[Measures].[Moyenne de Conso_kWh_PCI]",$B$3,"[Tab_concat].[Annee]","[Tab_concat].[Annee].&amp;["&amp;R$20&amp;"]","[Tab_concat].[Detail usage]","[Tab_concat].[Detail usage].&amp;["&amp;$B41&amp;"]"),0)*366</f>
        <v>0</v>
      </c>
      <c r="S41" s="437">
        <f t="shared" si="6"/>
        <v>0</v>
      </c>
      <c r="T41" s="437">
        <f t="shared" ref="S41:W43" si="7">IFERROR(GETPIVOTDATA("[Measures].[Moyenne de Conso_kWh_PCI]",$B$3,"[Tab_concat].[Annee]","[Tab_concat].[Annee].&amp;["&amp;T$20&amp;"]","[Tab_concat].[Detail usage]","[Tab_concat].[Detail usage].&amp;["&amp;$B41&amp;"]"),0)*366</f>
        <v>0</v>
      </c>
      <c r="U41" s="437">
        <f t="shared" si="7"/>
        <v>0</v>
      </c>
      <c r="V41" s="437">
        <f t="shared" si="7"/>
        <v>0</v>
      </c>
      <c r="W41" s="437">
        <f t="shared" si="7"/>
        <v>0</v>
      </c>
    </row>
    <row r="42" spans="1:23">
      <c r="B42" t="s">
        <v>181</v>
      </c>
      <c r="C42" s="437">
        <f>IFERROR(GETPIVOTDATA("[Measures].[Moyenne de Conso_kWh_PCI]",$B$3,"[Tab_concat].[Annee]","[Tab_concat].[Annee].&amp;["&amp;C$20&amp;"]","[Tab_concat].[Detail usage]","[Tab_concat].[Detail usage].&amp;["&amp;$B42&amp;"]"),0)*366</f>
        <v>0</v>
      </c>
      <c r="D42" s="437">
        <f t="shared" si="6"/>
        <v>0</v>
      </c>
      <c r="E42" s="437">
        <f t="shared" si="6"/>
        <v>0</v>
      </c>
      <c r="F42" s="437">
        <f t="shared" si="6"/>
        <v>0</v>
      </c>
      <c r="G42" s="437">
        <f t="shared" si="6"/>
        <v>0</v>
      </c>
      <c r="H42" s="437">
        <f t="shared" si="6"/>
        <v>0</v>
      </c>
      <c r="I42" s="437">
        <f t="shared" si="6"/>
        <v>0</v>
      </c>
      <c r="J42" s="437">
        <f t="shared" si="6"/>
        <v>0</v>
      </c>
      <c r="K42" s="437">
        <f t="shared" si="6"/>
        <v>0</v>
      </c>
      <c r="L42" s="437">
        <f t="shared" si="6"/>
        <v>0</v>
      </c>
      <c r="M42" s="437">
        <f t="shared" si="6"/>
        <v>0</v>
      </c>
      <c r="N42" s="437">
        <f t="shared" si="6"/>
        <v>0</v>
      </c>
      <c r="O42" s="437">
        <f t="shared" si="6"/>
        <v>0</v>
      </c>
      <c r="P42" s="437">
        <f t="shared" si="6"/>
        <v>0</v>
      </c>
      <c r="Q42" s="437">
        <f t="shared" si="6"/>
        <v>0</v>
      </c>
      <c r="R42" s="437">
        <f>IFERROR(GETPIVOTDATA("[Measures].[Moyenne de Conso_kWh_PCI]",$B$3,"[Tab_concat].[Annee]","[Tab_concat].[Annee].&amp;["&amp;R$20&amp;"]","[Tab_concat].[Detail usage]","[Tab_concat].[Detail usage].&amp;["&amp;$B42&amp;"]"),0)*366</f>
        <v>0</v>
      </c>
      <c r="S42" s="437">
        <f t="shared" si="7"/>
        <v>0</v>
      </c>
      <c r="T42" s="437">
        <f t="shared" si="7"/>
        <v>0</v>
      </c>
      <c r="U42" s="437">
        <f t="shared" si="7"/>
        <v>0</v>
      </c>
      <c r="V42" s="437">
        <f t="shared" si="7"/>
        <v>0</v>
      </c>
      <c r="W42" s="437">
        <f t="shared" si="7"/>
        <v>0</v>
      </c>
    </row>
    <row r="43" spans="1:23">
      <c r="B43" t="s">
        <v>396</v>
      </c>
      <c r="C43" s="437">
        <f>IFERROR(GETPIVOTDATA("[Measures].[Moyenne de Conso_kWh_PCI]",$B$3,"[Tab_concat].[Annee]","[Tab_concat].[Annee].&amp;["&amp;C$20&amp;"]","[Tab_concat].[Detail usage]","[Tab_concat].[Detail usage].&amp;["&amp;$B43&amp;"]"),0)*366</f>
        <v>0</v>
      </c>
      <c r="D43" s="437">
        <f t="shared" si="6"/>
        <v>0</v>
      </c>
      <c r="E43" s="437">
        <f t="shared" si="6"/>
        <v>0</v>
      </c>
      <c r="F43" s="437">
        <f t="shared" si="6"/>
        <v>0</v>
      </c>
      <c r="G43" s="437">
        <f t="shared" si="6"/>
        <v>0</v>
      </c>
      <c r="H43" s="437">
        <f t="shared" si="6"/>
        <v>0</v>
      </c>
      <c r="I43" s="437">
        <f t="shared" si="6"/>
        <v>0</v>
      </c>
      <c r="J43" s="437">
        <f t="shared" si="6"/>
        <v>0</v>
      </c>
      <c r="K43" s="437">
        <f t="shared" si="6"/>
        <v>0</v>
      </c>
      <c r="L43" s="437">
        <f t="shared" si="6"/>
        <v>0</v>
      </c>
      <c r="M43" s="437">
        <f t="shared" si="6"/>
        <v>0</v>
      </c>
      <c r="N43" s="437">
        <f t="shared" si="6"/>
        <v>0</v>
      </c>
      <c r="O43" s="437">
        <f t="shared" si="6"/>
        <v>0</v>
      </c>
      <c r="P43" s="437">
        <f t="shared" si="6"/>
        <v>0</v>
      </c>
      <c r="Q43" s="437">
        <f t="shared" si="6"/>
        <v>0</v>
      </c>
      <c r="R43" s="437">
        <f>IFERROR(GETPIVOTDATA("[Measures].[Moyenne de Conso_kWh_PCI]",$B$3,"[Tab_concat].[Annee]","[Tab_concat].[Annee].&amp;["&amp;R$20&amp;"]","[Tab_concat].[Detail usage]","[Tab_concat].[Detail usage].&amp;["&amp;$B43&amp;"]"),0)*366</f>
        <v>0</v>
      </c>
      <c r="S43" s="437">
        <f t="shared" si="6"/>
        <v>0</v>
      </c>
      <c r="T43" s="437">
        <f t="shared" si="7"/>
        <v>0</v>
      </c>
      <c r="U43" s="437">
        <f t="shared" si="7"/>
        <v>0</v>
      </c>
      <c r="V43" s="437">
        <f t="shared" si="7"/>
        <v>0</v>
      </c>
      <c r="W43" s="437">
        <f t="shared" si="7"/>
        <v>0</v>
      </c>
    </row>
    <row r="44" spans="1:23">
      <c r="A44" t="s">
        <v>314</v>
      </c>
      <c r="B44" t="str">
        <f>IF(C43&gt;0,"ECS seule", IF(C41&gt;0,"ECS seule estimée","ECS+Cuisson estimées"))</f>
        <v>ECS+Cuisson estimées</v>
      </c>
      <c r="C44">
        <f>IF($C$49="Oui",IF($C$50="Oui",(100-$C$51)*C36/100,SUM(C41:C43)),0)</f>
        <v>0</v>
      </c>
      <c r="D44" s="401">
        <f t="shared" ref="D44:W44" si="8">IF($C$49="Oui",IF($C$50="Oui",(100-$C$51)*D36/100,SUM(D41:D43)),0)</f>
        <v>0</v>
      </c>
      <c r="E44" s="401">
        <f t="shared" si="8"/>
        <v>0</v>
      </c>
      <c r="F44" s="401">
        <f t="shared" si="8"/>
        <v>0</v>
      </c>
      <c r="G44" s="401">
        <f t="shared" si="8"/>
        <v>0</v>
      </c>
      <c r="H44" s="401">
        <f t="shared" si="8"/>
        <v>0</v>
      </c>
      <c r="I44" s="401">
        <f t="shared" si="8"/>
        <v>0</v>
      </c>
      <c r="J44" s="401">
        <f t="shared" si="8"/>
        <v>0</v>
      </c>
      <c r="K44" s="401">
        <f t="shared" si="8"/>
        <v>0</v>
      </c>
      <c r="L44" s="401">
        <f t="shared" si="8"/>
        <v>0</v>
      </c>
      <c r="M44" s="401">
        <f t="shared" si="8"/>
        <v>0</v>
      </c>
      <c r="N44" s="401">
        <f t="shared" si="8"/>
        <v>0</v>
      </c>
      <c r="O44" s="401">
        <f t="shared" si="8"/>
        <v>0</v>
      </c>
      <c r="P44" s="401">
        <f t="shared" si="8"/>
        <v>0</v>
      </c>
      <c r="Q44" s="401">
        <f t="shared" si="8"/>
        <v>0</v>
      </c>
      <c r="R44" s="401">
        <f t="shared" si="8"/>
        <v>0</v>
      </c>
      <c r="S44" s="401">
        <f t="shared" si="8"/>
        <v>0</v>
      </c>
      <c r="T44" s="401">
        <f t="shared" si="8"/>
        <v>0</v>
      </c>
      <c r="U44" s="401">
        <f t="shared" si="8"/>
        <v>0</v>
      </c>
      <c r="V44" s="401">
        <f t="shared" si="8"/>
        <v>0</v>
      </c>
      <c r="W44" s="401">
        <f t="shared" si="8"/>
        <v>0</v>
      </c>
    </row>
    <row r="49" spans="2:3">
      <c r="B49" t="s">
        <v>303</v>
      </c>
      <c r="C49" t="str">
        <f>Controle_des_données!$B$43</f>
        <v>Oui</v>
      </c>
    </row>
    <row r="50" spans="2:3">
      <c r="B50" t="s">
        <v>304</v>
      </c>
      <c r="C50" t="str">
        <f>Controle_des_données!$B$44</f>
        <v>Non</v>
      </c>
    </row>
    <row r="51" spans="2:3">
      <c r="B51" t="s">
        <v>305</v>
      </c>
      <c r="C51">
        <f>Controle_des_données!$B$45</f>
        <v>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5">
    <tabColor theme="9" tint="-0.249977111117893"/>
  </sheetPr>
  <dimension ref="A3:J29"/>
  <sheetViews>
    <sheetView showGridLines="0" topLeftCell="A3" zoomScale="115" zoomScaleNormal="115" workbookViewId="0">
      <selection activeCell="B20" sqref="B20"/>
    </sheetView>
  </sheetViews>
  <sheetFormatPr baseColWidth="10" defaultColWidth="0" defaultRowHeight="15" customHeight="1" zeroHeight="1"/>
  <cols>
    <col min="1" max="1" width="11.42578125" customWidth="1"/>
    <col min="2" max="2" width="19.7109375" bestFit="1" customWidth="1"/>
    <col min="3" max="3" width="10.5703125" bestFit="1" customWidth="1"/>
    <col min="4" max="4" width="11" customWidth="1"/>
    <col min="5" max="5" width="2.85546875" style="521" customWidth="1"/>
    <col min="6" max="6" width="10.85546875" customWidth="1"/>
    <col min="7" max="7" width="3.5703125" customWidth="1"/>
    <col min="8" max="8" width="9.5703125" customWidth="1"/>
    <col min="9" max="10" width="11.42578125" customWidth="1"/>
    <col min="11" max="12" width="11.42578125" hidden="1" customWidth="1"/>
    <col min="13" max="16384" width="11.42578125" hidden="1"/>
  </cols>
  <sheetData>
    <row r="3" spans="2:8">
      <c r="B3" s="106" t="s">
        <v>0</v>
      </c>
      <c r="C3" s="520">
        <f>Site!C2</f>
        <v>0</v>
      </c>
      <c r="D3" s="520"/>
      <c r="E3" s="523"/>
      <c r="F3" s="523"/>
      <c r="G3" s="38"/>
    </row>
    <row r="4" spans="2:8">
      <c r="B4" s="38"/>
      <c r="C4" s="105" t="s">
        <v>56</v>
      </c>
      <c r="D4" s="79" t="str">
        <f>DJU!A2</f>
        <v>Le Mans</v>
      </c>
      <c r="E4" s="79"/>
      <c r="F4" s="38"/>
      <c r="G4" s="38"/>
    </row>
    <row r="5" spans="2:8">
      <c r="B5" s="38"/>
      <c r="F5" s="38"/>
      <c r="G5" s="38"/>
    </row>
    <row r="6" spans="2:8">
      <c r="B6" s="38"/>
      <c r="F6" s="38"/>
    </row>
    <row r="7" spans="2:8">
      <c r="B7" s="38"/>
      <c r="C7" s="38"/>
      <c r="D7" s="38"/>
      <c r="E7" s="38"/>
      <c r="F7" s="38"/>
      <c r="G7" s="38"/>
      <c r="H7" s="38" t="s">
        <v>60</v>
      </c>
    </row>
    <row r="8" spans="2:8" ht="34.5" customHeight="1">
      <c r="B8" s="580" t="s">
        <v>61</v>
      </c>
      <c r="C8" s="581"/>
      <c r="D8" s="581"/>
      <c r="E8" s="581"/>
      <c r="F8" s="581"/>
      <c r="G8" s="38"/>
    </row>
    <row r="9" spans="2:8">
      <c r="B9" s="122"/>
      <c r="C9" s="162"/>
      <c r="D9" s="162"/>
      <c r="E9" s="162"/>
      <c r="F9" s="162"/>
      <c r="G9" s="38"/>
    </row>
    <row r="10" spans="2:8">
      <c r="B10" s="161" t="s">
        <v>62</v>
      </c>
      <c r="F10" s="38"/>
      <c r="G10" s="38"/>
    </row>
    <row r="11" spans="2:8" ht="16.5" customHeight="1">
      <c r="B11" s="160" t="s">
        <v>63</v>
      </c>
      <c r="F11" s="38"/>
      <c r="G11" s="38"/>
    </row>
    <row r="12" spans="2:8" ht="12.75" customHeight="1">
      <c r="G12" s="38"/>
    </row>
    <row r="13" spans="2:8" s="508" customFormat="1" ht="12.75" customHeight="1">
      <c r="B13" s="582" t="s">
        <v>897</v>
      </c>
      <c r="C13" s="583"/>
      <c r="D13" s="583"/>
      <c r="E13" s="583"/>
      <c r="F13" s="583"/>
      <c r="G13" s="38"/>
    </row>
    <row r="14" spans="2:8" s="508" customFormat="1" ht="12.75" customHeight="1">
      <c r="B14" s="583"/>
      <c r="C14" s="583"/>
      <c r="D14" s="583"/>
      <c r="E14" s="583"/>
      <c r="F14" s="583"/>
      <c r="G14" s="38"/>
    </row>
    <row r="15" spans="2:8" s="508" customFormat="1" ht="12.75" customHeight="1">
      <c r="E15" s="521"/>
      <c r="G15" s="38"/>
    </row>
    <row r="16" spans="2:8">
      <c r="B16" s="510" t="s">
        <v>884</v>
      </c>
      <c r="C16" s="186" t="s" vm="7">
        <v>861</v>
      </c>
      <c r="D16" s="280"/>
      <c r="E16" s="519"/>
      <c r="F16" s="280"/>
      <c r="G16" s="38"/>
    </row>
    <row r="17" spans="2:7">
      <c r="B17" s="186"/>
      <c r="C17" s="186"/>
      <c r="D17" s="280"/>
      <c r="E17" s="519"/>
      <c r="F17" s="280"/>
      <c r="G17" s="38"/>
    </row>
    <row r="18" spans="2:7">
      <c r="B18" s="510" t="s">
        <v>64</v>
      </c>
      <c r="C18" s="186" t="s">
        <v>883</v>
      </c>
      <c r="F18" s="38"/>
      <c r="G18" s="38"/>
    </row>
    <row r="19" spans="2:7">
      <c r="B19" s="511" t="s">
        <v>26</v>
      </c>
      <c r="C19" s="512"/>
      <c r="F19" s="38"/>
      <c r="G19" s="38"/>
    </row>
    <row r="20" spans="2:7">
      <c r="B20" s="513" t="s">
        <v>28</v>
      </c>
      <c r="C20" s="434">
        <v>0</v>
      </c>
    </row>
    <row r="21" spans="2:7"/>
    <row r="22" spans="2:7"/>
    <row r="23" spans="2:7"/>
    <row r="24" spans="2:7" ht="15" customHeight="1"/>
    <row r="25" spans="2:7" ht="15" customHeight="1"/>
    <row r="26" spans="2:7" ht="15" customHeight="1"/>
    <row r="27" spans="2:7" ht="15" customHeight="1"/>
    <row r="28" spans="2:7" ht="15" customHeight="1"/>
    <row r="29" spans="2:7" ht="15" customHeight="1"/>
  </sheetData>
  <sheetProtection autoFilter="0" pivotTables="0"/>
  <protectedRanges>
    <protectedRange sqref="C3:F3" name="Plage1"/>
  </protectedRanges>
  <mergeCells count="2">
    <mergeCell ref="B8:F8"/>
    <mergeCell ref="B13:F14"/>
  </mergeCells>
  <hyperlinks>
    <hyperlink ref="B11" r:id="rId2" location="/public/signin" xr:uid="{00000000-0004-0000-0900-000000000000}"/>
  </hyperlinks>
  <pageMargins left="0.7" right="0.7" top="0.75" bottom="0.75" header="0.3" footer="0.3"/>
  <pageSetup paperSize="9" orientation="landscape" r:id="rId3"/>
  <drawing r:id="rId4"/>
  <extLst>
    <ext xmlns:x14="http://schemas.microsoft.com/office/spreadsheetml/2009/9/main" uri="{A8765BA9-456A-4dab-B4F3-ACF838C121DE}">
      <x14:slicerList>
        <x14:slicer r:id="rId5"/>
      </x14:slicerList>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6">
    <tabColor theme="7" tint="0.39997558519241921"/>
  </sheetPr>
  <dimension ref="A1:N56"/>
  <sheetViews>
    <sheetView workbookViewId="0">
      <selection activeCell="H4" sqref="H4"/>
    </sheetView>
  </sheetViews>
  <sheetFormatPr baseColWidth="10" defaultColWidth="0" defaultRowHeight="15" customHeight="1" zeroHeight="1"/>
  <cols>
    <col min="1" max="11" width="11.42578125" style="38" customWidth="1"/>
    <col min="12" max="16384" width="11.42578125" hidden="1"/>
  </cols>
  <sheetData>
    <row r="1" spans="2:7" ht="15" customHeight="1"/>
    <row r="2" spans="2:7">
      <c r="B2" s="106" t="s">
        <v>0</v>
      </c>
      <c r="C2" s="576">
        <f>Site!C2</f>
        <v>0</v>
      </c>
      <c r="D2" s="576"/>
      <c r="E2" s="576"/>
    </row>
    <row r="3" spans="2:7" ht="15" customHeight="1"/>
    <row r="4" spans="2:7" ht="15" customHeight="1"/>
    <row r="5" spans="2:7" ht="15" customHeight="1">
      <c r="B5" s="485">
        <f>IFERROR(IF(VLOOKUP(CalculSuiviMensuel!C1,DJU!$O$14:$Q$44,2,0)=12,0,"/!\ DJU Incomplets"),"/!\ DJU Incomplets")</f>
        <v>0</v>
      </c>
      <c r="F5" s="485">
        <f>IFERROR(IF(VLOOKUP(CalculSuiviMensuel!C2,DJU!$O$14:$Q$44,2,0)=12,0,"/!\ DJU Incomplets"),"/!\ DJU Incomplets")</f>
        <v>0</v>
      </c>
    </row>
    <row r="6" spans="2:7" ht="15" customHeight="1">
      <c r="C6" s="585" t="s">
        <v>437</v>
      </c>
      <c r="D6" s="585"/>
      <c r="E6" s="585"/>
      <c r="F6" s="585"/>
      <c r="G6" s="585"/>
    </row>
    <row r="7" spans="2:7" ht="15" customHeight="1"/>
    <row r="8" spans="2:7" ht="15" customHeight="1"/>
    <row r="9" spans="2:7" ht="15" customHeight="1"/>
    <row r="10" spans="2:7" ht="15" customHeight="1"/>
    <row r="11" spans="2:7" ht="15" customHeight="1"/>
    <row r="12" spans="2:7" ht="15" customHeight="1"/>
    <row r="13" spans="2:7" ht="15" customHeight="1"/>
    <row r="14" spans="2:7" ht="15" customHeight="1"/>
    <row r="15" spans="2:7" ht="15" customHeight="1"/>
    <row r="16" spans="2:7" ht="15" customHeight="1"/>
    <row r="17" spans="3:14" ht="15" customHeight="1"/>
    <row r="18" spans="3:14" ht="15" customHeight="1"/>
    <row r="19" spans="3:14" ht="15" customHeight="1"/>
    <row r="20" spans="3:14" ht="15" customHeight="1"/>
    <row r="21" spans="3:14" ht="15" customHeight="1"/>
    <row r="22" spans="3:14" ht="15" customHeight="1"/>
    <row r="23" spans="3:14" ht="15" customHeight="1">
      <c r="C23" s="586" t="s">
        <v>438</v>
      </c>
      <c r="D23" s="586"/>
      <c r="E23" s="586"/>
      <c r="F23" s="586"/>
      <c r="G23" s="586"/>
    </row>
    <row r="24" spans="3:14" ht="15" customHeight="1"/>
    <row r="25" spans="3:14" ht="15" customHeight="1"/>
    <row r="26" spans="3:14">
      <c r="I26" s="584"/>
      <c r="J26" s="584"/>
      <c r="K26" s="584"/>
      <c r="L26" s="584"/>
      <c r="M26" s="584"/>
      <c r="N26" s="584"/>
    </row>
    <row r="27" spans="3:14">
      <c r="I27" s="584"/>
      <c r="J27" s="584"/>
      <c r="K27" s="584"/>
      <c r="L27" s="584"/>
      <c r="M27" s="584"/>
      <c r="N27" s="584"/>
    </row>
    <row r="28" spans="3:14">
      <c r="I28" s="584"/>
      <c r="J28" s="584"/>
      <c r="K28" s="584"/>
      <c r="L28" s="584"/>
      <c r="M28" s="584"/>
      <c r="N28" s="584"/>
    </row>
    <row r="29" spans="3:14">
      <c r="I29" s="584"/>
      <c r="J29" s="584"/>
      <c r="K29" s="584"/>
      <c r="L29" s="584"/>
      <c r="M29" s="584"/>
      <c r="N29" s="584"/>
    </row>
    <row r="30" spans="3:14" ht="20.25" customHeight="1">
      <c r="I30" s="584"/>
      <c r="J30" s="584"/>
      <c r="K30" s="584"/>
      <c r="L30" s="584"/>
      <c r="M30" s="584"/>
      <c r="N30" s="584"/>
    </row>
    <row r="31" spans="3:14">
      <c r="I31" s="584"/>
      <c r="J31" s="584"/>
      <c r="K31" s="584"/>
      <c r="L31" s="584"/>
      <c r="M31" s="584"/>
      <c r="N31" s="584"/>
    </row>
    <row r="32" spans="3:14">
      <c r="I32" s="584"/>
      <c r="J32" s="584"/>
      <c r="K32" s="584"/>
      <c r="L32" s="584"/>
      <c r="M32" s="584"/>
      <c r="N32" s="584"/>
    </row>
    <row r="33" spans="3:14">
      <c r="I33" s="584"/>
      <c r="J33" s="584"/>
      <c r="K33" s="584"/>
      <c r="L33" s="584"/>
      <c r="M33" s="584"/>
      <c r="N33" s="584"/>
    </row>
    <row r="34" spans="3:14" ht="15" customHeight="1">
      <c r="I34" s="584"/>
      <c r="J34" s="584"/>
      <c r="K34" s="584"/>
      <c r="L34" s="584"/>
      <c r="M34" s="584"/>
      <c r="N34" s="584"/>
    </row>
    <row r="35" spans="3:14" ht="15" customHeight="1">
      <c r="I35" s="584"/>
      <c r="J35" s="584"/>
      <c r="K35" s="584"/>
      <c r="L35" s="584"/>
      <c r="M35" s="584"/>
      <c r="N35" s="584"/>
    </row>
    <row r="36" spans="3:14" ht="15" customHeight="1">
      <c r="I36" s="584"/>
      <c r="J36" s="584"/>
      <c r="K36" s="584"/>
      <c r="L36" s="584"/>
      <c r="M36" s="584"/>
      <c r="N36" s="584"/>
    </row>
    <row r="37" spans="3:14" ht="15" customHeight="1">
      <c r="I37" s="584"/>
      <c r="J37" s="584"/>
      <c r="K37" s="584"/>
      <c r="L37" s="584"/>
      <c r="M37" s="584"/>
      <c r="N37" s="584"/>
    </row>
    <row r="38" spans="3:14" ht="15" customHeight="1">
      <c r="I38" s="584"/>
      <c r="J38" s="584"/>
      <c r="K38" s="584"/>
      <c r="L38" s="584"/>
      <c r="M38" s="584"/>
      <c r="N38" s="584"/>
    </row>
    <row r="39" spans="3:14" ht="15" customHeight="1">
      <c r="I39" s="584"/>
      <c r="J39" s="584"/>
      <c r="K39" s="584"/>
      <c r="L39" s="584"/>
      <c r="M39" s="584"/>
      <c r="N39" s="584"/>
    </row>
    <row r="40" spans="3:14" ht="15" customHeight="1">
      <c r="C40" s="587" t="s">
        <v>439</v>
      </c>
      <c r="D40" s="587"/>
      <c r="E40" s="587"/>
      <c r="F40" s="587"/>
      <c r="G40" s="587"/>
      <c r="I40" s="584"/>
      <c r="J40" s="584"/>
      <c r="K40" s="584"/>
      <c r="L40" s="584"/>
      <c r="M40" s="584"/>
      <c r="N40" s="584"/>
    </row>
    <row r="41" spans="3:14" ht="15" customHeight="1">
      <c r="I41" s="584"/>
      <c r="J41" s="584"/>
      <c r="K41" s="584"/>
      <c r="L41" s="584"/>
      <c r="M41" s="584"/>
      <c r="N41" s="584"/>
    </row>
    <row r="42" spans="3:14" ht="15" customHeight="1"/>
    <row r="43" spans="3:14" ht="15" customHeight="1"/>
    <row r="44" spans="3:14" ht="15" customHeight="1"/>
    <row r="45" spans="3:14" ht="15" customHeight="1"/>
    <row r="46" spans="3:14" ht="15" customHeight="1"/>
    <row r="47" spans="3:14" ht="15" customHeight="1"/>
    <row r="48" spans="3:14" ht="15" customHeight="1"/>
    <row r="49" ht="15" customHeight="1"/>
    <row r="50" ht="15" customHeight="1"/>
    <row r="51" ht="15" customHeight="1"/>
    <row r="52" ht="15" customHeight="1"/>
    <row r="53" ht="15" customHeight="1"/>
    <row r="54" ht="15" customHeight="1"/>
    <row r="55" ht="15" customHeight="1"/>
    <row r="56" ht="15" customHeight="1"/>
  </sheetData>
  <sheetProtection sheet="1" pivotTables="0"/>
  <protectedRanges>
    <protectedRange sqref="C2:E2" name="Plage1"/>
  </protectedRanges>
  <mergeCells count="5">
    <mergeCell ref="C2:E2"/>
    <mergeCell ref="I26:N41"/>
    <mergeCell ref="C6:G6"/>
    <mergeCell ref="C23:G23"/>
    <mergeCell ref="C40:G40"/>
  </mergeCells>
  <conditionalFormatting sqref="B5">
    <cfRule type="cellIs" dxfId="18" priority="3" operator="notEqual">
      <formula>"/!\ DJU Incomplets"</formula>
    </cfRule>
    <cfRule type="cellIs" dxfId="17" priority="4" operator="equal">
      <formula>"/!\ DJU Incomplets"</formula>
    </cfRule>
  </conditionalFormatting>
  <conditionalFormatting sqref="F5">
    <cfRule type="cellIs" dxfId="16" priority="1" operator="notEqual">
      <formula>"/!\ DJU Incomplets"</formula>
    </cfRule>
    <cfRule type="cellIs" dxfId="15" priority="2" operator="equal">
      <formula>"/!\ DJU Incomplets"</formula>
    </cfRule>
  </conditionalFormatting>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Drop Down 1">
              <controlPr defaultSize="0" autoLine="0" autoPict="0">
                <anchor moveWithCells="1">
                  <from>
                    <xdr:col>1</xdr:col>
                    <xdr:colOff>209550</xdr:colOff>
                    <xdr:row>2</xdr:row>
                    <xdr:rowOff>114300</xdr:rowOff>
                  </from>
                  <to>
                    <xdr:col>2</xdr:col>
                    <xdr:colOff>704850</xdr:colOff>
                    <xdr:row>3</xdr:row>
                    <xdr:rowOff>171450</xdr:rowOff>
                  </to>
                </anchor>
              </controlPr>
            </control>
          </mc:Choice>
        </mc:AlternateContent>
        <mc:AlternateContent xmlns:mc="http://schemas.openxmlformats.org/markup-compatibility/2006">
          <mc:Choice Requires="x14">
            <control shapeId="76802" r:id="rId5" name="Drop Down 2">
              <controlPr defaultSize="0" autoLine="0" autoPict="0">
                <anchor moveWithCells="1">
                  <from>
                    <xdr:col>4</xdr:col>
                    <xdr:colOff>590550</xdr:colOff>
                    <xdr:row>2</xdr:row>
                    <xdr:rowOff>114300</xdr:rowOff>
                  </from>
                  <to>
                    <xdr:col>6</xdr:col>
                    <xdr:colOff>304800</xdr:colOff>
                    <xdr:row>3</xdr:row>
                    <xdr:rowOff>171450</xdr:rowOff>
                  </to>
                </anchor>
              </controlPr>
            </control>
          </mc:Choice>
        </mc:AlternateContent>
        <mc:AlternateContent xmlns:mc="http://schemas.openxmlformats.org/markup-compatibility/2006">
          <mc:Choice Requires="x14">
            <control shapeId="76803" r:id="rId6" name="Drop Down 3">
              <controlPr defaultSize="0" autoLine="0" autoPict="0">
                <anchor moveWithCells="1">
                  <from>
                    <xdr:col>8</xdr:col>
                    <xdr:colOff>95250</xdr:colOff>
                    <xdr:row>18</xdr:row>
                    <xdr:rowOff>133350</xdr:rowOff>
                  </from>
                  <to>
                    <xdr:col>9</xdr:col>
                    <xdr:colOff>590550</xdr:colOff>
                    <xdr:row>19</xdr:row>
                    <xdr:rowOff>190500</xdr:rowOff>
                  </to>
                </anchor>
              </controlPr>
            </control>
          </mc:Choice>
        </mc:AlternateContent>
        <mc:AlternateContent xmlns:mc="http://schemas.openxmlformats.org/markup-compatibility/2006">
          <mc:Choice Requires="x14">
            <control shapeId="76804" r:id="rId7" name="Drop Down 4">
              <controlPr defaultSize="0" autoLine="0" autoPict="0">
                <anchor moveWithCells="1">
                  <from>
                    <xdr:col>8</xdr:col>
                    <xdr:colOff>95250</xdr:colOff>
                    <xdr:row>35</xdr:row>
                    <xdr:rowOff>114300</xdr:rowOff>
                  </from>
                  <to>
                    <xdr:col>9</xdr:col>
                    <xdr:colOff>590550</xdr:colOff>
                    <xdr:row>36</xdr:row>
                    <xdr:rowOff>171450</xdr:rowOff>
                  </to>
                </anchor>
              </controlPr>
            </control>
          </mc:Choice>
        </mc:AlternateContent>
      </controls>
    </mc:Choice>
  </mc:AlternateContent>
  <extLst>
    <ext xmlns:x14="http://schemas.microsoft.com/office/spreadsheetml/2009/9/main" uri="{A8765BA9-456A-4dab-B4F3-ACF838C121DE}">
      <x14:slicerList>
        <x14:slicer r:id="rId8"/>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tabColor theme="0"/>
  </sheetPr>
  <dimension ref="A1:AE423"/>
  <sheetViews>
    <sheetView workbookViewId="0">
      <selection activeCell="A7" sqref="A7"/>
    </sheetView>
  </sheetViews>
  <sheetFormatPr baseColWidth="10" defaultColWidth="11.42578125" defaultRowHeight="15"/>
  <cols>
    <col min="6" max="6" width="9" customWidth="1"/>
    <col min="7" max="7" width="14.85546875" style="178" customWidth="1"/>
    <col min="16" max="16" width="20.140625" bestFit="1" customWidth="1"/>
    <col min="17" max="17" width="25.7109375" bestFit="1" customWidth="1"/>
    <col min="18" max="18" width="12" bestFit="1" customWidth="1"/>
    <col min="19" max="21" width="4.85546875" bestFit="1" customWidth="1"/>
    <col min="22" max="22" width="20.140625" bestFit="1" customWidth="1"/>
    <col min="23" max="23" width="27.5703125" bestFit="1" customWidth="1"/>
    <col min="24" max="27" width="4.85546875" bestFit="1" customWidth="1"/>
    <col min="28" max="30" width="11.85546875" bestFit="1" customWidth="1"/>
    <col min="31" max="34" width="12" bestFit="1" customWidth="1"/>
    <col min="35" max="36" width="4.85546875" bestFit="1" customWidth="1"/>
    <col min="37" max="143" width="12" bestFit="1" customWidth="1"/>
    <col min="144" max="144" width="12.5703125" bestFit="1" customWidth="1"/>
  </cols>
  <sheetData>
    <row r="1" spans="1:18">
      <c r="A1" t="s">
        <v>65</v>
      </c>
      <c r="B1">
        <v>15</v>
      </c>
      <c r="C1">
        <f>INDEX(Site!$B$8:$B$28,CalculSuiviMensuel!B1,1)</f>
        <v>2024</v>
      </c>
      <c r="G1" s="178" t="s">
        <v>66</v>
      </c>
      <c r="H1">
        <v>2</v>
      </c>
      <c r="P1" s="174" t="s">
        <v>19</v>
      </c>
      <c r="Q1" s="522" t="s" vm="4">
        <v>899</v>
      </c>
    </row>
    <row r="2" spans="1:18">
      <c r="A2" t="s">
        <v>67</v>
      </c>
      <c r="B2">
        <v>16</v>
      </c>
      <c r="C2">
        <f>INDEX(Site!$B$8:$B$28,CalculSuiviMensuel!B2,1)</f>
        <v>2025</v>
      </c>
      <c r="P2" s="437"/>
      <c r="Q2" s="437"/>
    </row>
    <row r="3" spans="1:18">
      <c r="B3" t="s">
        <v>7</v>
      </c>
      <c r="C3" t="s">
        <v>68</v>
      </c>
      <c r="D3" t="s">
        <v>69</v>
      </c>
      <c r="E3" t="s">
        <v>873</v>
      </c>
      <c r="F3" t="s">
        <v>71</v>
      </c>
      <c r="G3" s="178" t="s">
        <v>72</v>
      </c>
      <c r="H3" t="s">
        <v>874</v>
      </c>
      <c r="P3" s="174" t="s">
        <v>843</v>
      </c>
      <c r="Q3" s="174" t="s">
        <v>74</v>
      </c>
    </row>
    <row r="4" spans="1:18">
      <c r="B4">
        <f>$C$1</f>
        <v>2024</v>
      </c>
      <c r="C4">
        <v>1</v>
      </c>
      <c r="D4" t="s">
        <v>73</v>
      </c>
      <c r="E4" s="178" t="e">
        <f>GETPIVOTDATA("[Measures].[Somme de Conso_kWh_PCI]",$P$3,"[Tab_concat].[Dates (année)]","[Tab_concat].[Dates (année)].&amp;["&amp;$B4&amp;"]","[Tab_concat].[Dates (mois)]","[Tab_concat].[Dates (mois)].&amp;["&amp;$D4&amp;"]")/1000</f>
        <v>#REF!</v>
      </c>
      <c r="F4">
        <f>GETPIVOTDATA("Somme de DJU(chauffagiste)",$P$92,"annee",B4,"mois_numero",C4)</f>
        <v>380</v>
      </c>
      <c r="G4" s="178">
        <f>GETPIVOTDATA("DJU(chauffagiste)",$V$92,"mois_numero",C4)</f>
        <v>383.34615384615387</v>
      </c>
      <c r="H4" s="120" t="e">
        <f>IF($H$1=1,E4*G4/F4,E4)</f>
        <v>#REF!</v>
      </c>
      <c r="P4" s="174" t="s">
        <v>64</v>
      </c>
      <c r="Q4" s="522" t="s">
        <v>902</v>
      </c>
      <c r="R4" s="522" t="s">
        <v>86</v>
      </c>
    </row>
    <row r="5" spans="1:18">
      <c r="B5">
        <f t="shared" ref="B5:B15" si="0">$C$1</f>
        <v>2024</v>
      </c>
      <c r="C5">
        <v>2</v>
      </c>
      <c r="D5" s="88" t="s">
        <v>850</v>
      </c>
      <c r="E5" s="178" t="e">
        <f>GETPIVOTDATA("[Measures].[Somme de Conso_kWh_PCI]",$P$3,"[Tab_concat].[Dates (année)]","[Tab_concat].[Dates (année)].&amp;["&amp;$B5&amp;"]","[Tab_concat].[Dates (mois)]","[Tab_concat].[Dates (mois)].&amp;["&amp;$D5&amp;"]")/1000</f>
        <v>#REF!</v>
      </c>
      <c r="F5" s="437">
        <f t="shared" ref="F5:F27" si="1">GETPIVOTDATA("DJU(chauffagiste)",$P$92,"annee",B5,"mois_numero",C5)</f>
        <v>244</v>
      </c>
      <c r="G5" s="178">
        <f t="shared" ref="G5:G27" si="2">GETPIVOTDATA("DJU(chauffagiste)",$V$92,"mois_numero",C5)</f>
        <v>325.23076923076923</v>
      </c>
      <c r="H5" s="120" t="e">
        <f t="shared" ref="H5:H27" si="3">IF($H$1=1,E5*G5/F5,E5)</f>
        <v>#REF!</v>
      </c>
      <c r="P5" s="88" t="s">
        <v>73</v>
      </c>
      <c r="Q5" s="233">
        <v>0</v>
      </c>
      <c r="R5" s="233">
        <v>0</v>
      </c>
    </row>
    <row r="6" spans="1:18">
      <c r="B6">
        <f t="shared" si="0"/>
        <v>2024</v>
      </c>
      <c r="C6">
        <v>3</v>
      </c>
      <c r="D6" t="s">
        <v>77</v>
      </c>
      <c r="E6" s="178" t="e">
        <f t="shared" ref="E6:E27" si="4">GETPIVOTDATA("[Measures].[Somme de Conso_kWh_PCI]",$P$3,"[Tab_concat].[Dates (année)]","[Tab_concat].[Dates (année)].&amp;["&amp;$B6&amp;"]","[Tab_concat].[Dates (mois)]","[Tab_concat].[Dates (mois)].&amp;["&amp;$D6&amp;"]")/1000</f>
        <v>#REF!</v>
      </c>
      <c r="F6" s="437">
        <f t="shared" si="1"/>
        <v>253</v>
      </c>
      <c r="G6" s="178">
        <f t="shared" si="2"/>
        <v>284.72000000000003</v>
      </c>
      <c r="H6" s="120" t="e">
        <f t="shared" si="3"/>
        <v>#REF!</v>
      </c>
      <c r="P6" s="88" t="s">
        <v>850</v>
      </c>
      <c r="Q6" s="233">
        <v>0</v>
      </c>
      <c r="R6" s="233">
        <v>0</v>
      </c>
    </row>
    <row r="7" spans="1:18">
      <c r="B7">
        <f t="shared" si="0"/>
        <v>2024</v>
      </c>
      <c r="C7">
        <v>4</v>
      </c>
      <c r="D7" t="s">
        <v>79</v>
      </c>
      <c r="E7" s="178" t="e">
        <f t="shared" si="4"/>
        <v>#REF!</v>
      </c>
      <c r="F7" s="437">
        <f t="shared" si="1"/>
        <v>186</v>
      </c>
      <c r="G7" s="178">
        <f t="shared" si="2"/>
        <v>196.68</v>
      </c>
      <c r="H7" s="120" t="e">
        <f t="shared" si="3"/>
        <v>#REF!</v>
      </c>
      <c r="P7" s="88" t="s">
        <v>77</v>
      </c>
      <c r="Q7" s="233">
        <v>0</v>
      </c>
      <c r="R7" s="233">
        <v>0</v>
      </c>
    </row>
    <row r="8" spans="1:18">
      <c r="B8">
        <f t="shared" si="0"/>
        <v>2024</v>
      </c>
      <c r="C8">
        <v>5</v>
      </c>
      <c r="D8" t="s">
        <v>80</v>
      </c>
      <c r="E8" s="178" t="e">
        <f t="shared" si="4"/>
        <v>#REF!</v>
      </c>
      <c r="F8" s="437">
        <f t="shared" si="1"/>
        <v>102</v>
      </c>
      <c r="G8" s="178">
        <f t="shared" si="2"/>
        <v>116.56</v>
      </c>
      <c r="H8" s="120" t="e">
        <f t="shared" si="3"/>
        <v>#REF!</v>
      </c>
      <c r="P8" s="88" t="s">
        <v>79</v>
      </c>
      <c r="Q8" s="233">
        <v>0</v>
      </c>
      <c r="R8" s="233">
        <v>0</v>
      </c>
    </row>
    <row r="9" spans="1:18">
      <c r="B9">
        <f t="shared" si="0"/>
        <v>2024</v>
      </c>
      <c r="C9">
        <v>6</v>
      </c>
      <c r="D9" t="s">
        <v>81</v>
      </c>
      <c r="E9" s="178" t="e">
        <f t="shared" si="4"/>
        <v>#REF!</v>
      </c>
      <c r="F9" s="437">
        <f t="shared" si="1"/>
        <v>60</v>
      </c>
      <c r="G9" s="178">
        <f t="shared" si="2"/>
        <v>46.56</v>
      </c>
      <c r="H9" s="120" t="e">
        <f t="shared" si="3"/>
        <v>#REF!</v>
      </c>
      <c r="P9" s="88" t="s">
        <v>80</v>
      </c>
      <c r="Q9" s="233">
        <v>0</v>
      </c>
      <c r="R9" s="233">
        <v>0</v>
      </c>
    </row>
    <row r="10" spans="1:18">
      <c r="B10">
        <f t="shared" si="0"/>
        <v>2024</v>
      </c>
      <c r="C10">
        <v>7</v>
      </c>
      <c r="D10" t="s">
        <v>82</v>
      </c>
      <c r="E10" s="178" t="e">
        <f t="shared" si="4"/>
        <v>#REF!</v>
      </c>
      <c r="F10" s="437">
        <f t="shared" si="1"/>
        <v>28</v>
      </c>
      <c r="G10" s="178">
        <f t="shared" si="2"/>
        <v>27.88</v>
      </c>
      <c r="H10" s="120" t="e">
        <f t="shared" si="3"/>
        <v>#REF!</v>
      </c>
      <c r="P10" s="88" t="s">
        <v>81</v>
      </c>
      <c r="Q10" s="233">
        <v>0</v>
      </c>
      <c r="R10" s="233">
        <v>0</v>
      </c>
    </row>
    <row r="11" spans="1:18">
      <c r="B11">
        <f t="shared" si="0"/>
        <v>2024</v>
      </c>
      <c r="C11">
        <v>8</v>
      </c>
      <c r="D11" t="s">
        <v>851</v>
      </c>
      <c r="E11" s="178" t="e">
        <f t="shared" si="4"/>
        <v>#REF!</v>
      </c>
      <c r="F11" s="437">
        <f t="shared" si="1"/>
        <v>28</v>
      </c>
      <c r="G11" s="178">
        <f t="shared" si="2"/>
        <v>33.200000000000003</v>
      </c>
      <c r="H11" s="120" t="e">
        <f t="shared" si="3"/>
        <v>#REF!</v>
      </c>
      <c r="P11" s="88" t="s">
        <v>82</v>
      </c>
      <c r="Q11" s="233">
        <v>0</v>
      </c>
      <c r="R11" s="233">
        <v>0</v>
      </c>
    </row>
    <row r="12" spans="1:18">
      <c r="B12">
        <f t="shared" si="0"/>
        <v>2024</v>
      </c>
      <c r="C12">
        <v>9</v>
      </c>
      <c r="D12" t="s">
        <v>83</v>
      </c>
      <c r="E12" s="178" t="e">
        <f t="shared" si="4"/>
        <v>#REF!</v>
      </c>
      <c r="F12" s="437">
        <f t="shared" si="1"/>
        <v>78</v>
      </c>
      <c r="G12" s="178">
        <f t="shared" si="2"/>
        <v>73.27600000000001</v>
      </c>
      <c r="H12" s="120" t="e">
        <f t="shared" si="3"/>
        <v>#REF!</v>
      </c>
      <c r="P12" s="88" t="s">
        <v>851</v>
      </c>
      <c r="Q12" s="233">
        <v>0</v>
      </c>
      <c r="R12" s="233">
        <v>0</v>
      </c>
    </row>
    <row r="13" spans="1:18">
      <c r="B13">
        <f t="shared" si="0"/>
        <v>2024</v>
      </c>
      <c r="C13">
        <v>10</v>
      </c>
      <c r="D13" t="s">
        <v>84</v>
      </c>
      <c r="E13" s="178" t="e">
        <f t="shared" si="4"/>
        <v>#REF!</v>
      </c>
      <c r="F13" s="437">
        <f t="shared" si="1"/>
        <v>119</v>
      </c>
      <c r="G13" s="178">
        <f t="shared" si="2"/>
        <v>147.16</v>
      </c>
      <c r="H13" s="120" t="e">
        <f t="shared" si="3"/>
        <v>#REF!</v>
      </c>
      <c r="P13" s="88" t="s">
        <v>83</v>
      </c>
      <c r="Q13" s="233">
        <v>0</v>
      </c>
      <c r="R13" s="233">
        <v>0</v>
      </c>
    </row>
    <row r="14" spans="1:18">
      <c r="B14">
        <f t="shared" si="0"/>
        <v>2024</v>
      </c>
      <c r="C14">
        <v>11</v>
      </c>
      <c r="D14" t="s">
        <v>85</v>
      </c>
      <c r="E14" s="178" t="e">
        <f t="shared" si="4"/>
        <v>#REF!</v>
      </c>
      <c r="F14" s="437">
        <f t="shared" si="1"/>
        <v>266</v>
      </c>
      <c r="G14" s="178">
        <f t="shared" si="2"/>
        <v>269.83999999999997</v>
      </c>
      <c r="H14" s="120" t="e">
        <f t="shared" si="3"/>
        <v>#REF!</v>
      </c>
      <c r="P14" s="88" t="s">
        <v>84</v>
      </c>
      <c r="Q14" s="233">
        <v>0</v>
      </c>
      <c r="R14" s="233">
        <v>0</v>
      </c>
    </row>
    <row r="15" spans="1:18">
      <c r="B15">
        <f t="shared" si="0"/>
        <v>2024</v>
      </c>
      <c r="C15">
        <v>12</v>
      </c>
      <c r="D15" t="s">
        <v>852</v>
      </c>
      <c r="E15" s="178" t="e">
        <f t="shared" si="4"/>
        <v>#REF!</v>
      </c>
      <c r="F15" s="437">
        <f t="shared" si="1"/>
        <v>346</v>
      </c>
      <c r="G15" s="178">
        <f t="shared" si="2"/>
        <v>367.8</v>
      </c>
      <c r="H15" s="120" t="e">
        <f t="shared" si="3"/>
        <v>#REF!</v>
      </c>
      <c r="P15" s="88" t="s">
        <v>85</v>
      </c>
      <c r="Q15" s="233">
        <v>0</v>
      </c>
      <c r="R15" s="233">
        <v>0</v>
      </c>
    </row>
    <row r="16" spans="1:18">
      <c r="B16">
        <f>$C$2</f>
        <v>2025</v>
      </c>
      <c r="C16">
        <v>1</v>
      </c>
      <c r="D16" s="437" t="s">
        <v>73</v>
      </c>
      <c r="E16" s="178" t="e">
        <f t="shared" si="4"/>
        <v>#REF!</v>
      </c>
      <c r="F16" s="437">
        <f t="shared" si="1"/>
        <v>407</v>
      </c>
      <c r="G16" s="178">
        <f t="shared" si="2"/>
        <v>383.34615384615387</v>
      </c>
      <c r="H16" s="120" t="e">
        <f t="shared" si="3"/>
        <v>#REF!</v>
      </c>
      <c r="I16" s="177" t="e">
        <f>(H16-H4)/H4</f>
        <v>#REF!</v>
      </c>
      <c r="P16" s="88" t="s">
        <v>852</v>
      </c>
      <c r="Q16" s="233">
        <v>0</v>
      </c>
      <c r="R16" s="233">
        <v>0</v>
      </c>
    </row>
    <row r="17" spans="2:31">
      <c r="B17">
        <f t="shared" ref="B17:B27" si="5">$C$2</f>
        <v>2025</v>
      </c>
      <c r="C17">
        <v>2</v>
      </c>
      <c r="D17" s="88" t="s">
        <v>850</v>
      </c>
      <c r="E17" s="178" t="e">
        <f t="shared" si="4"/>
        <v>#REF!</v>
      </c>
      <c r="F17" s="437">
        <f t="shared" si="1"/>
        <v>329</v>
      </c>
      <c r="G17" s="178">
        <f t="shared" si="2"/>
        <v>325.23076923076923</v>
      </c>
      <c r="H17" s="120" t="e">
        <f t="shared" si="3"/>
        <v>#REF!</v>
      </c>
      <c r="I17" s="177" t="e">
        <f t="shared" ref="I17:I27" si="6">(H17-H5)/H5</f>
        <v>#REF!</v>
      </c>
      <c r="P17" s="88" t="s">
        <v>86</v>
      </c>
      <c r="Q17" s="233">
        <v>0</v>
      </c>
      <c r="R17" s="233">
        <v>0</v>
      </c>
    </row>
    <row r="18" spans="2:31">
      <c r="B18">
        <f t="shared" si="5"/>
        <v>2025</v>
      </c>
      <c r="C18">
        <v>3</v>
      </c>
      <c r="D18" s="437" t="s">
        <v>77</v>
      </c>
      <c r="E18" s="178" t="e">
        <f t="shared" si="4"/>
        <v>#REF!</v>
      </c>
      <c r="F18" s="437">
        <f t="shared" si="1"/>
        <v>260</v>
      </c>
      <c r="G18" s="178">
        <f t="shared" si="2"/>
        <v>284.72000000000003</v>
      </c>
      <c r="H18" s="120" t="e">
        <f t="shared" si="3"/>
        <v>#REF!</v>
      </c>
      <c r="I18" s="177" t="e">
        <f t="shared" si="6"/>
        <v>#REF!</v>
      </c>
    </row>
    <row r="19" spans="2:31">
      <c r="B19">
        <f t="shared" si="5"/>
        <v>2025</v>
      </c>
      <c r="C19">
        <v>4</v>
      </c>
      <c r="D19" s="437" t="s">
        <v>79</v>
      </c>
      <c r="E19" s="178" t="e">
        <f t="shared" si="4"/>
        <v>#REF!</v>
      </c>
      <c r="F19" s="437">
        <f t="shared" si="1"/>
        <v>142</v>
      </c>
      <c r="G19" s="178">
        <f t="shared" si="2"/>
        <v>196.68</v>
      </c>
      <c r="H19" s="120" t="e">
        <f t="shared" si="3"/>
        <v>#REF!</v>
      </c>
      <c r="I19" s="177" t="e">
        <f t="shared" si="6"/>
        <v>#REF!</v>
      </c>
    </row>
    <row r="20" spans="2:31">
      <c r="B20">
        <f t="shared" si="5"/>
        <v>2025</v>
      </c>
      <c r="C20">
        <v>5</v>
      </c>
      <c r="D20" s="437" t="s">
        <v>80</v>
      </c>
      <c r="E20" s="178" t="e">
        <f t="shared" si="4"/>
        <v>#REF!</v>
      </c>
      <c r="F20" s="437">
        <f t="shared" si="1"/>
        <v>91</v>
      </c>
      <c r="G20" s="178">
        <f t="shared" si="2"/>
        <v>116.56</v>
      </c>
      <c r="H20" s="120" t="e">
        <f t="shared" si="3"/>
        <v>#REF!</v>
      </c>
      <c r="I20" s="177" t="e">
        <f t="shared" si="6"/>
        <v>#REF!</v>
      </c>
    </row>
    <row r="21" spans="2:31">
      <c r="B21">
        <f t="shared" si="5"/>
        <v>2025</v>
      </c>
      <c r="C21">
        <v>6</v>
      </c>
      <c r="D21" s="437" t="s">
        <v>81</v>
      </c>
      <c r="E21" s="178" t="e">
        <f t="shared" si="4"/>
        <v>#REF!</v>
      </c>
      <c r="F21" s="437">
        <f t="shared" si="1"/>
        <v>24</v>
      </c>
      <c r="G21" s="178">
        <f t="shared" si="2"/>
        <v>46.56</v>
      </c>
      <c r="H21" s="120" t="e">
        <f t="shared" si="3"/>
        <v>#REF!</v>
      </c>
      <c r="I21" s="177" t="e">
        <f t="shared" si="6"/>
        <v>#REF!</v>
      </c>
    </row>
    <row r="22" spans="2:31">
      <c r="B22">
        <f t="shared" si="5"/>
        <v>2025</v>
      </c>
      <c r="C22">
        <v>7</v>
      </c>
      <c r="D22" s="437" t="s">
        <v>82</v>
      </c>
      <c r="E22" s="178" t="e">
        <f t="shared" si="4"/>
        <v>#REF!</v>
      </c>
      <c r="F22" s="437">
        <f t="shared" si="1"/>
        <v>18</v>
      </c>
      <c r="G22" s="178">
        <f t="shared" si="2"/>
        <v>27.88</v>
      </c>
      <c r="H22" s="120" t="e">
        <f t="shared" si="3"/>
        <v>#REF!</v>
      </c>
      <c r="I22" s="177" t="e">
        <f t="shared" si="6"/>
        <v>#REF!</v>
      </c>
    </row>
    <row r="23" spans="2:31">
      <c r="B23">
        <f t="shared" si="5"/>
        <v>2025</v>
      </c>
      <c r="C23">
        <v>8</v>
      </c>
      <c r="D23" s="437" t="s">
        <v>851</v>
      </c>
      <c r="E23" s="178" t="e">
        <f t="shared" si="4"/>
        <v>#REF!</v>
      </c>
      <c r="F23" s="437">
        <f t="shared" si="1"/>
        <v>22</v>
      </c>
      <c r="G23" s="178">
        <f t="shared" si="2"/>
        <v>33.200000000000003</v>
      </c>
      <c r="H23" s="120" t="e">
        <f t="shared" si="3"/>
        <v>#REF!</v>
      </c>
      <c r="I23" s="177" t="e">
        <f t="shared" si="6"/>
        <v>#REF!</v>
      </c>
    </row>
    <row r="24" spans="2:31">
      <c r="B24">
        <f t="shared" si="5"/>
        <v>2025</v>
      </c>
      <c r="C24">
        <v>9</v>
      </c>
      <c r="D24" s="437" t="s">
        <v>83</v>
      </c>
      <c r="E24" s="178" t="e">
        <f t="shared" si="4"/>
        <v>#REF!</v>
      </c>
      <c r="F24" s="437">
        <f t="shared" si="1"/>
        <v>72.900000000000006</v>
      </c>
      <c r="G24" s="178">
        <f t="shared" si="2"/>
        <v>73.27600000000001</v>
      </c>
      <c r="H24" s="120" t="e">
        <f t="shared" si="3"/>
        <v>#REF!</v>
      </c>
      <c r="I24" s="177" t="e">
        <f t="shared" si="6"/>
        <v>#REF!</v>
      </c>
    </row>
    <row r="25" spans="2:31">
      <c r="B25">
        <f t="shared" si="5"/>
        <v>2025</v>
      </c>
      <c r="C25">
        <v>10</v>
      </c>
      <c r="D25" s="437" t="s">
        <v>84</v>
      </c>
      <c r="E25" s="178" t="e">
        <f t="shared" si="4"/>
        <v>#REF!</v>
      </c>
      <c r="F25" s="437">
        <f t="shared" si="1"/>
        <v>140</v>
      </c>
      <c r="G25" s="178">
        <f t="shared" si="2"/>
        <v>147.16</v>
      </c>
      <c r="H25" s="120" t="e">
        <f t="shared" si="3"/>
        <v>#REF!</v>
      </c>
      <c r="I25" s="177" t="e">
        <f t="shared" si="6"/>
        <v>#REF!</v>
      </c>
    </row>
    <row r="26" spans="2:31">
      <c r="B26">
        <f t="shared" si="5"/>
        <v>2025</v>
      </c>
      <c r="C26">
        <v>11</v>
      </c>
      <c r="D26" s="437" t="s">
        <v>85</v>
      </c>
      <c r="E26" s="178" t="e">
        <f t="shared" si="4"/>
        <v>#REF!</v>
      </c>
      <c r="F26" s="437">
        <f t="shared" si="1"/>
        <v>231</v>
      </c>
      <c r="G26" s="178">
        <f t="shared" si="2"/>
        <v>269.83999999999997</v>
      </c>
      <c r="H26" s="120" t="e">
        <f t="shared" si="3"/>
        <v>#REF!</v>
      </c>
      <c r="I26" s="177" t="e">
        <f t="shared" si="6"/>
        <v>#REF!</v>
      </c>
    </row>
    <row r="27" spans="2:31">
      <c r="B27">
        <f t="shared" si="5"/>
        <v>2025</v>
      </c>
      <c r="C27">
        <v>12</v>
      </c>
      <c r="D27" s="437" t="s">
        <v>852</v>
      </c>
      <c r="E27" s="178" t="e">
        <f t="shared" si="4"/>
        <v>#REF!</v>
      </c>
      <c r="F27" s="437">
        <f t="shared" si="1"/>
        <v>309</v>
      </c>
      <c r="G27" s="178">
        <f t="shared" si="2"/>
        <v>367.8</v>
      </c>
      <c r="H27" s="120" t="e">
        <f t="shared" si="3"/>
        <v>#REF!</v>
      </c>
      <c r="I27" s="177" t="e">
        <f t="shared" si="6"/>
        <v>#REF!</v>
      </c>
      <c r="P27" s="174" t="s">
        <v>19</v>
      </c>
      <c r="Q27" s="522" t="s" vm="3">
        <v>861</v>
      </c>
      <c r="R27" s="437"/>
      <c r="S27" s="437"/>
      <c r="T27" s="437"/>
      <c r="U27" s="437"/>
      <c r="V27" s="437"/>
      <c r="W27" s="437"/>
      <c r="X27" s="437"/>
      <c r="Y27" s="437"/>
      <c r="Z27" s="437"/>
      <c r="AA27" s="437"/>
      <c r="AB27" s="437"/>
      <c r="AC27" s="437"/>
      <c r="AD27" s="437"/>
      <c r="AE27" s="437"/>
    </row>
    <row r="28" spans="2:31">
      <c r="P28" s="437"/>
      <c r="Q28" s="437"/>
      <c r="R28" s="437"/>
      <c r="S28" s="437"/>
      <c r="T28" s="437"/>
      <c r="U28" s="437"/>
      <c r="V28" s="437"/>
      <c r="W28" s="437"/>
      <c r="X28" s="437"/>
      <c r="Y28" s="437"/>
      <c r="Z28" s="437"/>
      <c r="AA28" s="437"/>
      <c r="AB28" s="437"/>
      <c r="AC28" s="437"/>
      <c r="AD28" s="437"/>
      <c r="AE28" s="437"/>
    </row>
    <row r="29" spans="2:31">
      <c r="P29" s="174" t="s">
        <v>843</v>
      </c>
      <c r="Q29" s="174" t="s">
        <v>74</v>
      </c>
    </row>
    <row r="30" spans="2:31">
      <c r="P30" s="174" t="s">
        <v>64</v>
      </c>
      <c r="Q30" s="522" t="s">
        <v>902</v>
      </c>
      <c r="R30" s="522" t="s">
        <v>86</v>
      </c>
    </row>
    <row r="31" spans="2:31">
      <c r="P31" s="88" t="s">
        <v>73</v>
      </c>
      <c r="Q31" s="233">
        <v>0</v>
      </c>
      <c r="R31" s="233">
        <v>0</v>
      </c>
    </row>
    <row r="32" spans="2:31">
      <c r="P32" s="88" t="s">
        <v>850</v>
      </c>
      <c r="Q32" s="233">
        <v>0</v>
      </c>
      <c r="R32" s="233">
        <v>0</v>
      </c>
    </row>
    <row r="33" spans="2:18">
      <c r="P33" s="88" t="s">
        <v>77</v>
      </c>
      <c r="Q33" s="233">
        <v>0</v>
      </c>
      <c r="R33" s="233">
        <v>0</v>
      </c>
    </row>
    <row r="34" spans="2:18">
      <c r="P34" s="88" t="s">
        <v>79</v>
      </c>
      <c r="Q34" s="233">
        <v>0</v>
      </c>
      <c r="R34" s="233">
        <v>0</v>
      </c>
    </row>
    <row r="35" spans="2:18">
      <c r="G35" s="178" t="s">
        <v>66</v>
      </c>
      <c r="H35">
        <v>1</v>
      </c>
      <c r="P35" s="88" t="s">
        <v>80</v>
      </c>
      <c r="Q35" s="233">
        <v>0</v>
      </c>
      <c r="R35" s="233">
        <v>0</v>
      </c>
    </row>
    <row r="36" spans="2:18">
      <c r="P36" s="88" t="s">
        <v>81</v>
      </c>
      <c r="Q36" s="233">
        <v>0</v>
      </c>
      <c r="R36" s="233">
        <v>0</v>
      </c>
    </row>
    <row r="37" spans="2:18">
      <c r="B37" t="s">
        <v>7</v>
      </c>
      <c r="C37" t="s">
        <v>68</v>
      </c>
      <c r="D37" t="s">
        <v>69</v>
      </c>
      <c r="E37" s="455" t="s">
        <v>873</v>
      </c>
      <c r="F37" s="455" t="s">
        <v>71</v>
      </c>
      <c r="G37" s="178" t="s">
        <v>72</v>
      </c>
      <c r="H37" s="455" t="s">
        <v>874</v>
      </c>
      <c r="P37" s="88" t="s">
        <v>82</v>
      </c>
      <c r="Q37" s="233">
        <v>0</v>
      </c>
      <c r="R37" s="233">
        <v>0</v>
      </c>
    </row>
    <row r="38" spans="2:18">
      <c r="B38">
        <f>$C$1</f>
        <v>2024</v>
      </c>
      <c r="C38">
        <v>1</v>
      </c>
      <c r="D38" s="437" t="s">
        <v>73</v>
      </c>
      <c r="E38" s="178" t="e">
        <f>GETPIVOTDATA("[Measures].[Somme de Conso_kWh_PCI]",$P$29,"[Tab_concat].[Dates (année)]","[Tab_concat].[Dates (année)].&amp;["&amp;$B38&amp;"]","[Tab_concat].[Dates (mois)]","[Tab_concat].[Dates (mois)].&amp;["&amp;$D38&amp;"]")/1000</f>
        <v>#REF!</v>
      </c>
      <c r="F38" s="437">
        <f>GETPIVOTDATA("Somme de DJU(chauffagiste)",$P$92,"annee",B38,"mois_numero",C38)</f>
        <v>380</v>
      </c>
      <c r="G38" s="178">
        <f>GETPIVOTDATA("DJU(chauffagiste)",$V$92,"mois_numero",C38)</f>
        <v>383.34615384615387</v>
      </c>
      <c r="H38" s="120" t="e">
        <f>IF($H$35=1,E38*G38/F38,E38)</f>
        <v>#REF!</v>
      </c>
      <c r="P38" s="88" t="s">
        <v>851</v>
      </c>
      <c r="Q38" s="233">
        <v>0</v>
      </c>
      <c r="R38" s="233">
        <v>0</v>
      </c>
    </row>
    <row r="39" spans="2:18">
      <c r="B39">
        <f t="shared" ref="B39:B49" si="7">$C$1</f>
        <v>2024</v>
      </c>
      <c r="C39">
        <v>2</v>
      </c>
      <c r="D39" s="88" t="s">
        <v>850</v>
      </c>
      <c r="E39" s="178" t="e">
        <f t="shared" ref="E39:E61" si="8">GETPIVOTDATA("[Measures].[Somme de Conso_kWh_PCI]",$P$29,"[Tab_concat].[Dates (année)]","[Tab_concat].[Dates (année)].&amp;["&amp;$B39&amp;"]","[Tab_concat].[Dates (mois)]","[Tab_concat].[Dates (mois)].&amp;["&amp;$D39&amp;"]")/1000</f>
        <v>#REF!</v>
      </c>
      <c r="F39" s="437">
        <f t="shared" ref="F39:F61" si="9">GETPIVOTDATA("Somme de DJU(chauffagiste)",$P$92,"annee",B39,"mois_numero",C39)</f>
        <v>244</v>
      </c>
      <c r="G39" s="178">
        <f t="shared" ref="G39:G61" si="10">GETPIVOTDATA("DJU(chauffagiste)",$V$92,"mois_numero",C39)</f>
        <v>325.23076923076923</v>
      </c>
      <c r="H39" s="120" t="e">
        <f t="shared" ref="H39:H61" si="11">IF($H$35=1,E39*G39/F39,E39)</f>
        <v>#REF!</v>
      </c>
      <c r="P39" s="88" t="s">
        <v>83</v>
      </c>
      <c r="Q39" s="233">
        <v>0</v>
      </c>
      <c r="R39" s="233">
        <v>0</v>
      </c>
    </row>
    <row r="40" spans="2:18">
      <c r="B40">
        <f t="shared" si="7"/>
        <v>2024</v>
      </c>
      <c r="C40">
        <v>3</v>
      </c>
      <c r="D40" s="437" t="s">
        <v>77</v>
      </c>
      <c r="E40" s="178" t="e">
        <f t="shared" si="8"/>
        <v>#REF!</v>
      </c>
      <c r="F40" s="437">
        <f t="shared" si="9"/>
        <v>253</v>
      </c>
      <c r="G40" s="178">
        <f t="shared" si="10"/>
        <v>284.72000000000003</v>
      </c>
      <c r="H40" s="120" t="e">
        <f t="shared" si="11"/>
        <v>#REF!</v>
      </c>
      <c r="P40" s="88" t="s">
        <v>84</v>
      </c>
      <c r="Q40" s="233">
        <v>0</v>
      </c>
      <c r="R40" s="233">
        <v>0</v>
      </c>
    </row>
    <row r="41" spans="2:18">
      <c r="B41">
        <f t="shared" si="7"/>
        <v>2024</v>
      </c>
      <c r="C41">
        <v>4</v>
      </c>
      <c r="D41" s="437" t="s">
        <v>79</v>
      </c>
      <c r="E41" s="178" t="e">
        <f t="shared" si="8"/>
        <v>#REF!</v>
      </c>
      <c r="F41" s="437">
        <f t="shared" si="9"/>
        <v>186</v>
      </c>
      <c r="G41" s="178">
        <f t="shared" si="10"/>
        <v>196.68</v>
      </c>
      <c r="H41" s="120" t="e">
        <f t="shared" si="11"/>
        <v>#REF!</v>
      </c>
      <c r="P41" s="88" t="s">
        <v>85</v>
      </c>
      <c r="Q41" s="233">
        <v>0</v>
      </c>
      <c r="R41" s="233">
        <v>0</v>
      </c>
    </row>
    <row r="42" spans="2:18">
      <c r="B42">
        <f t="shared" si="7"/>
        <v>2024</v>
      </c>
      <c r="C42">
        <v>5</v>
      </c>
      <c r="D42" s="437" t="s">
        <v>80</v>
      </c>
      <c r="E42" s="178" t="e">
        <f t="shared" si="8"/>
        <v>#REF!</v>
      </c>
      <c r="F42" s="437">
        <f t="shared" si="9"/>
        <v>102</v>
      </c>
      <c r="G42" s="178">
        <f t="shared" si="10"/>
        <v>116.56</v>
      </c>
      <c r="H42" s="120" t="e">
        <f t="shared" si="11"/>
        <v>#REF!</v>
      </c>
      <c r="P42" s="88" t="s">
        <v>852</v>
      </c>
      <c r="Q42" s="233">
        <v>0</v>
      </c>
      <c r="R42" s="233">
        <v>0</v>
      </c>
    </row>
    <row r="43" spans="2:18">
      <c r="B43">
        <f t="shared" si="7"/>
        <v>2024</v>
      </c>
      <c r="C43">
        <v>6</v>
      </c>
      <c r="D43" s="437" t="s">
        <v>81</v>
      </c>
      <c r="E43" s="178" t="e">
        <f t="shared" si="8"/>
        <v>#REF!</v>
      </c>
      <c r="F43" s="437">
        <f t="shared" si="9"/>
        <v>60</v>
      </c>
      <c r="G43" s="178">
        <f t="shared" si="10"/>
        <v>46.56</v>
      </c>
      <c r="H43" s="120" t="e">
        <f>E43</f>
        <v>#REF!</v>
      </c>
      <c r="P43" s="88" t="s">
        <v>86</v>
      </c>
      <c r="Q43" s="233">
        <v>0</v>
      </c>
      <c r="R43" s="233">
        <v>0</v>
      </c>
    </row>
    <row r="44" spans="2:18">
      <c r="B44">
        <f t="shared" si="7"/>
        <v>2024</v>
      </c>
      <c r="C44">
        <v>7</v>
      </c>
      <c r="D44" s="437" t="s">
        <v>82</v>
      </c>
      <c r="E44" s="178" t="e">
        <f t="shared" si="8"/>
        <v>#REF!</v>
      </c>
      <c r="F44" s="437">
        <f t="shared" si="9"/>
        <v>28</v>
      </c>
      <c r="G44" s="178">
        <f t="shared" si="10"/>
        <v>27.88</v>
      </c>
      <c r="H44" s="120" t="e">
        <f t="shared" ref="H44:H46" si="12">E44</f>
        <v>#REF!</v>
      </c>
    </row>
    <row r="45" spans="2:18">
      <c r="B45">
        <f t="shared" si="7"/>
        <v>2024</v>
      </c>
      <c r="C45">
        <v>8</v>
      </c>
      <c r="D45" s="437" t="s">
        <v>851</v>
      </c>
      <c r="E45" s="178" t="e">
        <f t="shared" si="8"/>
        <v>#REF!</v>
      </c>
      <c r="F45" s="437">
        <f t="shared" si="9"/>
        <v>28</v>
      </c>
      <c r="G45" s="178">
        <f t="shared" si="10"/>
        <v>33.200000000000003</v>
      </c>
      <c r="H45" s="120" t="e">
        <f t="shared" si="12"/>
        <v>#REF!</v>
      </c>
    </row>
    <row r="46" spans="2:18">
      <c r="B46">
        <f t="shared" si="7"/>
        <v>2024</v>
      </c>
      <c r="C46">
        <v>9</v>
      </c>
      <c r="D46" s="437" t="s">
        <v>83</v>
      </c>
      <c r="E46" s="178" t="e">
        <f t="shared" si="8"/>
        <v>#REF!</v>
      </c>
      <c r="F46" s="437">
        <f t="shared" si="9"/>
        <v>78</v>
      </c>
      <c r="G46" s="178">
        <f t="shared" si="10"/>
        <v>73.27600000000001</v>
      </c>
      <c r="H46" s="120" t="e">
        <f t="shared" si="12"/>
        <v>#REF!</v>
      </c>
    </row>
    <row r="47" spans="2:18">
      <c r="B47">
        <f t="shared" si="7"/>
        <v>2024</v>
      </c>
      <c r="C47">
        <v>10</v>
      </c>
      <c r="D47" s="437" t="s">
        <v>84</v>
      </c>
      <c r="E47" s="178" t="e">
        <f t="shared" si="8"/>
        <v>#REF!</v>
      </c>
      <c r="F47" s="437">
        <f t="shared" si="9"/>
        <v>119</v>
      </c>
      <c r="G47" s="178">
        <f t="shared" si="10"/>
        <v>147.16</v>
      </c>
      <c r="H47" s="120" t="e">
        <f t="shared" si="11"/>
        <v>#REF!</v>
      </c>
    </row>
    <row r="48" spans="2:18">
      <c r="B48">
        <f t="shared" si="7"/>
        <v>2024</v>
      </c>
      <c r="C48">
        <v>11</v>
      </c>
      <c r="D48" s="437" t="s">
        <v>85</v>
      </c>
      <c r="E48" s="178" t="e">
        <f t="shared" si="8"/>
        <v>#REF!</v>
      </c>
      <c r="F48" s="437">
        <f t="shared" si="9"/>
        <v>266</v>
      </c>
      <c r="G48" s="178">
        <f t="shared" si="10"/>
        <v>269.83999999999997</v>
      </c>
      <c r="H48" s="120" t="e">
        <f t="shared" si="11"/>
        <v>#REF!</v>
      </c>
    </row>
    <row r="49" spans="2:29">
      <c r="B49">
        <f t="shared" si="7"/>
        <v>2024</v>
      </c>
      <c r="C49">
        <v>12</v>
      </c>
      <c r="D49" s="437" t="s">
        <v>852</v>
      </c>
      <c r="E49" s="178" t="e">
        <f t="shared" si="8"/>
        <v>#REF!</v>
      </c>
      <c r="F49" s="437">
        <f t="shared" si="9"/>
        <v>346</v>
      </c>
      <c r="G49" s="178">
        <f t="shared" si="10"/>
        <v>367.8</v>
      </c>
      <c r="H49" s="120" t="e">
        <f t="shared" si="11"/>
        <v>#REF!</v>
      </c>
    </row>
    <row r="50" spans="2:29">
      <c r="B50">
        <f>$C$2</f>
        <v>2025</v>
      </c>
      <c r="C50">
        <v>1</v>
      </c>
      <c r="D50" s="437" t="s">
        <v>73</v>
      </c>
      <c r="E50" s="178" t="e">
        <f t="shared" si="8"/>
        <v>#REF!</v>
      </c>
      <c r="F50" s="437">
        <f t="shared" si="9"/>
        <v>407</v>
      </c>
      <c r="G50" s="178">
        <f t="shared" si="10"/>
        <v>383.34615384615387</v>
      </c>
      <c r="H50" s="120" t="e">
        <f t="shared" si="11"/>
        <v>#REF!</v>
      </c>
      <c r="I50" s="177" t="e">
        <f>(H50-H38)/H38</f>
        <v>#REF!</v>
      </c>
    </row>
    <row r="51" spans="2:29">
      <c r="B51">
        <f t="shared" ref="B51:B61" si="13">$C$2</f>
        <v>2025</v>
      </c>
      <c r="C51">
        <v>2</v>
      </c>
      <c r="D51" s="88" t="s">
        <v>850</v>
      </c>
      <c r="E51" s="178" t="e">
        <f t="shared" si="8"/>
        <v>#REF!</v>
      </c>
      <c r="F51" s="437">
        <f t="shared" si="9"/>
        <v>329</v>
      </c>
      <c r="G51" s="178">
        <f t="shared" si="10"/>
        <v>325.23076923076923</v>
      </c>
      <c r="H51" s="120" t="e">
        <f t="shared" si="11"/>
        <v>#REF!</v>
      </c>
      <c r="I51" s="177" t="e">
        <f t="shared" ref="I51:I61" si="14">(H51-H39)/H39</f>
        <v>#REF!</v>
      </c>
    </row>
    <row r="52" spans="2:29">
      <c r="B52">
        <f t="shared" si="13"/>
        <v>2025</v>
      </c>
      <c r="C52">
        <v>3</v>
      </c>
      <c r="D52" s="437" t="s">
        <v>77</v>
      </c>
      <c r="E52" s="178" t="e">
        <f t="shared" si="8"/>
        <v>#REF!</v>
      </c>
      <c r="F52" s="437">
        <f t="shared" si="9"/>
        <v>260</v>
      </c>
      <c r="G52" s="178">
        <f t="shared" si="10"/>
        <v>284.72000000000003</v>
      </c>
      <c r="H52" s="120" t="e">
        <f t="shared" si="11"/>
        <v>#REF!</v>
      </c>
      <c r="I52" s="177" t="e">
        <f t="shared" si="14"/>
        <v>#REF!</v>
      </c>
    </row>
    <row r="53" spans="2:29">
      <c r="B53">
        <f t="shared" si="13"/>
        <v>2025</v>
      </c>
      <c r="C53">
        <v>4</v>
      </c>
      <c r="D53" s="437" t="s">
        <v>79</v>
      </c>
      <c r="E53" s="178" t="e">
        <f t="shared" si="8"/>
        <v>#REF!</v>
      </c>
      <c r="F53" s="437">
        <f t="shared" si="9"/>
        <v>142</v>
      </c>
      <c r="G53" s="178">
        <f t="shared" si="10"/>
        <v>196.68</v>
      </c>
      <c r="H53" s="120" t="e">
        <f t="shared" si="11"/>
        <v>#REF!</v>
      </c>
      <c r="I53" s="177" t="e">
        <f t="shared" si="14"/>
        <v>#REF!</v>
      </c>
    </row>
    <row r="54" spans="2:29">
      <c r="B54">
        <f t="shared" si="13"/>
        <v>2025</v>
      </c>
      <c r="C54">
        <v>5</v>
      </c>
      <c r="D54" s="437" t="s">
        <v>80</v>
      </c>
      <c r="E54" s="178" t="e">
        <f t="shared" si="8"/>
        <v>#REF!</v>
      </c>
      <c r="F54" s="437">
        <f t="shared" si="9"/>
        <v>91</v>
      </c>
      <c r="G54" s="178">
        <f t="shared" si="10"/>
        <v>116.56</v>
      </c>
      <c r="H54" s="120" t="e">
        <f t="shared" si="11"/>
        <v>#REF!</v>
      </c>
      <c r="I54" s="177" t="e">
        <f t="shared" si="14"/>
        <v>#REF!</v>
      </c>
    </row>
    <row r="55" spans="2:29">
      <c r="B55">
        <f t="shared" si="13"/>
        <v>2025</v>
      </c>
      <c r="C55">
        <v>6</v>
      </c>
      <c r="D55" s="437" t="s">
        <v>81</v>
      </c>
      <c r="E55" s="178" t="e">
        <f t="shared" si="8"/>
        <v>#REF!</v>
      </c>
      <c r="F55" s="437">
        <f t="shared" si="9"/>
        <v>24</v>
      </c>
      <c r="G55" s="178">
        <f t="shared" si="10"/>
        <v>46.56</v>
      </c>
      <c r="H55" s="120" t="e">
        <f>E55</f>
        <v>#REF!</v>
      </c>
      <c r="I55" s="177" t="e">
        <f t="shared" si="14"/>
        <v>#REF!</v>
      </c>
    </row>
    <row r="56" spans="2:29">
      <c r="B56">
        <f t="shared" si="13"/>
        <v>2025</v>
      </c>
      <c r="C56">
        <v>7</v>
      </c>
      <c r="D56" s="437" t="s">
        <v>82</v>
      </c>
      <c r="E56" s="178" t="e">
        <f t="shared" si="8"/>
        <v>#REF!</v>
      </c>
      <c r="F56" s="437">
        <f t="shared" si="9"/>
        <v>18</v>
      </c>
      <c r="G56" s="178">
        <f t="shared" si="10"/>
        <v>27.88</v>
      </c>
      <c r="H56" s="120" t="e">
        <f t="shared" ref="H56:H58" si="15">E56</f>
        <v>#REF!</v>
      </c>
      <c r="I56" s="177" t="e">
        <f t="shared" si="14"/>
        <v>#REF!</v>
      </c>
    </row>
    <row r="57" spans="2:29">
      <c r="B57">
        <f t="shared" si="13"/>
        <v>2025</v>
      </c>
      <c r="C57">
        <v>8</v>
      </c>
      <c r="D57" s="437" t="s">
        <v>851</v>
      </c>
      <c r="E57" s="178" t="e">
        <f t="shared" si="8"/>
        <v>#REF!</v>
      </c>
      <c r="F57" s="437">
        <f t="shared" si="9"/>
        <v>22</v>
      </c>
      <c r="G57" s="178">
        <f t="shared" si="10"/>
        <v>33.200000000000003</v>
      </c>
      <c r="H57" s="120" t="e">
        <f t="shared" si="15"/>
        <v>#REF!</v>
      </c>
      <c r="I57" s="177" t="e">
        <f t="shared" si="14"/>
        <v>#REF!</v>
      </c>
    </row>
    <row r="58" spans="2:29">
      <c r="B58">
        <f t="shared" si="13"/>
        <v>2025</v>
      </c>
      <c r="C58">
        <v>9</v>
      </c>
      <c r="D58" s="437" t="s">
        <v>83</v>
      </c>
      <c r="E58" s="178" t="e">
        <f t="shared" si="8"/>
        <v>#REF!</v>
      </c>
      <c r="F58" s="437">
        <f t="shared" si="9"/>
        <v>72.900000000000006</v>
      </c>
      <c r="G58" s="178">
        <f t="shared" si="10"/>
        <v>73.27600000000001</v>
      </c>
      <c r="H58" s="120" t="e">
        <f t="shared" si="15"/>
        <v>#REF!</v>
      </c>
      <c r="I58" s="177" t="e">
        <f t="shared" si="14"/>
        <v>#REF!</v>
      </c>
    </row>
    <row r="59" spans="2:29">
      <c r="B59">
        <f t="shared" si="13"/>
        <v>2025</v>
      </c>
      <c r="C59">
        <v>10</v>
      </c>
      <c r="D59" s="437" t="s">
        <v>84</v>
      </c>
      <c r="E59" s="178" t="e">
        <f t="shared" si="8"/>
        <v>#REF!</v>
      </c>
      <c r="F59" s="437">
        <f t="shared" si="9"/>
        <v>140</v>
      </c>
      <c r="G59" s="178">
        <f t="shared" si="10"/>
        <v>147.16</v>
      </c>
      <c r="H59" s="120" t="e">
        <f t="shared" si="11"/>
        <v>#REF!</v>
      </c>
      <c r="I59" s="177" t="e">
        <f t="shared" si="14"/>
        <v>#REF!</v>
      </c>
    </row>
    <row r="60" spans="2:29">
      <c r="B60">
        <f t="shared" si="13"/>
        <v>2025</v>
      </c>
      <c r="C60">
        <v>11</v>
      </c>
      <c r="D60" s="437" t="s">
        <v>85</v>
      </c>
      <c r="E60" s="178" t="e">
        <f t="shared" si="8"/>
        <v>#REF!</v>
      </c>
      <c r="F60" s="437">
        <f t="shared" si="9"/>
        <v>231</v>
      </c>
      <c r="G60" s="178">
        <f t="shared" si="10"/>
        <v>269.83999999999997</v>
      </c>
      <c r="H60" s="120" t="e">
        <f t="shared" si="11"/>
        <v>#REF!</v>
      </c>
      <c r="I60" s="177" t="e">
        <f t="shared" si="14"/>
        <v>#REF!</v>
      </c>
    </row>
    <row r="61" spans="2:29">
      <c r="B61">
        <f t="shared" si="13"/>
        <v>2025</v>
      </c>
      <c r="C61">
        <v>12</v>
      </c>
      <c r="D61" s="437" t="s">
        <v>852</v>
      </c>
      <c r="E61" s="178" t="e">
        <f t="shared" si="8"/>
        <v>#REF!</v>
      </c>
      <c r="F61" s="437">
        <f t="shared" si="9"/>
        <v>309</v>
      </c>
      <c r="G61" s="178">
        <f t="shared" si="10"/>
        <v>367.8</v>
      </c>
      <c r="H61" s="120" t="e">
        <f t="shared" si="11"/>
        <v>#REF!</v>
      </c>
      <c r="I61" s="177" t="e">
        <f t="shared" si="14"/>
        <v>#REF!</v>
      </c>
    </row>
    <row r="64" spans="2:29">
      <c r="P64" s="174" t="s">
        <v>19</v>
      </c>
      <c r="Q64" s="522" t="s" vm="3">
        <v>861</v>
      </c>
      <c r="R64" s="437"/>
      <c r="S64" s="437"/>
      <c r="T64" s="437"/>
      <c r="U64" s="437"/>
      <c r="V64" s="437"/>
      <c r="W64" s="437"/>
      <c r="X64" s="437"/>
      <c r="Y64" s="437"/>
      <c r="Z64" s="437"/>
      <c r="AA64" s="437"/>
      <c r="AB64" s="437"/>
      <c r="AC64" s="437"/>
    </row>
    <row r="65" spans="2:29">
      <c r="P65" s="437"/>
      <c r="Q65" s="437"/>
      <c r="R65" s="437"/>
      <c r="S65" s="437"/>
      <c r="T65" s="437"/>
      <c r="U65" s="437"/>
      <c r="V65" s="437"/>
      <c r="W65" s="437"/>
      <c r="X65" s="437"/>
      <c r="Y65" s="437"/>
      <c r="Z65" s="437"/>
      <c r="AA65" s="437"/>
      <c r="AB65" s="437"/>
      <c r="AC65" s="437"/>
    </row>
    <row r="66" spans="2:29">
      <c r="P66" s="174" t="s">
        <v>848</v>
      </c>
      <c r="Q66" s="174" t="s">
        <v>74</v>
      </c>
    </row>
    <row r="67" spans="2:29">
      <c r="B67" t="s">
        <v>436</v>
      </c>
      <c r="P67" s="174" t="s">
        <v>64</v>
      </c>
      <c r="Q67" s="522" t="s">
        <v>902</v>
      </c>
      <c r="R67" s="522" t="s">
        <v>86</v>
      </c>
    </row>
    <row r="68" spans="2:29">
      <c r="P68" s="88" t="s">
        <v>73</v>
      </c>
      <c r="Q68" s="233">
        <v>0</v>
      </c>
      <c r="R68" s="233">
        <v>0</v>
      </c>
    </row>
    <row r="69" spans="2:29">
      <c r="B69" s="234" t="s">
        <v>7</v>
      </c>
      <c r="C69" s="234" t="s">
        <v>68</v>
      </c>
      <c r="D69" s="234" t="s">
        <v>69</v>
      </c>
      <c r="E69" s="234" t="s">
        <v>70</v>
      </c>
      <c r="P69" s="88" t="s">
        <v>850</v>
      </c>
      <c r="Q69" s="233">
        <v>0</v>
      </c>
      <c r="R69" s="233">
        <v>0</v>
      </c>
    </row>
    <row r="70" spans="2:29">
      <c r="B70" s="234">
        <f>$C$1</f>
        <v>2024</v>
      </c>
      <c r="C70" s="234">
        <v>1</v>
      </c>
      <c r="D70" s="437" t="s">
        <v>73</v>
      </c>
      <c r="E70" s="178" t="e">
        <f>GETPIVOTDATA("[Measures].[Somme de Demande_jour]",$P$66,"[Tab_concat].[Dates (année)]","[Tab_concat].[Dates (année)].&amp;["&amp;$B70&amp;"]","[Tab_concat].[Dates (mois)]","[Tab_concat].[Dates (mois)].&amp;["&amp;$D70&amp;"]")</f>
        <v>#REF!</v>
      </c>
      <c r="P70" s="88" t="s">
        <v>77</v>
      </c>
      <c r="Q70" s="233">
        <v>0</v>
      </c>
      <c r="R70" s="233">
        <v>0</v>
      </c>
    </row>
    <row r="71" spans="2:29">
      <c r="B71" s="234">
        <f t="shared" ref="B71:B81" si="16">$C$1</f>
        <v>2024</v>
      </c>
      <c r="C71" s="234">
        <v>2</v>
      </c>
      <c r="D71" s="88" t="s">
        <v>850</v>
      </c>
      <c r="E71" s="178" t="e">
        <f t="shared" ref="E71:E93" si="17">GETPIVOTDATA("[Measures].[Somme de Demande_jour]",$P$66,"[Tab_concat].[Dates (année)]","[Tab_concat].[Dates (année)].&amp;["&amp;$B71&amp;"]","[Tab_concat].[Dates (mois)]","[Tab_concat].[Dates (mois)].&amp;["&amp;$D71&amp;"]")</f>
        <v>#REF!</v>
      </c>
      <c r="P71" s="88" t="s">
        <v>79</v>
      </c>
      <c r="Q71" s="233">
        <v>0</v>
      </c>
      <c r="R71" s="233">
        <v>0</v>
      </c>
    </row>
    <row r="72" spans="2:29">
      <c r="B72" s="234">
        <f t="shared" si="16"/>
        <v>2024</v>
      </c>
      <c r="C72" s="234">
        <v>3</v>
      </c>
      <c r="D72" s="437" t="s">
        <v>77</v>
      </c>
      <c r="E72" s="178" t="e">
        <f t="shared" si="17"/>
        <v>#REF!</v>
      </c>
      <c r="P72" s="88" t="s">
        <v>80</v>
      </c>
      <c r="Q72" s="233">
        <v>0</v>
      </c>
      <c r="R72" s="233">
        <v>0</v>
      </c>
    </row>
    <row r="73" spans="2:29">
      <c r="B73" s="234">
        <f t="shared" si="16"/>
        <v>2024</v>
      </c>
      <c r="C73" s="234">
        <v>4</v>
      </c>
      <c r="D73" s="437" t="s">
        <v>79</v>
      </c>
      <c r="E73" s="178" t="e">
        <f t="shared" si="17"/>
        <v>#REF!</v>
      </c>
      <c r="P73" s="88" t="s">
        <v>81</v>
      </c>
      <c r="Q73" s="233">
        <v>0</v>
      </c>
      <c r="R73" s="233">
        <v>0</v>
      </c>
    </row>
    <row r="74" spans="2:29">
      <c r="B74" s="234">
        <f t="shared" si="16"/>
        <v>2024</v>
      </c>
      <c r="C74" s="234">
        <v>5</v>
      </c>
      <c r="D74" s="437" t="s">
        <v>80</v>
      </c>
      <c r="E74" s="178" t="e">
        <f t="shared" si="17"/>
        <v>#REF!</v>
      </c>
      <c r="P74" s="88" t="s">
        <v>82</v>
      </c>
      <c r="Q74" s="233">
        <v>0</v>
      </c>
      <c r="R74" s="233">
        <v>0</v>
      </c>
    </row>
    <row r="75" spans="2:29">
      <c r="B75" s="234">
        <f t="shared" si="16"/>
        <v>2024</v>
      </c>
      <c r="C75" s="234">
        <v>6</v>
      </c>
      <c r="D75" s="437" t="s">
        <v>81</v>
      </c>
      <c r="E75" s="178" t="e">
        <f t="shared" si="17"/>
        <v>#REF!</v>
      </c>
      <c r="P75" s="88" t="s">
        <v>851</v>
      </c>
      <c r="Q75" s="233">
        <v>0</v>
      </c>
      <c r="R75" s="233">
        <v>0</v>
      </c>
    </row>
    <row r="76" spans="2:29">
      <c r="B76" s="234">
        <f t="shared" si="16"/>
        <v>2024</v>
      </c>
      <c r="C76" s="234">
        <v>7</v>
      </c>
      <c r="D76" s="437" t="s">
        <v>82</v>
      </c>
      <c r="E76" s="178" t="e">
        <f t="shared" si="17"/>
        <v>#REF!</v>
      </c>
      <c r="P76" s="88" t="s">
        <v>83</v>
      </c>
      <c r="Q76" s="233">
        <v>0</v>
      </c>
      <c r="R76" s="233">
        <v>0</v>
      </c>
    </row>
    <row r="77" spans="2:29">
      <c r="B77" s="234">
        <f t="shared" si="16"/>
        <v>2024</v>
      </c>
      <c r="C77" s="234">
        <v>8</v>
      </c>
      <c r="D77" s="437" t="s">
        <v>851</v>
      </c>
      <c r="E77" s="178" t="e">
        <f t="shared" si="17"/>
        <v>#REF!</v>
      </c>
      <c r="P77" s="88" t="s">
        <v>84</v>
      </c>
      <c r="Q77" s="233">
        <v>0</v>
      </c>
      <c r="R77" s="233">
        <v>0</v>
      </c>
    </row>
    <row r="78" spans="2:29">
      <c r="B78" s="234">
        <f t="shared" si="16"/>
        <v>2024</v>
      </c>
      <c r="C78" s="234">
        <v>9</v>
      </c>
      <c r="D78" s="437" t="s">
        <v>83</v>
      </c>
      <c r="E78" s="178" t="e">
        <f t="shared" si="17"/>
        <v>#REF!</v>
      </c>
      <c r="P78" s="88" t="s">
        <v>85</v>
      </c>
      <c r="Q78" s="233">
        <v>0</v>
      </c>
      <c r="R78" s="233">
        <v>0</v>
      </c>
    </row>
    <row r="79" spans="2:29">
      <c r="B79" s="234">
        <f t="shared" si="16"/>
        <v>2024</v>
      </c>
      <c r="C79" s="234">
        <v>10</v>
      </c>
      <c r="D79" s="437" t="s">
        <v>84</v>
      </c>
      <c r="E79" s="178" t="e">
        <f t="shared" si="17"/>
        <v>#REF!</v>
      </c>
      <c r="P79" s="88" t="s">
        <v>852</v>
      </c>
      <c r="Q79" s="233">
        <v>0</v>
      </c>
      <c r="R79" s="233">
        <v>0</v>
      </c>
    </row>
    <row r="80" spans="2:29">
      <c r="B80" s="234">
        <f t="shared" si="16"/>
        <v>2024</v>
      </c>
      <c r="C80" s="234">
        <v>11</v>
      </c>
      <c r="D80" s="437" t="s">
        <v>85</v>
      </c>
      <c r="E80" s="178" t="e">
        <f t="shared" si="17"/>
        <v>#REF!</v>
      </c>
      <c r="P80" s="88" t="s">
        <v>86</v>
      </c>
      <c r="Q80" s="233">
        <v>0</v>
      </c>
      <c r="R80" s="233">
        <v>0</v>
      </c>
    </row>
    <row r="81" spans="2:23">
      <c r="B81" s="234">
        <f t="shared" si="16"/>
        <v>2024</v>
      </c>
      <c r="C81" s="234">
        <v>12</v>
      </c>
      <c r="D81" s="437" t="s">
        <v>852</v>
      </c>
      <c r="E81" s="178" t="e">
        <f t="shared" si="17"/>
        <v>#REF!</v>
      </c>
    </row>
    <row r="82" spans="2:23">
      <c r="B82" s="234">
        <f>$C$2</f>
        <v>2025</v>
      </c>
      <c r="C82" s="234">
        <v>1</v>
      </c>
      <c r="D82" s="437" t="s">
        <v>73</v>
      </c>
      <c r="E82" s="178" t="e">
        <f t="shared" si="17"/>
        <v>#REF!</v>
      </c>
      <c r="F82" s="177" t="e">
        <f>(E82-E70)/E70</f>
        <v>#REF!</v>
      </c>
    </row>
    <row r="83" spans="2:23">
      <c r="B83" s="234">
        <f t="shared" ref="B83:B93" si="18">$C$2</f>
        <v>2025</v>
      </c>
      <c r="C83" s="234">
        <v>2</v>
      </c>
      <c r="D83" s="88" t="s">
        <v>850</v>
      </c>
      <c r="E83" s="178" t="e">
        <f t="shared" si="17"/>
        <v>#REF!</v>
      </c>
      <c r="F83" s="177" t="e">
        <f t="shared" ref="F83:F93" si="19">(E83-E71)/E71</f>
        <v>#REF!</v>
      </c>
    </row>
    <row r="84" spans="2:23">
      <c r="B84" s="234">
        <f t="shared" si="18"/>
        <v>2025</v>
      </c>
      <c r="C84" s="234">
        <v>3</v>
      </c>
      <c r="D84" s="437" t="s">
        <v>77</v>
      </c>
      <c r="E84" s="178" t="e">
        <f t="shared" si="17"/>
        <v>#REF!</v>
      </c>
      <c r="F84" s="177" t="e">
        <f t="shared" si="19"/>
        <v>#REF!</v>
      </c>
    </row>
    <row r="85" spans="2:23">
      <c r="B85" s="234">
        <f t="shared" si="18"/>
        <v>2025</v>
      </c>
      <c r="C85" s="234">
        <v>4</v>
      </c>
      <c r="D85" s="437" t="s">
        <v>79</v>
      </c>
      <c r="E85" s="178" t="e">
        <f t="shared" si="17"/>
        <v>#REF!</v>
      </c>
      <c r="F85" s="177" t="e">
        <f t="shared" si="19"/>
        <v>#REF!</v>
      </c>
    </row>
    <row r="86" spans="2:23">
      <c r="B86" s="234">
        <f t="shared" si="18"/>
        <v>2025</v>
      </c>
      <c r="C86" s="234">
        <v>5</v>
      </c>
      <c r="D86" s="437" t="s">
        <v>80</v>
      </c>
      <c r="E86" s="178" t="e">
        <f t="shared" si="17"/>
        <v>#REF!</v>
      </c>
      <c r="F86" s="177" t="e">
        <f t="shared" si="19"/>
        <v>#REF!</v>
      </c>
    </row>
    <row r="87" spans="2:23">
      <c r="B87" s="234">
        <f t="shared" si="18"/>
        <v>2025</v>
      </c>
      <c r="C87" s="234">
        <v>6</v>
      </c>
      <c r="D87" s="437" t="s">
        <v>81</v>
      </c>
      <c r="E87" s="178" t="e">
        <f t="shared" si="17"/>
        <v>#REF!</v>
      </c>
      <c r="F87" s="177" t="e">
        <f t="shared" si="19"/>
        <v>#REF!</v>
      </c>
    </row>
    <row r="88" spans="2:23">
      <c r="B88" s="234">
        <f t="shared" si="18"/>
        <v>2025</v>
      </c>
      <c r="C88" s="234">
        <v>7</v>
      </c>
      <c r="D88" s="437" t="s">
        <v>82</v>
      </c>
      <c r="E88" s="178" t="e">
        <f t="shared" si="17"/>
        <v>#REF!</v>
      </c>
      <c r="F88" s="177" t="e">
        <f t="shared" si="19"/>
        <v>#REF!</v>
      </c>
    </row>
    <row r="89" spans="2:23">
      <c r="B89" s="234">
        <f t="shared" si="18"/>
        <v>2025</v>
      </c>
      <c r="C89" s="234">
        <v>8</v>
      </c>
      <c r="D89" s="437" t="s">
        <v>851</v>
      </c>
      <c r="E89" s="178" t="e">
        <f t="shared" si="17"/>
        <v>#REF!</v>
      </c>
      <c r="F89" s="177" t="e">
        <f t="shared" si="19"/>
        <v>#REF!</v>
      </c>
    </row>
    <row r="90" spans="2:23">
      <c r="B90" s="234">
        <f t="shared" si="18"/>
        <v>2025</v>
      </c>
      <c r="C90" s="234">
        <v>9</v>
      </c>
      <c r="D90" s="437" t="s">
        <v>83</v>
      </c>
      <c r="E90" s="178" t="e">
        <f t="shared" si="17"/>
        <v>#REF!</v>
      </c>
      <c r="F90" s="177" t="e">
        <f t="shared" si="19"/>
        <v>#REF!</v>
      </c>
    </row>
    <row r="91" spans="2:23">
      <c r="B91" s="234">
        <f t="shared" si="18"/>
        <v>2025</v>
      </c>
      <c r="C91" s="234">
        <v>10</v>
      </c>
      <c r="D91" s="437" t="s">
        <v>84</v>
      </c>
      <c r="E91" s="178" t="e">
        <f t="shared" si="17"/>
        <v>#REF!</v>
      </c>
      <c r="F91" s="177" t="e">
        <f t="shared" si="19"/>
        <v>#REF!</v>
      </c>
    </row>
    <row r="92" spans="2:23">
      <c r="B92" s="234">
        <f t="shared" si="18"/>
        <v>2025</v>
      </c>
      <c r="C92" s="234">
        <v>11</v>
      </c>
      <c r="D92" s="437" t="s">
        <v>85</v>
      </c>
      <c r="E92" s="178" t="e">
        <f t="shared" si="17"/>
        <v>#REF!</v>
      </c>
      <c r="F92" s="177" t="e">
        <f t="shared" si="19"/>
        <v>#REF!</v>
      </c>
      <c r="P92" s="174" t="s">
        <v>64</v>
      </c>
      <c r="Q92" t="s">
        <v>78</v>
      </c>
      <c r="V92" s="174" t="s">
        <v>64</v>
      </c>
      <c r="W92" t="s">
        <v>855</v>
      </c>
    </row>
    <row r="93" spans="2:23">
      <c r="B93" s="234">
        <f t="shared" si="18"/>
        <v>2025</v>
      </c>
      <c r="C93" s="234">
        <v>12</v>
      </c>
      <c r="D93" s="437" t="s">
        <v>852</v>
      </c>
      <c r="E93" s="178" t="e">
        <f t="shared" si="17"/>
        <v>#REF!</v>
      </c>
      <c r="F93" s="177" t="e">
        <f t="shared" si="19"/>
        <v>#REF!</v>
      </c>
      <c r="P93" s="88">
        <v>2001</v>
      </c>
      <c r="Q93" s="233">
        <v>2423</v>
      </c>
      <c r="V93" s="88">
        <v>1</v>
      </c>
      <c r="W93" s="233">
        <v>383.34615384615387</v>
      </c>
    </row>
    <row r="94" spans="2:23">
      <c r="P94" s="175">
        <v>1</v>
      </c>
      <c r="Q94" s="233">
        <v>382</v>
      </c>
      <c r="V94" s="88">
        <v>2</v>
      </c>
      <c r="W94" s="233">
        <v>325.23076923076923</v>
      </c>
    </row>
    <row r="95" spans="2:23">
      <c r="P95" s="175">
        <v>2</v>
      </c>
      <c r="Q95" s="233">
        <v>322</v>
      </c>
      <c r="V95" s="88">
        <v>3</v>
      </c>
      <c r="W95" s="233">
        <v>284.72000000000003</v>
      </c>
    </row>
    <row r="96" spans="2:23">
      <c r="P96" s="175">
        <v>3</v>
      </c>
      <c r="Q96" s="233">
        <v>259</v>
      </c>
      <c r="V96" s="88">
        <v>4</v>
      </c>
      <c r="W96" s="233">
        <v>196.68</v>
      </c>
    </row>
    <row r="97" spans="16:23">
      <c r="P97" s="175">
        <v>4</v>
      </c>
      <c r="Q97" s="233">
        <v>246</v>
      </c>
      <c r="V97" s="88">
        <v>5</v>
      </c>
      <c r="W97" s="233">
        <v>116.56</v>
      </c>
    </row>
    <row r="98" spans="16:23">
      <c r="P98" s="175">
        <v>5</v>
      </c>
      <c r="Q98" s="233">
        <v>106</v>
      </c>
      <c r="V98" s="88">
        <v>6</v>
      </c>
      <c r="W98" s="233">
        <v>46.56</v>
      </c>
    </row>
    <row r="99" spans="16:23">
      <c r="P99" s="175">
        <v>6</v>
      </c>
      <c r="Q99" s="233">
        <v>70</v>
      </c>
      <c r="V99" s="88">
        <v>7</v>
      </c>
      <c r="W99" s="233">
        <v>27.88</v>
      </c>
    </row>
    <row r="100" spans="16:23">
      <c r="P100" s="175">
        <v>7</v>
      </c>
      <c r="Q100" s="233">
        <v>33</v>
      </c>
      <c r="V100" s="88">
        <v>8</v>
      </c>
      <c r="W100" s="233">
        <v>33.200000000000003</v>
      </c>
    </row>
    <row r="101" spans="16:23">
      <c r="P101" s="175">
        <v>8</v>
      </c>
      <c r="Q101" s="233">
        <v>30</v>
      </c>
      <c r="V101" s="88">
        <v>9</v>
      </c>
      <c r="W101" s="233">
        <v>73.27600000000001</v>
      </c>
    </row>
    <row r="102" spans="16:23">
      <c r="P102" s="175">
        <v>9</v>
      </c>
      <c r="Q102" s="233">
        <v>115</v>
      </c>
      <c r="V102" s="88">
        <v>10</v>
      </c>
      <c r="W102" s="233">
        <v>147.16</v>
      </c>
    </row>
    <row r="103" spans="16:23">
      <c r="P103" s="175">
        <v>10</v>
      </c>
      <c r="Q103" s="233">
        <v>87</v>
      </c>
      <c r="V103" s="88">
        <v>11</v>
      </c>
      <c r="W103" s="233">
        <v>269.83999999999997</v>
      </c>
    </row>
    <row r="104" spans="16:23">
      <c r="P104" s="175">
        <v>11</v>
      </c>
      <c r="Q104" s="233">
        <v>330</v>
      </c>
      <c r="V104" s="88">
        <v>12</v>
      </c>
      <c r="W104" s="233">
        <v>367.8</v>
      </c>
    </row>
    <row r="105" spans="16:23">
      <c r="P105" s="175">
        <v>12</v>
      </c>
      <c r="Q105" s="233">
        <v>443</v>
      </c>
      <c r="V105" s="88" t="s">
        <v>76</v>
      </c>
      <c r="W105" s="233"/>
    </row>
    <row r="106" spans="16:23">
      <c r="P106" s="88">
        <v>2002</v>
      </c>
      <c r="Q106" s="233">
        <v>2195</v>
      </c>
      <c r="V106" s="88" t="s">
        <v>86</v>
      </c>
      <c r="W106" s="233">
        <v>190.44668874172186</v>
      </c>
    </row>
    <row r="107" spans="16:23">
      <c r="P107" s="175">
        <v>1</v>
      </c>
      <c r="Q107" s="233">
        <v>342</v>
      </c>
    </row>
    <row r="108" spans="16:23">
      <c r="P108" s="175">
        <v>2</v>
      </c>
      <c r="Q108" s="233">
        <v>262</v>
      </c>
    </row>
    <row r="109" spans="16:23">
      <c r="P109" s="175">
        <v>3</v>
      </c>
      <c r="Q109" s="233">
        <v>281</v>
      </c>
    </row>
    <row r="110" spans="16:23">
      <c r="P110" s="175">
        <v>4</v>
      </c>
      <c r="Q110" s="233">
        <v>202</v>
      </c>
    </row>
    <row r="111" spans="16:23">
      <c r="P111" s="175">
        <v>5</v>
      </c>
      <c r="Q111" s="233">
        <v>147</v>
      </c>
    </row>
    <row r="112" spans="16:23">
      <c r="P112" s="175">
        <v>6</v>
      </c>
      <c r="Q112" s="233">
        <v>59</v>
      </c>
    </row>
    <row r="113" spans="16:17">
      <c r="P113" s="175">
        <v>7</v>
      </c>
      <c r="Q113" s="233">
        <v>50</v>
      </c>
    </row>
    <row r="114" spans="16:17">
      <c r="P114" s="175">
        <v>8</v>
      </c>
      <c r="Q114" s="233">
        <v>39</v>
      </c>
    </row>
    <row r="115" spans="16:17">
      <c r="P115" s="175">
        <v>9</v>
      </c>
      <c r="Q115" s="233">
        <v>92</v>
      </c>
    </row>
    <row r="116" spans="16:17">
      <c r="P116" s="175">
        <v>10</v>
      </c>
      <c r="Q116" s="233">
        <v>158</v>
      </c>
    </row>
    <row r="117" spans="16:17">
      <c r="P117" s="175">
        <v>11</v>
      </c>
      <c r="Q117" s="233">
        <v>249</v>
      </c>
    </row>
    <row r="118" spans="16:17">
      <c r="P118" s="175">
        <v>12</v>
      </c>
      <c r="Q118" s="233">
        <v>314</v>
      </c>
    </row>
    <row r="119" spans="16:17">
      <c r="P119" s="88">
        <v>2003</v>
      </c>
      <c r="Q119" s="233">
        <v>2384</v>
      </c>
    </row>
    <row r="120" spans="16:17">
      <c r="P120" s="175">
        <v>1</v>
      </c>
      <c r="Q120" s="233">
        <v>451</v>
      </c>
    </row>
    <row r="121" spans="16:17">
      <c r="P121" s="175">
        <v>2</v>
      </c>
      <c r="Q121" s="233">
        <v>368</v>
      </c>
    </row>
    <row r="122" spans="16:17">
      <c r="P122" s="175">
        <v>3</v>
      </c>
      <c r="Q122" s="233">
        <v>234</v>
      </c>
    </row>
    <row r="123" spans="16:17">
      <c r="P123" s="175">
        <v>4</v>
      </c>
      <c r="Q123" s="233">
        <v>198</v>
      </c>
    </row>
    <row r="124" spans="16:17">
      <c r="P124" s="175">
        <v>5</v>
      </c>
      <c r="Q124" s="233">
        <v>127</v>
      </c>
    </row>
    <row r="125" spans="16:17">
      <c r="P125" s="175">
        <v>6</v>
      </c>
      <c r="Q125" s="233">
        <v>18</v>
      </c>
    </row>
    <row r="126" spans="16:17">
      <c r="P126" s="175">
        <v>7</v>
      </c>
      <c r="Q126" s="233">
        <v>22</v>
      </c>
    </row>
    <row r="127" spans="16:17">
      <c r="P127" s="175">
        <v>8</v>
      </c>
      <c r="Q127" s="233">
        <v>17</v>
      </c>
    </row>
    <row r="128" spans="16:17">
      <c r="P128" s="175">
        <v>9</v>
      </c>
      <c r="Q128" s="233">
        <v>78</v>
      </c>
    </row>
    <row r="129" spans="16:17">
      <c r="P129" s="175">
        <v>10</v>
      </c>
      <c r="Q129" s="233">
        <v>234</v>
      </c>
    </row>
    <row r="130" spans="16:17">
      <c r="P130" s="175">
        <v>11</v>
      </c>
      <c r="Q130" s="233">
        <v>257</v>
      </c>
    </row>
    <row r="131" spans="16:17">
      <c r="P131" s="175">
        <v>12</v>
      </c>
      <c r="Q131" s="233">
        <v>380</v>
      </c>
    </row>
    <row r="132" spans="16:17">
      <c r="P132" s="88">
        <v>2004</v>
      </c>
      <c r="Q132" s="233">
        <v>2472</v>
      </c>
    </row>
    <row r="133" spans="16:17">
      <c r="P133" s="175">
        <v>1</v>
      </c>
      <c r="Q133" s="233">
        <v>372</v>
      </c>
    </row>
    <row r="134" spans="16:17">
      <c r="P134" s="175">
        <v>2</v>
      </c>
      <c r="Q134" s="233">
        <v>346</v>
      </c>
    </row>
    <row r="135" spans="16:17">
      <c r="P135" s="175">
        <v>3</v>
      </c>
      <c r="Q135" s="233">
        <v>335</v>
      </c>
    </row>
    <row r="136" spans="16:17">
      <c r="P136" s="175">
        <v>4</v>
      </c>
      <c r="Q136" s="233">
        <v>210</v>
      </c>
    </row>
    <row r="137" spans="16:17">
      <c r="P137" s="175">
        <v>5</v>
      </c>
      <c r="Q137" s="233">
        <v>141</v>
      </c>
    </row>
    <row r="138" spans="16:17">
      <c r="P138" s="175">
        <v>6</v>
      </c>
      <c r="Q138" s="233">
        <v>53</v>
      </c>
    </row>
    <row r="139" spans="16:17">
      <c r="P139" s="175">
        <v>7</v>
      </c>
      <c r="Q139" s="233">
        <v>41</v>
      </c>
    </row>
    <row r="140" spans="16:17">
      <c r="P140" s="175">
        <v>8</v>
      </c>
      <c r="Q140" s="233">
        <v>25</v>
      </c>
    </row>
    <row r="141" spans="16:17">
      <c r="P141" s="175">
        <v>9</v>
      </c>
      <c r="Q141" s="233">
        <v>71</v>
      </c>
    </row>
    <row r="142" spans="16:17">
      <c r="P142" s="175">
        <v>10</v>
      </c>
      <c r="Q142" s="233">
        <v>156</v>
      </c>
    </row>
    <row r="143" spans="16:17">
      <c r="P143" s="175">
        <v>11</v>
      </c>
      <c r="Q143" s="233">
        <v>298</v>
      </c>
    </row>
    <row r="144" spans="16:17">
      <c r="P144" s="175">
        <v>12</v>
      </c>
      <c r="Q144" s="233">
        <v>424</v>
      </c>
    </row>
    <row r="145" spans="16:17">
      <c r="P145" s="88">
        <v>2005</v>
      </c>
      <c r="Q145" s="233">
        <v>2428</v>
      </c>
    </row>
    <row r="146" spans="16:17">
      <c r="P146" s="175">
        <v>1</v>
      </c>
      <c r="Q146" s="233">
        <v>363</v>
      </c>
    </row>
    <row r="147" spans="16:17">
      <c r="P147" s="175">
        <v>2</v>
      </c>
      <c r="Q147" s="233">
        <v>386</v>
      </c>
    </row>
    <row r="148" spans="16:17">
      <c r="P148" s="175">
        <v>3</v>
      </c>
      <c r="Q148" s="233">
        <v>312</v>
      </c>
    </row>
    <row r="149" spans="16:17">
      <c r="P149" s="175">
        <v>4</v>
      </c>
      <c r="Q149" s="233">
        <v>206</v>
      </c>
    </row>
    <row r="150" spans="16:17">
      <c r="P150" s="175">
        <v>5</v>
      </c>
      <c r="Q150" s="233">
        <v>129</v>
      </c>
    </row>
    <row r="151" spans="16:17">
      <c r="P151" s="175">
        <v>6</v>
      </c>
      <c r="Q151" s="233">
        <v>47</v>
      </c>
    </row>
    <row r="152" spans="16:17">
      <c r="P152" s="175">
        <v>7</v>
      </c>
      <c r="Q152" s="233">
        <v>23</v>
      </c>
    </row>
    <row r="153" spans="16:17">
      <c r="P153" s="175">
        <v>8</v>
      </c>
      <c r="Q153" s="233">
        <v>52</v>
      </c>
    </row>
    <row r="154" spans="16:17">
      <c r="P154" s="175">
        <v>9</v>
      </c>
      <c r="Q154" s="233">
        <v>69</v>
      </c>
    </row>
    <row r="155" spans="16:17">
      <c r="P155" s="175">
        <v>10</v>
      </c>
      <c r="Q155" s="233">
        <v>74</v>
      </c>
    </row>
    <row r="156" spans="16:17">
      <c r="P156" s="175">
        <v>11</v>
      </c>
      <c r="Q156" s="233">
        <v>327</v>
      </c>
    </row>
    <row r="157" spans="16:17">
      <c r="P157" s="175">
        <v>12</v>
      </c>
      <c r="Q157" s="233">
        <v>440</v>
      </c>
    </row>
    <row r="158" spans="16:17">
      <c r="P158" s="88">
        <v>2006</v>
      </c>
      <c r="Q158" s="233">
        <v>2355</v>
      </c>
    </row>
    <row r="159" spans="16:17">
      <c r="P159" s="175">
        <v>1</v>
      </c>
      <c r="Q159" s="233">
        <v>432</v>
      </c>
    </row>
    <row r="160" spans="16:17">
      <c r="P160" s="175">
        <v>2</v>
      </c>
      <c r="Q160" s="233">
        <v>396</v>
      </c>
    </row>
    <row r="161" spans="16:17">
      <c r="P161" s="175">
        <v>3</v>
      </c>
      <c r="Q161" s="233">
        <v>331</v>
      </c>
    </row>
    <row r="162" spans="16:17">
      <c r="P162" s="175">
        <v>4</v>
      </c>
      <c r="Q162" s="233">
        <v>217</v>
      </c>
    </row>
    <row r="163" spans="16:17">
      <c r="P163" s="175">
        <v>5</v>
      </c>
      <c r="Q163" s="233">
        <v>114</v>
      </c>
    </row>
    <row r="164" spans="16:17">
      <c r="P164" s="175">
        <v>6</v>
      </c>
      <c r="Q164" s="233">
        <v>42</v>
      </c>
    </row>
    <row r="165" spans="16:17">
      <c r="P165" s="175">
        <v>7</v>
      </c>
      <c r="Q165" s="233">
        <v>5</v>
      </c>
    </row>
    <row r="166" spans="16:17">
      <c r="P166" s="175">
        <v>8</v>
      </c>
      <c r="Q166" s="233">
        <v>51</v>
      </c>
    </row>
    <row r="167" spans="16:17">
      <c r="P167" s="175">
        <v>9</v>
      </c>
      <c r="Q167" s="233">
        <v>33</v>
      </c>
    </row>
    <row r="168" spans="16:17">
      <c r="P168" s="175">
        <v>10</v>
      </c>
      <c r="Q168" s="233">
        <v>95</v>
      </c>
    </row>
    <row r="169" spans="16:17">
      <c r="P169" s="175">
        <v>11</v>
      </c>
      <c r="Q169" s="233">
        <v>252</v>
      </c>
    </row>
    <row r="170" spans="16:17">
      <c r="P170" s="175">
        <v>12</v>
      </c>
      <c r="Q170" s="233">
        <v>387</v>
      </c>
    </row>
    <row r="171" spans="16:17">
      <c r="P171" s="88">
        <v>2007</v>
      </c>
      <c r="Q171" s="233">
        <v>2261</v>
      </c>
    </row>
    <row r="172" spans="16:17">
      <c r="P172" s="175">
        <v>1</v>
      </c>
      <c r="Q172" s="233">
        <v>320</v>
      </c>
    </row>
    <row r="173" spans="16:17">
      <c r="P173" s="175">
        <v>2</v>
      </c>
      <c r="Q173" s="233">
        <v>263</v>
      </c>
    </row>
    <row r="174" spans="16:17">
      <c r="P174" s="175">
        <v>3</v>
      </c>
      <c r="Q174" s="233">
        <v>309</v>
      </c>
    </row>
    <row r="175" spans="16:17">
      <c r="P175" s="175">
        <v>4</v>
      </c>
      <c r="Q175" s="233">
        <v>123</v>
      </c>
    </row>
    <row r="176" spans="16:17">
      <c r="P176" s="175">
        <v>5</v>
      </c>
      <c r="Q176" s="233">
        <v>94</v>
      </c>
    </row>
    <row r="177" spans="16:17">
      <c r="P177" s="175">
        <v>6</v>
      </c>
      <c r="Q177" s="233">
        <v>47</v>
      </c>
    </row>
    <row r="178" spans="16:17">
      <c r="P178" s="175">
        <v>7</v>
      </c>
      <c r="Q178" s="233">
        <v>42</v>
      </c>
    </row>
    <row r="179" spans="16:17">
      <c r="P179" s="175">
        <v>8</v>
      </c>
      <c r="Q179" s="233">
        <v>47</v>
      </c>
    </row>
    <row r="180" spans="16:17">
      <c r="P180" s="175">
        <v>9</v>
      </c>
      <c r="Q180" s="233">
        <v>109</v>
      </c>
    </row>
    <row r="181" spans="16:17">
      <c r="P181" s="175">
        <v>10</v>
      </c>
      <c r="Q181" s="233">
        <v>188</v>
      </c>
    </row>
    <row r="182" spans="16:17">
      <c r="P182" s="175">
        <v>11</v>
      </c>
      <c r="Q182" s="233">
        <v>316</v>
      </c>
    </row>
    <row r="183" spans="16:17">
      <c r="P183" s="175">
        <v>12</v>
      </c>
      <c r="Q183" s="233">
        <v>403</v>
      </c>
    </row>
    <row r="184" spans="16:17">
      <c r="P184" s="88">
        <v>2008</v>
      </c>
      <c r="Q184" s="233">
        <v>2436</v>
      </c>
    </row>
    <row r="185" spans="16:17">
      <c r="P185" s="175">
        <v>1</v>
      </c>
      <c r="Q185" s="233">
        <v>337</v>
      </c>
    </row>
    <row r="186" spans="16:17">
      <c r="P186" s="175">
        <v>2</v>
      </c>
      <c r="Q186" s="233">
        <v>302</v>
      </c>
    </row>
    <row r="187" spans="16:17">
      <c r="P187" s="175">
        <v>3</v>
      </c>
      <c r="Q187" s="233">
        <v>305</v>
      </c>
    </row>
    <row r="188" spans="16:17">
      <c r="P188" s="175">
        <v>4</v>
      </c>
      <c r="Q188" s="233">
        <v>239</v>
      </c>
    </row>
    <row r="189" spans="16:17">
      <c r="P189" s="175">
        <v>5</v>
      </c>
      <c r="Q189" s="233">
        <v>84</v>
      </c>
    </row>
    <row r="190" spans="16:17">
      <c r="P190" s="175">
        <v>6</v>
      </c>
      <c r="Q190" s="233">
        <v>57</v>
      </c>
    </row>
    <row r="191" spans="16:17">
      <c r="P191" s="175">
        <v>7</v>
      </c>
      <c r="Q191" s="233">
        <v>40</v>
      </c>
    </row>
    <row r="192" spans="16:17">
      <c r="P192" s="175">
        <v>8</v>
      </c>
      <c r="Q192" s="233">
        <v>41</v>
      </c>
    </row>
    <row r="193" spans="16:17">
      <c r="P193" s="175">
        <v>9</v>
      </c>
      <c r="Q193" s="233">
        <v>107</v>
      </c>
    </row>
    <row r="194" spans="16:17">
      <c r="P194" s="175">
        <v>10</v>
      </c>
      <c r="Q194" s="233">
        <v>211</v>
      </c>
    </row>
    <row r="195" spans="16:17">
      <c r="P195" s="175">
        <v>11</v>
      </c>
      <c r="Q195" s="233">
        <v>284</v>
      </c>
    </row>
    <row r="196" spans="16:17">
      <c r="P196" s="175">
        <v>12</v>
      </c>
      <c r="Q196" s="233">
        <v>429</v>
      </c>
    </row>
    <row r="197" spans="16:17">
      <c r="P197" s="88">
        <v>2009</v>
      </c>
      <c r="Q197" s="233">
        <v>2448</v>
      </c>
    </row>
    <row r="198" spans="16:17">
      <c r="P198" s="175">
        <v>1</v>
      </c>
      <c r="Q198" s="233">
        <v>492</v>
      </c>
    </row>
    <row r="199" spans="16:17">
      <c r="P199" s="175">
        <v>2</v>
      </c>
      <c r="Q199" s="233">
        <v>371</v>
      </c>
    </row>
    <row r="200" spans="16:17">
      <c r="P200" s="175">
        <v>3</v>
      </c>
      <c r="Q200" s="233">
        <v>310</v>
      </c>
    </row>
    <row r="201" spans="16:17">
      <c r="P201" s="175">
        <v>4</v>
      </c>
      <c r="Q201" s="233">
        <v>184</v>
      </c>
    </row>
    <row r="202" spans="16:17">
      <c r="P202" s="175">
        <v>5</v>
      </c>
      <c r="Q202" s="233">
        <v>106</v>
      </c>
    </row>
    <row r="203" spans="16:17">
      <c r="P203" s="175">
        <v>6</v>
      </c>
      <c r="Q203" s="233">
        <v>59</v>
      </c>
    </row>
    <row r="204" spans="16:17">
      <c r="P204" s="175">
        <v>7</v>
      </c>
      <c r="Q204" s="233">
        <v>35</v>
      </c>
    </row>
    <row r="205" spans="16:17">
      <c r="P205" s="175">
        <v>8</v>
      </c>
      <c r="Q205" s="233">
        <v>27</v>
      </c>
    </row>
    <row r="206" spans="16:17">
      <c r="P206" s="175">
        <v>9</v>
      </c>
      <c r="Q206" s="233">
        <v>64</v>
      </c>
    </row>
    <row r="207" spans="16:17">
      <c r="P207" s="175">
        <v>10</v>
      </c>
      <c r="Q207" s="233">
        <v>164</v>
      </c>
    </row>
    <row r="208" spans="16:17">
      <c r="P208" s="175">
        <v>11</v>
      </c>
      <c r="Q208" s="233">
        <v>222</v>
      </c>
    </row>
    <row r="209" spans="16:17">
      <c r="P209" s="175">
        <v>12</v>
      </c>
      <c r="Q209" s="233">
        <v>414</v>
      </c>
    </row>
    <row r="210" spans="16:17">
      <c r="P210" s="88">
        <v>2010</v>
      </c>
      <c r="Q210" s="233">
        <v>2751</v>
      </c>
    </row>
    <row r="211" spans="16:17">
      <c r="P211" s="175">
        <v>1</v>
      </c>
      <c r="Q211" s="233">
        <v>501</v>
      </c>
    </row>
    <row r="212" spans="16:17">
      <c r="P212" s="175">
        <v>2</v>
      </c>
      <c r="Q212" s="233">
        <v>370</v>
      </c>
    </row>
    <row r="213" spans="16:17">
      <c r="P213" s="175">
        <v>3</v>
      </c>
      <c r="Q213" s="233">
        <v>312</v>
      </c>
    </row>
    <row r="214" spans="16:17">
      <c r="P214" s="175">
        <v>4</v>
      </c>
      <c r="Q214" s="233">
        <v>199</v>
      </c>
    </row>
    <row r="215" spans="16:17">
      <c r="P215" s="175">
        <v>5</v>
      </c>
      <c r="Q215" s="233">
        <v>155</v>
      </c>
    </row>
    <row r="216" spans="16:17">
      <c r="P216" s="175">
        <v>6</v>
      </c>
      <c r="Q216" s="233">
        <v>46</v>
      </c>
    </row>
    <row r="217" spans="16:17">
      <c r="P217" s="175">
        <v>7</v>
      </c>
      <c r="Q217" s="233">
        <v>22</v>
      </c>
    </row>
    <row r="218" spans="16:17">
      <c r="P218" s="175">
        <v>8</v>
      </c>
      <c r="Q218" s="233">
        <v>41</v>
      </c>
    </row>
    <row r="219" spans="16:17">
      <c r="P219" s="175">
        <v>9</v>
      </c>
      <c r="Q219" s="233">
        <v>95</v>
      </c>
    </row>
    <row r="220" spans="16:17">
      <c r="P220" s="175">
        <v>10</v>
      </c>
      <c r="Q220" s="233">
        <v>190</v>
      </c>
    </row>
    <row r="221" spans="16:17">
      <c r="P221" s="175">
        <v>11</v>
      </c>
      <c r="Q221" s="233">
        <v>320</v>
      </c>
    </row>
    <row r="222" spans="16:17">
      <c r="P222" s="175">
        <v>12</v>
      </c>
      <c r="Q222" s="233">
        <v>500</v>
      </c>
    </row>
    <row r="223" spans="16:17">
      <c r="P223" s="88">
        <v>2011</v>
      </c>
      <c r="Q223" s="233">
        <v>2034</v>
      </c>
    </row>
    <row r="224" spans="16:17">
      <c r="P224" s="175">
        <v>1</v>
      </c>
      <c r="Q224" s="233">
        <v>392</v>
      </c>
    </row>
    <row r="225" spans="16:17">
      <c r="P225" s="175">
        <v>2</v>
      </c>
      <c r="Q225" s="233">
        <v>298</v>
      </c>
    </row>
    <row r="226" spans="16:17">
      <c r="P226" s="175">
        <v>3</v>
      </c>
      <c r="Q226" s="233">
        <v>265</v>
      </c>
    </row>
    <row r="227" spans="16:17">
      <c r="P227" s="175">
        <v>4</v>
      </c>
      <c r="Q227" s="233">
        <v>136</v>
      </c>
    </row>
    <row r="228" spans="16:17">
      <c r="P228" s="175">
        <v>5</v>
      </c>
      <c r="Q228" s="233">
        <v>92</v>
      </c>
    </row>
    <row r="229" spans="16:17">
      <c r="P229" s="175">
        <v>6</v>
      </c>
      <c r="Q229" s="233">
        <v>56</v>
      </c>
    </row>
    <row r="230" spans="16:17">
      <c r="P230" s="175">
        <v>7</v>
      </c>
      <c r="Q230" s="233">
        <v>51</v>
      </c>
    </row>
    <row r="231" spans="16:17">
      <c r="P231" s="175">
        <v>8</v>
      </c>
      <c r="Q231" s="233">
        <v>35</v>
      </c>
    </row>
    <row r="232" spans="16:17">
      <c r="P232" s="175">
        <v>9</v>
      </c>
      <c r="Q232" s="233">
        <v>53</v>
      </c>
    </row>
    <row r="233" spans="16:17">
      <c r="P233" s="175">
        <v>10</v>
      </c>
      <c r="Q233" s="233">
        <v>145</v>
      </c>
    </row>
    <row r="234" spans="16:17">
      <c r="P234" s="175">
        <v>11</v>
      </c>
      <c r="Q234" s="233">
        <v>204</v>
      </c>
    </row>
    <row r="235" spans="16:17">
      <c r="P235" s="175">
        <v>12</v>
      </c>
      <c r="Q235" s="233">
        <v>307</v>
      </c>
    </row>
    <row r="236" spans="16:17">
      <c r="P236" s="88">
        <v>2012</v>
      </c>
      <c r="Q236" s="233">
        <v>2459</v>
      </c>
    </row>
    <row r="237" spans="16:17">
      <c r="P237" s="175">
        <v>1</v>
      </c>
      <c r="Q237" s="233">
        <v>347</v>
      </c>
    </row>
    <row r="238" spans="16:17">
      <c r="P238" s="175">
        <v>2</v>
      </c>
      <c r="Q238" s="233">
        <v>469</v>
      </c>
    </row>
    <row r="239" spans="16:17">
      <c r="P239" s="175">
        <v>3</v>
      </c>
      <c r="Q239" s="233">
        <v>247</v>
      </c>
    </row>
    <row r="240" spans="16:17">
      <c r="P240" s="175">
        <v>4</v>
      </c>
      <c r="Q240" s="233">
        <v>253</v>
      </c>
    </row>
    <row r="241" spans="16:17">
      <c r="P241" s="175">
        <v>5</v>
      </c>
      <c r="Q241" s="233">
        <v>114</v>
      </c>
    </row>
    <row r="242" spans="16:17">
      <c r="P242" s="175">
        <v>6</v>
      </c>
      <c r="Q242" s="233">
        <v>59</v>
      </c>
    </row>
    <row r="243" spans="16:17">
      <c r="P243" s="175">
        <v>7</v>
      </c>
      <c r="Q243" s="233">
        <v>49</v>
      </c>
    </row>
    <row r="244" spans="16:17">
      <c r="P244" s="175">
        <v>8</v>
      </c>
      <c r="Q244" s="233">
        <v>28</v>
      </c>
    </row>
    <row r="245" spans="16:17">
      <c r="P245" s="175">
        <v>9</v>
      </c>
      <c r="Q245" s="233">
        <v>102</v>
      </c>
    </row>
    <row r="246" spans="16:17">
      <c r="P246" s="175">
        <v>10</v>
      </c>
      <c r="Q246" s="233">
        <v>161</v>
      </c>
    </row>
    <row r="247" spans="16:17">
      <c r="P247" s="175">
        <v>11</v>
      </c>
      <c r="Q247" s="233">
        <v>297</v>
      </c>
    </row>
    <row r="248" spans="16:17">
      <c r="P248" s="175">
        <v>12</v>
      </c>
      <c r="Q248" s="233">
        <v>333</v>
      </c>
    </row>
    <row r="249" spans="16:17">
      <c r="P249" s="88">
        <v>2013</v>
      </c>
      <c r="Q249" s="233">
        <v>2576</v>
      </c>
    </row>
    <row r="250" spans="16:17">
      <c r="P250" s="175">
        <v>1</v>
      </c>
      <c r="Q250" s="233">
        <v>409</v>
      </c>
    </row>
    <row r="251" spans="16:17">
      <c r="P251" s="175">
        <v>2</v>
      </c>
      <c r="Q251" s="233">
        <v>388</v>
      </c>
    </row>
    <row r="252" spans="16:17">
      <c r="P252" s="175">
        <v>3</v>
      </c>
      <c r="Q252" s="233">
        <v>359</v>
      </c>
    </row>
    <row r="253" spans="16:17">
      <c r="P253" s="175">
        <v>4</v>
      </c>
      <c r="Q253" s="233">
        <v>247</v>
      </c>
    </row>
    <row r="254" spans="16:17">
      <c r="P254" s="175">
        <v>5</v>
      </c>
      <c r="Q254" s="233">
        <v>175</v>
      </c>
    </row>
    <row r="255" spans="16:17">
      <c r="P255" s="175">
        <v>6</v>
      </c>
      <c r="Q255" s="233">
        <v>68</v>
      </c>
    </row>
    <row r="256" spans="16:17">
      <c r="P256" s="175">
        <v>7</v>
      </c>
      <c r="Q256" s="233">
        <v>13</v>
      </c>
    </row>
    <row r="257" spans="16:17">
      <c r="P257" s="175">
        <v>8</v>
      </c>
      <c r="Q257" s="233">
        <v>38</v>
      </c>
    </row>
    <row r="258" spans="16:17">
      <c r="P258" s="175">
        <v>9</v>
      </c>
      <c r="Q258" s="233">
        <v>69</v>
      </c>
    </row>
    <row r="259" spans="16:17">
      <c r="P259" s="175">
        <v>10</v>
      </c>
      <c r="Q259" s="233">
        <v>122</v>
      </c>
    </row>
    <row r="260" spans="16:17">
      <c r="P260" s="175">
        <v>11</v>
      </c>
      <c r="Q260" s="233">
        <v>308</v>
      </c>
    </row>
    <row r="261" spans="16:17">
      <c r="P261" s="175">
        <v>12</v>
      </c>
      <c r="Q261" s="233">
        <v>380</v>
      </c>
    </row>
    <row r="262" spans="16:17">
      <c r="P262" s="88">
        <v>2014</v>
      </c>
      <c r="Q262" s="233">
        <v>2064</v>
      </c>
    </row>
    <row r="263" spans="16:17">
      <c r="P263" s="175">
        <v>1</v>
      </c>
      <c r="Q263" s="233">
        <v>320</v>
      </c>
    </row>
    <row r="264" spans="16:17">
      <c r="P264" s="175">
        <v>2</v>
      </c>
      <c r="Q264" s="233">
        <v>280</v>
      </c>
    </row>
    <row r="265" spans="16:17">
      <c r="P265" s="175">
        <v>3</v>
      </c>
      <c r="Q265" s="233">
        <v>264</v>
      </c>
    </row>
    <row r="266" spans="16:17">
      <c r="P266" s="175">
        <v>4</v>
      </c>
      <c r="Q266" s="233">
        <v>174</v>
      </c>
    </row>
    <row r="267" spans="16:17">
      <c r="P267" s="175">
        <v>5</v>
      </c>
      <c r="Q267" s="233">
        <v>133</v>
      </c>
    </row>
    <row r="268" spans="16:17">
      <c r="P268" s="175">
        <v>6</v>
      </c>
      <c r="Q268" s="233">
        <v>48</v>
      </c>
    </row>
    <row r="269" spans="16:17">
      <c r="P269" s="175">
        <v>7</v>
      </c>
      <c r="Q269" s="233">
        <v>22</v>
      </c>
    </row>
    <row r="270" spans="16:17">
      <c r="P270" s="175">
        <v>8</v>
      </c>
      <c r="Q270" s="233">
        <v>52</v>
      </c>
    </row>
    <row r="271" spans="16:17">
      <c r="P271" s="175">
        <v>9</v>
      </c>
      <c r="Q271" s="233">
        <v>54</v>
      </c>
    </row>
    <row r="272" spans="16:17">
      <c r="P272" s="175">
        <v>10</v>
      </c>
      <c r="Q272" s="233">
        <v>124</v>
      </c>
    </row>
    <row r="273" spans="16:17">
      <c r="P273" s="175">
        <v>11</v>
      </c>
      <c r="Q273" s="233">
        <v>219</v>
      </c>
    </row>
    <row r="274" spans="16:17">
      <c r="P274" s="175">
        <v>12</v>
      </c>
      <c r="Q274" s="233">
        <v>374</v>
      </c>
    </row>
    <row r="275" spans="16:17">
      <c r="P275" s="88">
        <v>2015</v>
      </c>
      <c r="Q275" s="233">
        <v>2183</v>
      </c>
    </row>
    <row r="276" spans="16:17">
      <c r="P276" s="175">
        <v>1</v>
      </c>
      <c r="Q276" s="233">
        <v>391</v>
      </c>
    </row>
    <row r="277" spans="16:17">
      <c r="P277" s="175">
        <v>2</v>
      </c>
      <c r="Q277" s="233">
        <v>366</v>
      </c>
    </row>
    <row r="278" spans="16:17">
      <c r="P278" s="175">
        <v>3</v>
      </c>
      <c r="Q278" s="233">
        <v>300</v>
      </c>
    </row>
    <row r="279" spans="16:17">
      <c r="P279" s="175">
        <v>4</v>
      </c>
      <c r="Q279" s="233">
        <v>166</v>
      </c>
    </row>
    <row r="280" spans="16:17">
      <c r="P280" s="175">
        <v>5</v>
      </c>
      <c r="Q280" s="233">
        <v>120</v>
      </c>
    </row>
    <row r="281" spans="16:17">
      <c r="P281" s="175">
        <v>6</v>
      </c>
      <c r="Q281" s="233">
        <v>52</v>
      </c>
    </row>
    <row r="282" spans="16:17">
      <c r="P282" s="175">
        <v>7</v>
      </c>
      <c r="Q282" s="233">
        <v>29</v>
      </c>
    </row>
    <row r="283" spans="16:17">
      <c r="P283" s="175">
        <v>8</v>
      </c>
      <c r="Q283" s="233">
        <v>32</v>
      </c>
    </row>
    <row r="284" spans="16:17">
      <c r="P284" s="175">
        <v>9</v>
      </c>
      <c r="Q284" s="233">
        <v>97</v>
      </c>
    </row>
    <row r="285" spans="16:17">
      <c r="P285" s="175">
        <v>10</v>
      </c>
      <c r="Q285" s="233">
        <v>181</v>
      </c>
    </row>
    <row r="286" spans="16:17">
      <c r="P286" s="175">
        <v>11</v>
      </c>
      <c r="Q286" s="233">
        <v>191</v>
      </c>
    </row>
    <row r="287" spans="16:17">
      <c r="P287" s="175">
        <v>12</v>
      </c>
      <c r="Q287" s="233">
        <v>258</v>
      </c>
    </row>
    <row r="288" spans="16:17">
      <c r="P288" s="88">
        <v>2016</v>
      </c>
      <c r="Q288" s="233">
        <v>2421</v>
      </c>
    </row>
    <row r="289" spans="16:17">
      <c r="P289" s="175">
        <v>1</v>
      </c>
      <c r="Q289" s="233">
        <v>348</v>
      </c>
    </row>
    <row r="290" spans="16:17">
      <c r="P290" s="175">
        <v>2</v>
      </c>
      <c r="Q290" s="233">
        <v>319</v>
      </c>
    </row>
    <row r="291" spans="16:17">
      <c r="P291" s="175">
        <v>3</v>
      </c>
      <c r="Q291" s="233">
        <v>328</v>
      </c>
    </row>
    <row r="292" spans="16:17">
      <c r="P292" s="175">
        <v>4</v>
      </c>
      <c r="Q292" s="233">
        <v>252</v>
      </c>
    </row>
    <row r="293" spans="16:17">
      <c r="P293" s="175">
        <v>5</v>
      </c>
      <c r="Q293" s="233">
        <v>126</v>
      </c>
    </row>
    <row r="294" spans="16:17">
      <c r="P294" s="175">
        <v>6</v>
      </c>
      <c r="Q294" s="233">
        <v>48</v>
      </c>
    </row>
    <row r="295" spans="16:17">
      <c r="P295" s="175">
        <v>7</v>
      </c>
      <c r="Q295" s="233">
        <v>32</v>
      </c>
    </row>
    <row r="296" spans="16:17">
      <c r="P296" s="175">
        <v>8</v>
      </c>
      <c r="Q296" s="233">
        <v>34</v>
      </c>
    </row>
    <row r="297" spans="16:17">
      <c r="P297" s="175">
        <v>9</v>
      </c>
      <c r="Q297" s="233">
        <v>43</v>
      </c>
    </row>
    <row r="298" spans="16:17">
      <c r="P298" s="175">
        <v>10</v>
      </c>
      <c r="Q298" s="233">
        <v>202</v>
      </c>
    </row>
    <row r="299" spans="16:17">
      <c r="P299" s="175">
        <v>11</v>
      </c>
      <c r="Q299" s="233">
        <v>289</v>
      </c>
    </row>
    <row r="300" spans="16:17">
      <c r="P300" s="175">
        <v>12</v>
      </c>
      <c r="Q300" s="233">
        <v>400</v>
      </c>
    </row>
    <row r="301" spans="16:17">
      <c r="P301" s="88">
        <v>2017</v>
      </c>
      <c r="Q301" s="233">
        <v>2238</v>
      </c>
    </row>
    <row r="302" spans="16:17">
      <c r="P302" s="175">
        <v>1</v>
      </c>
      <c r="Q302" s="233">
        <v>455</v>
      </c>
    </row>
    <row r="303" spans="16:17">
      <c r="P303" s="175">
        <v>2</v>
      </c>
      <c r="Q303" s="233">
        <v>288</v>
      </c>
    </row>
    <row r="304" spans="16:17">
      <c r="P304" s="175">
        <v>3</v>
      </c>
      <c r="Q304" s="233">
        <v>224</v>
      </c>
    </row>
    <row r="305" spans="16:17">
      <c r="P305" s="175">
        <v>4</v>
      </c>
      <c r="Q305" s="233">
        <v>227</v>
      </c>
    </row>
    <row r="306" spans="16:17">
      <c r="P306" s="175">
        <v>5</v>
      </c>
      <c r="Q306" s="233">
        <v>98</v>
      </c>
    </row>
    <row r="307" spans="16:17">
      <c r="P307" s="175">
        <v>6</v>
      </c>
      <c r="Q307" s="233">
        <v>30</v>
      </c>
    </row>
    <row r="308" spans="16:17">
      <c r="P308" s="175">
        <v>7</v>
      </c>
      <c r="Q308" s="233">
        <v>23</v>
      </c>
    </row>
    <row r="309" spans="16:17">
      <c r="P309" s="175">
        <v>8</v>
      </c>
      <c r="Q309" s="233">
        <v>32</v>
      </c>
    </row>
    <row r="310" spans="16:17">
      <c r="P310" s="175">
        <v>9</v>
      </c>
      <c r="Q310" s="233">
        <v>82</v>
      </c>
    </row>
    <row r="311" spans="16:17">
      <c r="P311" s="175">
        <v>10</v>
      </c>
      <c r="Q311" s="233">
        <v>126</v>
      </c>
    </row>
    <row r="312" spans="16:17">
      <c r="P312" s="175">
        <v>11</v>
      </c>
      <c r="Q312" s="233">
        <v>288</v>
      </c>
    </row>
    <row r="313" spans="16:17">
      <c r="P313" s="175">
        <v>12</v>
      </c>
      <c r="Q313" s="233">
        <v>365</v>
      </c>
    </row>
    <row r="314" spans="16:17">
      <c r="P314" s="88">
        <v>2018</v>
      </c>
      <c r="Q314" s="233">
        <v>2147</v>
      </c>
    </row>
    <row r="315" spans="16:17">
      <c r="P315" s="175">
        <v>1</v>
      </c>
      <c r="Q315" s="233">
        <v>298</v>
      </c>
    </row>
    <row r="316" spans="16:17">
      <c r="P316" s="175">
        <v>2</v>
      </c>
      <c r="Q316" s="233">
        <v>414</v>
      </c>
    </row>
    <row r="317" spans="16:17">
      <c r="P317" s="175">
        <v>3</v>
      </c>
      <c r="Q317" s="233">
        <v>305</v>
      </c>
    </row>
    <row r="318" spans="16:17">
      <c r="P318" s="175">
        <v>4</v>
      </c>
      <c r="Q318" s="233">
        <v>152</v>
      </c>
    </row>
    <row r="319" spans="16:17">
      <c r="P319" s="175">
        <v>5</v>
      </c>
      <c r="Q319" s="233">
        <v>96</v>
      </c>
    </row>
    <row r="320" spans="16:17">
      <c r="P320" s="175">
        <v>6</v>
      </c>
      <c r="Q320" s="233">
        <v>25</v>
      </c>
    </row>
    <row r="321" spans="16:17">
      <c r="P321" s="175">
        <v>7</v>
      </c>
      <c r="Q321" s="233">
        <v>6</v>
      </c>
    </row>
    <row r="322" spans="16:17">
      <c r="P322" s="175">
        <v>8</v>
      </c>
      <c r="Q322" s="233">
        <v>26</v>
      </c>
    </row>
    <row r="323" spans="16:17">
      <c r="P323" s="175">
        <v>9</v>
      </c>
      <c r="Q323" s="233">
        <v>73</v>
      </c>
    </row>
    <row r="324" spans="16:17">
      <c r="P324" s="175">
        <v>10</v>
      </c>
      <c r="Q324" s="233">
        <v>157</v>
      </c>
    </row>
    <row r="325" spans="16:17">
      <c r="P325" s="175">
        <v>11</v>
      </c>
      <c r="Q325" s="233">
        <v>277</v>
      </c>
    </row>
    <row r="326" spans="16:17">
      <c r="P326" s="175">
        <v>12</v>
      </c>
      <c r="Q326" s="233">
        <v>318</v>
      </c>
    </row>
    <row r="327" spans="16:17">
      <c r="P327" s="88">
        <v>2019</v>
      </c>
      <c r="Q327" s="233">
        <v>2213</v>
      </c>
    </row>
    <row r="328" spans="16:17">
      <c r="P328" s="175">
        <v>1</v>
      </c>
      <c r="Q328" s="233">
        <v>402</v>
      </c>
    </row>
    <row r="329" spans="16:17">
      <c r="P329" s="175">
        <v>2</v>
      </c>
      <c r="Q329" s="233">
        <v>297</v>
      </c>
    </row>
    <row r="330" spans="16:17">
      <c r="P330" s="175">
        <v>3</v>
      </c>
      <c r="Q330" s="233">
        <v>260</v>
      </c>
    </row>
    <row r="331" spans="16:17">
      <c r="P331" s="175">
        <v>4</v>
      </c>
      <c r="Q331" s="233">
        <v>201</v>
      </c>
    </row>
    <row r="332" spans="16:17">
      <c r="P332" s="175">
        <v>5</v>
      </c>
      <c r="Q332" s="233">
        <v>146</v>
      </c>
    </row>
    <row r="333" spans="16:17">
      <c r="P333" s="175">
        <v>6</v>
      </c>
      <c r="Q333" s="233">
        <v>54</v>
      </c>
    </row>
    <row r="334" spans="16:17">
      <c r="P334" s="175">
        <v>7</v>
      </c>
      <c r="Q334" s="233">
        <v>16</v>
      </c>
    </row>
    <row r="335" spans="16:17">
      <c r="P335" s="175">
        <v>8</v>
      </c>
      <c r="Q335" s="233">
        <v>30</v>
      </c>
    </row>
    <row r="336" spans="16:17">
      <c r="P336" s="175">
        <v>9</v>
      </c>
      <c r="Q336" s="233">
        <v>65</v>
      </c>
    </row>
    <row r="337" spans="16:17">
      <c r="P337" s="175">
        <v>10</v>
      </c>
      <c r="Q337" s="233">
        <v>128</v>
      </c>
    </row>
    <row r="338" spans="16:17">
      <c r="P338" s="175">
        <v>11</v>
      </c>
      <c r="Q338" s="233">
        <v>292</v>
      </c>
    </row>
    <row r="339" spans="16:17">
      <c r="P339" s="175">
        <v>12</v>
      </c>
      <c r="Q339" s="233">
        <v>322</v>
      </c>
    </row>
    <row r="340" spans="16:17">
      <c r="P340" s="88">
        <v>2020</v>
      </c>
      <c r="Q340" s="233">
        <v>1971</v>
      </c>
    </row>
    <row r="341" spans="16:17">
      <c r="P341" s="175">
        <v>1</v>
      </c>
      <c r="Q341" s="233">
        <v>331</v>
      </c>
    </row>
    <row r="342" spans="16:17">
      <c r="P342" s="175">
        <v>2</v>
      </c>
      <c r="Q342" s="233">
        <v>251</v>
      </c>
    </row>
    <row r="343" spans="16:17">
      <c r="P343" s="175">
        <v>3</v>
      </c>
      <c r="Q343" s="233">
        <v>272</v>
      </c>
    </row>
    <row r="344" spans="16:17">
      <c r="P344" s="175">
        <v>4</v>
      </c>
      <c r="Q344" s="233">
        <v>126</v>
      </c>
    </row>
    <row r="345" spans="16:17">
      <c r="P345" s="175">
        <v>5</v>
      </c>
      <c r="Q345" s="233">
        <v>92</v>
      </c>
    </row>
    <row r="346" spans="16:17">
      <c r="P346" s="175">
        <v>6</v>
      </c>
      <c r="Q346" s="233">
        <v>55</v>
      </c>
    </row>
    <row r="347" spans="16:17">
      <c r="P347" s="175">
        <v>7</v>
      </c>
      <c r="Q347" s="233">
        <v>32</v>
      </c>
    </row>
    <row r="348" spans="16:17">
      <c r="P348" s="175">
        <v>8</v>
      </c>
      <c r="Q348" s="233">
        <v>28</v>
      </c>
    </row>
    <row r="349" spans="16:17">
      <c r="P349" s="175">
        <v>9</v>
      </c>
      <c r="Q349" s="233">
        <v>56</v>
      </c>
    </row>
    <row r="350" spans="16:17">
      <c r="P350" s="175">
        <v>10</v>
      </c>
      <c r="Q350" s="233">
        <v>158</v>
      </c>
    </row>
    <row r="351" spans="16:17">
      <c r="P351" s="175">
        <v>11</v>
      </c>
      <c r="Q351" s="233">
        <v>237</v>
      </c>
    </row>
    <row r="352" spans="16:17">
      <c r="P352" s="175">
        <v>12</v>
      </c>
      <c r="Q352" s="233">
        <v>333</v>
      </c>
    </row>
    <row r="353" spans="16:17">
      <c r="P353" s="88">
        <v>2021</v>
      </c>
      <c r="Q353" s="233">
        <v>2380</v>
      </c>
    </row>
    <row r="354" spans="16:17">
      <c r="P354" s="175">
        <v>1</v>
      </c>
      <c r="Q354" s="233">
        <v>406</v>
      </c>
    </row>
    <row r="355" spans="16:17">
      <c r="P355" s="175">
        <v>2</v>
      </c>
      <c r="Q355" s="233">
        <v>299</v>
      </c>
    </row>
    <row r="356" spans="16:17">
      <c r="P356" s="175">
        <v>3</v>
      </c>
      <c r="Q356" s="233">
        <v>303</v>
      </c>
    </row>
    <row r="357" spans="16:17">
      <c r="P357" s="175">
        <v>4</v>
      </c>
      <c r="Q357" s="233">
        <v>242</v>
      </c>
    </row>
    <row r="358" spans="16:17">
      <c r="P358" s="175">
        <v>5</v>
      </c>
      <c r="Q358" s="233">
        <v>159</v>
      </c>
    </row>
    <row r="359" spans="16:17">
      <c r="P359" s="175">
        <v>6</v>
      </c>
      <c r="Q359" s="233">
        <v>33</v>
      </c>
    </row>
    <row r="360" spans="16:17">
      <c r="P360" s="175">
        <v>7</v>
      </c>
      <c r="Q360" s="233">
        <v>22</v>
      </c>
    </row>
    <row r="361" spans="16:17">
      <c r="P361" s="175">
        <v>8</v>
      </c>
      <c r="Q361" s="233">
        <v>36</v>
      </c>
    </row>
    <row r="362" spans="16:17">
      <c r="P362" s="175">
        <v>9</v>
      </c>
      <c r="Q362" s="233">
        <v>48</v>
      </c>
    </row>
    <row r="363" spans="16:17">
      <c r="P363" s="175">
        <v>10</v>
      </c>
      <c r="Q363" s="233">
        <v>170</v>
      </c>
    </row>
    <row r="364" spans="16:17">
      <c r="P364" s="175">
        <v>11</v>
      </c>
      <c r="Q364" s="233">
        <v>326</v>
      </c>
    </row>
    <row r="365" spans="16:17">
      <c r="P365" s="175">
        <v>12</v>
      </c>
      <c r="Q365" s="233">
        <v>336</v>
      </c>
    </row>
    <row r="366" spans="16:17">
      <c r="P366" s="88">
        <v>2022</v>
      </c>
      <c r="Q366" s="233">
        <v>2014</v>
      </c>
    </row>
    <row r="367" spans="16:17">
      <c r="P367" s="175">
        <v>1</v>
      </c>
      <c r="Q367" s="233">
        <v>396</v>
      </c>
    </row>
    <row r="368" spans="16:17">
      <c r="P368" s="175">
        <v>2</v>
      </c>
      <c r="Q368" s="233">
        <v>285</v>
      </c>
    </row>
    <row r="369" spans="16:17">
      <c r="P369" s="175">
        <v>3</v>
      </c>
      <c r="Q369" s="233">
        <v>239</v>
      </c>
    </row>
    <row r="370" spans="16:17">
      <c r="P370" s="175">
        <v>4</v>
      </c>
      <c r="Q370" s="233">
        <v>192</v>
      </c>
    </row>
    <row r="371" spans="16:17">
      <c r="P371" s="175">
        <v>5</v>
      </c>
      <c r="Q371" s="233">
        <v>80</v>
      </c>
    </row>
    <row r="372" spans="16:17">
      <c r="P372" s="175">
        <v>6</v>
      </c>
      <c r="Q372" s="233">
        <v>37</v>
      </c>
    </row>
    <row r="373" spans="16:17">
      <c r="P373" s="175">
        <v>7</v>
      </c>
      <c r="Q373" s="233">
        <v>19</v>
      </c>
    </row>
    <row r="374" spans="16:17">
      <c r="P374" s="175">
        <v>8</v>
      </c>
      <c r="Q374" s="233">
        <v>11</v>
      </c>
    </row>
    <row r="375" spans="16:17">
      <c r="P375" s="175">
        <v>9</v>
      </c>
      <c r="Q375" s="233">
        <v>75</v>
      </c>
    </row>
    <row r="376" spans="16:17">
      <c r="P376" s="175">
        <v>10</v>
      </c>
      <c r="Q376" s="233">
        <v>73</v>
      </c>
    </row>
    <row r="377" spans="16:17">
      <c r="P377" s="175">
        <v>11</v>
      </c>
      <c r="Q377" s="233">
        <v>227</v>
      </c>
    </row>
    <row r="378" spans="16:17">
      <c r="P378" s="175">
        <v>12</v>
      </c>
      <c r="Q378" s="233">
        <v>380</v>
      </c>
    </row>
    <row r="379" spans="16:17">
      <c r="P379" s="88">
        <v>2023</v>
      </c>
      <c r="Q379" s="233">
        <v>1959</v>
      </c>
    </row>
    <row r="380" spans="16:17">
      <c r="P380" s="175">
        <v>1</v>
      </c>
      <c r="Q380" s="233">
        <v>355</v>
      </c>
    </row>
    <row r="381" spans="16:17">
      <c r="P381" s="175">
        <v>2</v>
      </c>
      <c r="Q381" s="233">
        <v>314</v>
      </c>
    </row>
    <row r="382" spans="16:17">
      <c r="P382" s="175">
        <v>3</v>
      </c>
      <c r="Q382" s="233">
        <v>251</v>
      </c>
    </row>
    <row r="383" spans="16:17">
      <c r="P383" s="175">
        <v>4</v>
      </c>
      <c r="Q383" s="233">
        <v>197</v>
      </c>
    </row>
    <row r="384" spans="16:17">
      <c r="P384" s="175">
        <v>5</v>
      </c>
      <c r="Q384" s="233">
        <v>87</v>
      </c>
    </row>
    <row r="385" spans="16:17">
      <c r="P385" s="175">
        <v>6</v>
      </c>
      <c r="Q385" s="233">
        <v>17</v>
      </c>
    </row>
    <row r="386" spans="16:17">
      <c r="P386" s="175">
        <v>7</v>
      </c>
      <c r="Q386" s="233">
        <v>24</v>
      </c>
    </row>
    <row r="387" spans="16:17">
      <c r="P387" s="175">
        <v>8</v>
      </c>
      <c r="Q387" s="233">
        <v>28</v>
      </c>
    </row>
    <row r="388" spans="16:17">
      <c r="P388" s="175">
        <v>9</v>
      </c>
      <c r="Q388" s="233">
        <v>31</v>
      </c>
    </row>
    <row r="389" spans="16:17">
      <c r="P389" s="175">
        <v>10</v>
      </c>
      <c r="Q389" s="233">
        <v>116</v>
      </c>
    </row>
    <row r="390" spans="16:17">
      <c r="P390" s="175">
        <v>11</v>
      </c>
      <c r="Q390" s="233">
        <v>239</v>
      </c>
    </row>
    <row r="391" spans="16:17">
      <c r="P391" s="175">
        <v>12</v>
      </c>
      <c r="Q391" s="233">
        <v>300</v>
      </c>
    </row>
    <row r="392" spans="16:17">
      <c r="P392" s="88">
        <v>2024</v>
      </c>
      <c r="Q392" s="233">
        <v>2090</v>
      </c>
    </row>
    <row r="393" spans="16:17">
      <c r="P393" s="175">
        <v>1</v>
      </c>
      <c r="Q393" s="233">
        <v>380</v>
      </c>
    </row>
    <row r="394" spans="16:17">
      <c r="P394" s="175">
        <v>2</v>
      </c>
      <c r="Q394" s="233">
        <v>244</v>
      </c>
    </row>
    <row r="395" spans="16:17">
      <c r="P395" s="175">
        <v>3</v>
      </c>
      <c r="Q395" s="233">
        <v>253</v>
      </c>
    </row>
    <row r="396" spans="16:17">
      <c r="P396" s="175">
        <v>4</v>
      </c>
      <c r="Q396" s="233">
        <v>186</v>
      </c>
    </row>
    <row r="397" spans="16:17">
      <c r="P397" s="175">
        <v>5</v>
      </c>
      <c r="Q397" s="233">
        <v>102</v>
      </c>
    </row>
    <row r="398" spans="16:17">
      <c r="P398" s="175">
        <v>6</v>
      </c>
      <c r="Q398" s="233">
        <v>60</v>
      </c>
    </row>
    <row r="399" spans="16:17">
      <c r="P399" s="175">
        <v>7</v>
      </c>
      <c r="Q399" s="233">
        <v>28</v>
      </c>
    </row>
    <row r="400" spans="16:17">
      <c r="P400" s="175">
        <v>8</v>
      </c>
      <c r="Q400" s="233">
        <v>28</v>
      </c>
    </row>
    <row r="401" spans="16:17">
      <c r="P401" s="175">
        <v>9</v>
      </c>
      <c r="Q401" s="233">
        <v>78</v>
      </c>
    </row>
    <row r="402" spans="16:17">
      <c r="P402" s="175">
        <v>10</v>
      </c>
      <c r="Q402" s="233">
        <v>119</v>
      </c>
    </row>
    <row r="403" spans="16:17">
      <c r="P403" s="175">
        <v>11</v>
      </c>
      <c r="Q403" s="233">
        <v>266</v>
      </c>
    </row>
    <row r="404" spans="16:17">
      <c r="P404" s="175">
        <v>12</v>
      </c>
      <c r="Q404" s="233">
        <v>346</v>
      </c>
    </row>
    <row r="405" spans="16:17">
      <c r="P405" s="88">
        <v>2025</v>
      </c>
      <c r="Q405" s="233">
        <v>2045.9</v>
      </c>
    </row>
    <row r="406" spans="16:17">
      <c r="P406" s="175">
        <v>1</v>
      </c>
      <c r="Q406" s="233">
        <v>407</v>
      </c>
    </row>
    <row r="407" spans="16:17">
      <c r="P407" s="175">
        <v>2</v>
      </c>
      <c r="Q407" s="233">
        <v>329</v>
      </c>
    </row>
    <row r="408" spans="16:17">
      <c r="P408" s="175">
        <v>3</v>
      </c>
      <c r="Q408" s="233">
        <v>260</v>
      </c>
    </row>
    <row r="409" spans="16:17">
      <c r="P409" s="175">
        <v>4</v>
      </c>
      <c r="Q409" s="233">
        <v>142</v>
      </c>
    </row>
    <row r="410" spans="16:17">
      <c r="P410" s="175">
        <v>5</v>
      </c>
      <c r="Q410" s="233">
        <v>91</v>
      </c>
    </row>
    <row r="411" spans="16:17">
      <c r="P411" s="175">
        <v>6</v>
      </c>
      <c r="Q411" s="233">
        <v>24</v>
      </c>
    </row>
    <row r="412" spans="16:17">
      <c r="P412" s="175">
        <v>7</v>
      </c>
      <c r="Q412" s="233">
        <v>18</v>
      </c>
    </row>
    <row r="413" spans="16:17">
      <c r="P413" s="175">
        <v>8</v>
      </c>
      <c r="Q413" s="233">
        <v>22</v>
      </c>
    </row>
    <row r="414" spans="16:17">
      <c r="P414" s="175">
        <v>9</v>
      </c>
      <c r="Q414" s="233">
        <v>72.900000000000006</v>
      </c>
    </row>
    <row r="415" spans="16:17">
      <c r="P415" s="175">
        <v>10</v>
      </c>
      <c r="Q415" s="233">
        <v>140</v>
      </c>
    </row>
    <row r="416" spans="16:17">
      <c r="P416" s="175">
        <v>11</v>
      </c>
      <c r="Q416" s="233">
        <v>231</v>
      </c>
    </row>
    <row r="417" spans="16:17">
      <c r="P417" s="175">
        <v>12</v>
      </c>
      <c r="Q417" s="233">
        <v>309</v>
      </c>
    </row>
    <row r="418" spans="16:17">
      <c r="P418" s="88" t="s">
        <v>76</v>
      </c>
      <c r="Q418" s="233"/>
    </row>
    <row r="419" spans="16:17">
      <c r="P419" s="175" t="s">
        <v>76</v>
      </c>
      <c r="Q419" s="233"/>
    </row>
    <row r="420" spans="16:17">
      <c r="P420" s="88">
        <v>2026</v>
      </c>
      <c r="Q420" s="233">
        <v>567</v>
      </c>
    </row>
    <row r="421" spans="16:17">
      <c r="P421" s="175">
        <v>1</v>
      </c>
      <c r="Q421" s="233">
        <v>338</v>
      </c>
    </row>
    <row r="422" spans="16:17">
      <c r="P422" s="175">
        <v>2</v>
      </c>
      <c r="Q422" s="233">
        <v>229</v>
      </c>
    </row>
    <row r="423" spans="16:17">
      <c r="P423" s="88" t="s">
        <v>86</v>
      </c>
      <c r="Q423" s="233">
        <v>57514.9</v>
      </c>
    </row>
  </sheetData>
  <pageMargins left="0.7" right="0.7" top="0.75" bottom="0.75" header="0.3" footer="0.3"/>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8">
    <tabColor rgb="FFFF0000"/>
  </sheetPr>
  <dimension ref="A1:N41"/>
  <sheetViews>
    <sheetView workbookViewId="0"/>
  </sheetViews>
  <sheetFormatPr baseColWidth="10" defaultColWidth="0" defaultRowHeight="15" customHeight="1" zeroHeight="1"/>
  <cols>
    <col min="1" max="11" width="11.42578125" style="38" customWidth="1"/>
    <col min="12" max="16384" width="11.42578125" hidden="1"/>
  </cols>
  <sheetData>
    <row r="1" spans="2:5"/>
    <row r="2" spans="2:5">
      <c r="B2" s="106" t="s">
        <v>0</v>
      </c>
      <c r="C2" s="588">
        <f>Site!C2</f>
        <v>0</v>
      </c>
      <c r="D2" s="588"/>
      <c r="E2" s="588"/>
    </row>
    <row r="3" spans="2:5"/>
    <row r="4" spans="2:5"/>
    <row r="5" spans="2:5"/>
    <row r="6" spans="2:5"/>
    <row r="7" spans="2:5"/>
    <row r="8" spans="2:5"/>
    <row r="9" spans="2:5"/>
    <row r="10" spans="2:5"/>
    <row r="11" spans="2:5"/>
    <row r="12" spans="2:5"/>
    <row r="13" spans="2:5"/>
    <row r="14" spans="2:5"/>
    <row r="15" spans="2:5"/>
    <row r="16" spans="2:5"/>
    <row r="17" spans="9:14"/>
    <row r="18" spans="9:14"/>
    <row r="19" spans="9:14"/>
    <row r="20" spans="9:14"/>
    <row r="21" spans="9:14"/>
    <row r="22" spans="9:14"/>
    <row r="23" spans="9:14"/>
    <row r="24" spans="9:14"/>
    <row r="25" spans="9:14"/>
    <row r="26" spans="9:14">
      <c r="I26" s="584" t="s">
        <v>87</v>
      </c>
      <c r="J26" s="584"/>
      <c r="K26" s="584"/>
      <c r="L26" s="584"/>
      <c r="M26" s="584"/>
      <c r="N26" s="584"/>
    </row>
    <row r="27" spans="9:14">
      <c r="I27" s="584"/>
      <c r="J27" s="584"/>
      <c r="K27" s="584"/>
      <c r="L27" s="584"/>
      <c r="M27" s="584"/>
      <c r="N27" s="584"/>
    </row>
    <row r="28" spans="9:14">
      <c r="I28" s="584"/>
      <c r="J28" s="584"/>
      <c r="K28" s="584"/>
      <c r="L28" s="584"/>
      <c r="M28" s="584"/>
      <c r="N28" s="584"/>
    </row>
    <row r="29" spans="9:14">
      <c r="I29" s="584"/>
      <c r="J29" s="584"/>
      <c r="K29" s="584"/>
      <c r="L29" s="584"/>
      <c r="M29" s="584"/>
      <c r="N29" s="584"/>
    </row>
    <row r="30" spans="9:14">
      <c r="I30" s="584"/>
      <c r="J30" s="584"/>
      <c r="K30" s="584"/>
      <c r="L30" s="584"/>
      <c r="M30" s="584"/>
      <c r="N30" s="584"/>
    </row>
    <row r="31" spans="9:14">
      <c r="I31" s="584"/>
      <c r="J31" s="584"/>
      <c r="K31" s="584"/>
      <c r="L31" s="584"/>
      <c r="M31" s="584"/>
      <c r="N31" s="584"/>
    </row>
    <row r="32" spans="9:14">
      <c r="I32" s="584"/>
      <c r="J32" s="584"/>
      <c r="K32" s="584"/>
      <c r="L32" s="584"/>
      <c r="M32" s="584"/>
      <c r="N32" s="584"/>
    </row>
    <row r="33" spans="9:14">
      <c r="I33" s="584"/>
      <c r="J33" s="584"/>
      <c r="K33" s="584"/>
      <c r="L33" s="584"/>
      <c r="M33" s="584"/>
      <c r="N33" s="584"/>
    </row>
    <row r="34" spans="9:14" ht="15" hidden="1" customHeight="1">
      <c r="I34" s="584"/>
      <c r="J34" s="584"/>
      <c r="K34" s="584"/>
      <c r="L34" s="584"/>
      <c r="M34" s="584"/>
      <c r="N34" s="584"/>
    </row>
    <row r="35" spans="9:14" ht="15" hidden="1" customHeight="1">
      <c r="I35" s="584"/>
      <c r="J35" s="584"/>
      <c r="K35" s="584"/>
      <c r="L35" s="584"/>
      <c r="M35" s="584"/>
      <c r="N35" s="584"/>
    </row>
    <row r="36" spans="9:14" ht="15" hidden="1" customHeight="1">
      <c r="I36" s="584"/>
      <c r="J36" s="584"/>
      <c r="K36" s="584"/>
      <c r="L36" s="584"/>
      <c r="M36" s="584"/>
      <c r="N36" s="584"/>
    </row>
    <row r="37" spans="9:14" ht="15" hidden="1" customHeight="1">
      <c r="I37" s="584"/>
      <c r="J37" s="584"/>
      <c r="K37" s="584"/>
      <c r="L37" s="584"/>
      <c r="M37" s="584"/>
      <c r="N37" s="584"/>
    </row>
    <row r="38" spans="9:14" ht="15" hidden="1" customHeight="1">
      <c r="I38" s="584"/>
      <c r="J38" s="584"/>
      <c r="K38" s="584"/>
      <c r="L38" s="584"/>
      <c r="M38" s="584"/>
      <c r="N38" s="584"/>
    </row>
    <row r="39" spans="9:14" ht="15" hidden="1" customHeight="1">
      <c r="I39" s="584"/>
      <c r="J39" s="584"/>
      <c r="K39" s="584"/>
      <c r="L39" s="584"/>
      <c r="M39" s="584"/>
      <c r="N39" s="584"/>
    </row>
    <row r="40" spans="9:14" ht="15" hidden="1" customHeight="1">
      <c r="I40" s="584"/>
      <c r="J40" s="584"/>
      <c r="K40" s="584"/>
      <c r="L40" s="584"/>
      <c r="M40" s="584"/>
      <c r="N40" s="584"/>
    </row>
    <row r="41" spans="9:14" ht="15" hidden="1" customHeight="1">
      <c r="I41" s="584"/>
      <c r="J41" s="584"/>
      <c r="K41" s="584"/>
      <c r="L41" s="584"/>
      <c r="M41" s="584"/>
      <c r="N41" s="584"/>
    </row>
  </sheetData>
  <protectedRanges>
    <protectedRange sqref="C2:E2" name="Plage1"/>
  </protectedRanges>
  <mergeCells count="2">
    <mergeCell ref="I26:N41"/>
    <mergeCell ref="C2:E2"/>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1">
    <tabColor rgb="FF92D050"/>
  </sheetPr>
  <dimension ref="A1:P48"/>
  <sheetViews>
    <sheetView workbookViewId="0">
      <selection activeCell="M3" sqref="M3"/>
    </sheetView>
  </sheetViews>
  <sheetFormatPr baseColWidth="10" defaultColWidth="0" defaultRowHeight="15" customHeight="1" zeroHeight="1"/>
  <cols>
    <col min="1" max="7" width="11.42578125" style="38" customWidth="1"/>
    <col min="8" max="8" width="13.42578125" style="38" customWidth="1"/>
    <col min="9" max="10" width="11.42578125" style="38" customWidth="1"/>
    <col min="11" max="11" width="10.140625" style="38" customWidth="1"/>
    <col min="12" max="12" width="11.42578125" hidden="1" customWidth="1"/>
    <col min="13" max="13" width="21" hidden="1" customWidth="1"/>
    <col min="14" max="16" width="10.85546875" hidden="1" customWidth="1"/>
    <col min="17" max="16384" width="11.42578125" hidden="1"/>
  </cols>
  <sheetData>
    <row r="1" spans="2:14"/>
    <row r="2" spans="2:14">
      <c r="B2" s="106" t="s">
        <v>0</v>
      </c>
      <c r="C2" s="588">
        <f>Site!C2</f>
        <v>0</v>
      </c>
      <c r="D2" s="588"/>
      <c r="E2" s="588"/>
    </row>
    <row r="3" spans="2:14">
      <c r="M3" s="174" t="s">
        <v>19</v>
      </c>
      <c r="N3" s="522" t="s" vm="3">
        <v>861</v>
      </c>
    </row>
    <row r="4" spans="2:14"/>
    <row r="5" spans="2:14">
      <c r="M5" s="174" t="s">
        <v>64</v>
      </c>
      <c r="N5" t="s">
        <v>871</v>
      </c>
    </row>
    <row r="6" spans="2:14"/>
    <row r="7" spans="2:14"/>
    <row r="8" spans="2:14"/>
    <row r="9" spans="2:14"/>
    <row r="10" spans="2:14"/>
    <row r="11" spans="2:14"/>
    <row r="12" spans="2:14"/>
    <row r="13" spans="2:14"/>
    <row r="14" spans="2:14"/>
    <row r="15" spans="2:14"/>
    <row r="16" spans="2:14"/>
    <row r="17" spans="1:12"/>
    <row r="18" spans="1:12"/>
    <row r="19" spans="1:12">
      <c r="I19" s="589" t="s">
        <v>896</v>
      </c>
      <c r="J19" s="590"/>
      <c r="K19" s="590"/>
    </row>
    <row r="20" spans="1:12" ht="30.95" customHeight="1">
      <c r="I20" s="590"/>
      <c r="J20" s="590"/>
      <c r="K20" s="590"/>
    </row>
    <row r="21" spans="1:12" s="508" customFormat="1">
      <c r="A21" s="38"/>
      <c r="B21" s="38"/>
      <c r="C21" s="38"/>
      <c r="D21" s="38"/>
      <c r="E21" s="38"/>
      <c r="F21" s="38"/>
      <c r="G21" s="38"/>
      <c r="H21" s="38"/>
      <c r="I21" s="509"/>
      <c r="J21" s="509"/>
      <c r="K21" s="509"/>
    </row>
    <row r="22" spans="1:12">
      <c r="I22" s="118" t="s">
        <v>89</v>
      </c>
    </row>
    <row r="23" spans="1:12">
      <c r="I23" s="108" t="s">
        <v>856</v>
      </c>
      <c r="J23" s="38" t="str" cm="1" vm="8">
        <f t="array" ref="J23">CUBERANKEDMEMBER("ThisWorkbookDataModel",Segment_Nom,1)</f>
        <v>All</v>
      </c>
    </row>
    <row r="24" spans="1:12">
      <c r="I24" s="108" t="s">
        <v>857</v>
      </c>
      <c r="J24" s="38" t="e">
        <f>VLOOKUP($J$23,Site!$C$38:$H$45,ROW(I24)-ROW($I$23)+1,0)</f>
        <v>#N/A</v>
      </c>
    </row>
    <row r="25" spans="1:12">
      <c r="I25" s="108" t="s">
        <v>858</v>
      </c>
      <c r="J25" s="38" t="e">
        <f>VLOOKUP($J$23,Site!$C$38:$H$45,ROW(I25)-ROW($I$23)+1,0)</f>
        <v>#N/A</v>
      </c>
    </row>
    <row r="26" spans="1:12">
      <c r="I26" s="108" t="s">
        <v>859</v>
      </c>
      <c r="J26" s="38" t="e">
        <f>VLOOKUP($J$23,Site!$C$38:$H$45,ROW(I26)-ROW($I$23)+1,0)</f>
        <v>#N/A</v>
      </c>
    </row>
    <row r="27" spans="1:12">
      <c r="I27" s="108" t="s">
        <v>860</v>
      </c>
      <c r="J27" s="38" t="e">
        <f>VLOOKUP($J$23,Site!$C$38:$H$45,ROW(I27)-ROW($I$23)+1,0)</f>
        <v>#N/A</v>
      </c>
      <c r="K27" s="117"/>
      <c r="L27" s="117"/>
    </row>
    <row r="28" spans="1:12">
      <c r="I28"/>
      <c r="K28" s="117"/>
      <c r="L28" s="117"/>
    </row>
    <row r="29" spans="1:12">
      <c r="I29" s="117"/>
      <c r="J29" s="117"/>
      <c r="K29" s="117"/>
      <c r="L29" s="117"/>
    </row>
    <row r="30" spans="1:12">
      <c r="I30" s="117"/>
      <c r="J30" s="117"/>
      <c r="K30" s="117"/>
      <c r="L30" s="117"/>
    </row>
    <row r="31" spans="1:12">
      <c r="I31" s="117"/>
      <c r="J31" s="117"/>
      <c r="K31" s="117"/>
      <c r="L31" s="117"/>
    </row>
    <row r="32" spans="1:12">
      <c r="I32" s="117"/>
      <c r="J32" s="117"/>
      <c r="K32" s="117"/>
      <c r="L32" s="117"/>
    </row>
    <row r="33" spans="9:12" hidden="1">
      <c r="I33" s="117"/>
      <c r="J33" s="117"/>
      <c r="K33" s="117"/>
      <c r="L33" s="117"/>
    </row>
    <row r="34" spans="9:12" hidden="1">
      <c r="I34" s="117"/>
      <c r="J34" s="117"/>
      <c r="K34" s="117"/>
      <c r="L34" s="117"/>
    </row>
    <row r="35" spans="9:12" hidden="1">
      <c r="I35" s="117"/>
      <c r="J35" s="117"/>
      <c r="K35" s="117"/>
      <c r="L35" s="117"/>
    </row>
    <row r="36" spans="9:12" hidden="1">
      <c r="I36" s="117"/>
      <c r="J36" s="117"/>
      <c r="K36" s="117"/>
      <c r="L36" s="117"/>
    </row>
    <row r="37" spans="9:12" hidden="1">
      <c r="I37" s="117"/>
      <c r="J37" s="117"/>
      <c r="K37" s="117"/>
      <c r="L37" s="117"/>
    </row>
    <row r="38" spans="9:12" hidden="1">
      <c r="I38" s="117"/>
      <c r="J38" s="117"/>
      <c r="K38" s="117"/>
      <c r="L38" s="117"/>
    </row>
    <row r="39" spans="9:12" hidden="1">
      <c r="I39" s="117"/>
      <c r="J39" s="117"/>
      <c r="K39" s="117"/>
      <c r="L39" s="117"/>
    </row>
    <row r="40" spans="9:12" hidden="1">
      <c r="I40" s="117"/>
      <c r="J40" s="117"/>
      <c r="K40" s="117"/>
      <c r="L40" s="117"/>
    </row>
    <row r="47" spans="9:12" ht="15" customHeight="1"/>
    <row r="48" spans="9:12" ht="15" customHeight="1"/>
  </sheetData>
  <sheetProtection pivotTables="0"/>
  <protectedRanges>
    <protectedRange sqref="C2:E2" name="Plage1"/>
  </protectedRanges>
  <mergeCells count="2">
    <mergeCell ref="C2:E2"/>
    <mergeCell ref="I19:K20"/>
  </mergeCells>
  <pageMargins left="0.7" right="0.7" top="0.75" bottom="0.75" header="0.3" footer="0.3"/>
  <pageSetup paperSize="9" orientation="landscape"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tabColor rgb="FF7030A0"/>
  </sheetPr>
  <dimension ref="A1:K33"/>
  <sheetViews>
    <sheetView zoomScale="115" zoomScaleNormal="115" workbookViewId="0">
      <selection activeCell="G33" sqref="G33"/>
    </sheetView>
  </sheetViews>
  <sheetFormatPr baseColWidth="10" defaultColWidth="0" defaultRowHeight="15" zeroHeight="1"/>
  <cols>
    <col min="1" max="11" width="11.42578125" customWidth="1"/>
    <col min="12" max="16384" width="11.42578125" hidden="1"/>
  </cols>
  <sheetData>
    <row r="1" spans="1:11">
      <c r="A1" s="38"/>
      <c r="B1" s="591"/>
      <c r="C1" s="591"/>
      <c r="D1" s="591"/>
      <c r="E1" s="591"/>
      <c r="F1" s="591"/>
      <c r="G1" s="591"/>
      <c r="H1" s="38"/>
      <c r="I1" s="38"/>
      <c r="J1" s="38"/>
      <c r="K1" s="38"/>
    </row>
    <row r="2" spans="1:11">
      <c r="A2" s="38"/>
      <c r="B2" s="591"/>
      <c r="C2" s="591"/>
      <c r="D2" s="591"/>
      <c r="E2" s="591"/>
      <c r="F2" s="591"/>
      <c r="G2" s="591"/>
      <c r="H2" s="38"/>
      <c r="I2" s="38"/>
      <c r="J2" s="38"/>
      <c r="K2" s="38"/>
    </row>
    <row r="3" spans="1:11">
      <c r="A3" s="38"/>
      <c r="B3" s="106" t="s">
        <v>0</v>
      </c>
      <c r="C3" s="576">
        <f>Site!C2</f>
        <v>0</v>
      </c>
      <c r="D3" s="576"/>
      <c r="E3" s="576"/>
      <c r="F3" s="38"/>
      <c r="G3" s="38"/>
      <c r="H3" s="38"/>
      <c r="I3" s="38"/>
      <c r="J3" s="38"/>
      <c r="K3" s="38"/>
    </row>
    <row r="4" spans="1:11">
      <c r="A4" s="38"/>
      <c r="B4" s="106" t="s">
        <v>53</v>
      </c>
      <c r="C4" s="38" t="str">
        <f>Controle_des_données!A40</f>
        <v>TTC</v>
      </c>
      <c r="D4" s="38"/>
      <c r="E4" s="38"/>
      <c r="F4" s="38"/>
      <c r="G4" s="38"/>
      <c r="H4" s="38"/>
      <c r="I4" s="38"/>
      <c r="J4" s="38"/>
      <c r="K4" s="38"/>
    </row>
    <row r="5" spans="1:11">
      <c r="A5" s="38"/>
      <c r="B5" s="38"/>
      <c r="C5" s="38"/>
      <c r="D5" s="38"/>
      <c r="E5" s="38"/>
      <c r="F5" s="38"/>
      <c r="G5" s="38"/>
      <c r="H5" s="38"/>
      <c r="I5" s="38"/>
      <c r="J5" s="38"/>
      <c r="K5" s="38"/>
    </row>
    <row r="6" spans="1:11">
      <c r="A6" s="38"/>
      <c r="B6" s="38"/>
      <c r="C6" s="38"/>
      <c r="D6" s="38"/>
      <c r="E6" s="38"/>
      <c r="F6" s="38"/>
      <c r="G6" s="38"/>
      <c r="H6" s="38"/>
      <c r="I6" s="38"/>
      <c r="J6" s="38"/>
      <c r="K6" s="38"/>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38"/>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G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c r="A33" s="79" t="s">
        <v>88</v>
      </c>
      <c r="B33" s="38"/>
      <c r="C33" s="38"/>
      <c r="D33" s="38"/>
      <c r="E33" s="38"/>
      <c r="F33" s="38"/>
      <c r="G33" s="38"/>
      <c r="H33" s="38"/>
      <c r="I33" s="38"/>
      <c r="J33" s="38"/>
      <c r="K33" s="38"/>
    </row>
  </sheetData>
  <sheetProtection sheet="1" pivotTables="0"/>
  <protectedRanges>
    <protectedRange sqref="C3:E3" name="Plage1"/>
  </protectedRanges>
  <mergeCells count="2">
    <mergeCell ref="B1:G2"/>
    <mergeCell ref="C3:E3"/>
  </mergeCells>
  <pageMargins left="0.7" right="0.7" top="0.75" bottom="0.75" header="0.3" footer="0.3"/>
  <pageSetup paperSize="9" orientation="landscape" r:id="rId1"/>
  <drawing r:id="rId2"/>
  <extLst>
    <ext xmlns:x15="http://schemas.microsoft.com/office/spreadsheetml/2010/11/main" uri="{7E03D99C-DC04-49d9-9315-930204A7B6E9}">
      <x15:timelineRefs>
        <x15:timelineRef r:id="rId3"/>
      </x15:timelineRef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0">
    <tabColor theme="9"/>
  </sheetPr>
  <dimension ref="A1:K1"/>
  <sheetViews>
    <sheetView topLeftCell="A1048576" workbookViewId="0"/>
  </sheetViews>
  <sheetFormatPr baseColWidth="10" defaultColWidth="0" defaultRowHeight="15" zeroHeight="1"/>
  <cols>
    <col min="1" max="11" width="11.42578125" style="38" customWidth="1"/>
    <col min="12" max="16384" width="11.42578125" hidden="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3"/>
  <dimension ref="A1:Q247"/>
  <sheetViews>
    <sheetView workbookViewId="0"/>
  </sheetViews>
  <sheetFormatPr baseColWidth="10" defaultColWidth="11.42578125" defaultRowHeight="15"/>
  <cols>
    <col min="1" max="1" width="105.5703125" style="281" bestFit="1" customWidth="1"/>
    <col min="2" max="16384" width="11.42578125" style="281"/>
  </cols>
  <sheetData>
    <row r="1" spans="1:17" ht="27" thickTop="1" thickBot="1">
      <c r="B1" s="334" t="s">
        <v>249</v>
      </c>
      <c r="C1" s="543" t="s">
        <v>691</v>
      </c>
      <c r="D1" s="544"/>
      <c r="E1" s="544"/>
      <c r="F1" s="544"/>
      <c r="G1" s="544"/>
      <c r="H1" s="544"/>
      <c r="I1" s="544"/>
      <c r="J1" s="544"/>
      <c r="K1" s="544"/>
      <c r="L1" s="544"/>
      <c r="M1" s="544"/>
      <c r="N1" s="544"/>
      <c r="O1" s="545"/>
    </row>
    <row r="2" spans="1:17" ht="26.25" thickBot="1">
      <c r="B2" s="335" t="s">
        <v>692</v>
      </c>
      <c r="C2" s="90" t="s">
        <v>144</v>
      </c>
      <c r="D2" s="90" t="s">
        <v>161</v>
      </c>
      <c r="E2" s="90" t="s">
        <v>173</v>
      </c>
      <c r="F2" s="90" t="s">
        <v>179</v>
      </c>
      <c r="G2" s="90" t="s">
        <v>184</v>
      </c>
      <c r="H2" s="90" t="s">
        <v>189</v>
      </c>
      <c r="I2" s="90" t="s">
        <v>192</v>
      </c>
      <c r="J2" s="90" t="s">
        <v>194</v>
      </c>
      <c r="K2" s="90" t="s">
        <v>693</v>
      </c>
      <c r="L2" s="90" t="s">
        <v>694</v>
      </c>
      <c r="M2" s="90" t="s">
        <v>695</v>
      </c>
      <c r="N2" s="90" t="s">
        <v>696</v>
      </c>
      <c r="O2" s="90" t="s">
        <v>697</v>
      </c>
      <c r="P2" s="90"/>
      <c r="Q2" s="90"/>
    </row>
    <row r="3" spans="1:17" ht="25.5">
      <c r="A3" s="32" t="s">
        <v>587</v>
      </c>
      <c r="B3" s="336" t="s">
        <v>145</v>
      </c>
      <c r="C3" s="337">
        <v>57</v>
      </c>
      <c r="D3" s="337">
        <v>66</v>
      </c>
      <c r="E3" s="337">
        <v>62</v>
      </c>
      <c r="F3" s="337">
        <v>57</v>
      </c>
      <c r="G3" s="337">
        <v>50</v>
      </c>
      <c r="H3" s="337">
        <v>56</v>
      </c>
      <c r="I3" s="337">
        <v>63</v>
      </c>
      <c r="J3" s="337">
        <v>40</v>
      </c>
      <c r="K3" s="338" t="s">
        <v>698</v>
      </c>
      <c r="L3" s="338" t="s">
        <v>698</v>
      </c>
      <c r="M3" s="338" t="s">
        <v>698</v>
      </c>
      <c r="N3" s="338" t="s">
        <v>698</v>
      </c>
      <c r="O3" s="339" t="s">
        <v>699</v>
      </c>
    </row>
    <row r="4" spans="1:17" ht="25.5">
      <c r="A4" s="32" t="s">
        <v>587</v>
      </c>
      <c r="B4" s="340" t="s">
        <v>162</v>
      </c>
      <c r="C4" s="341">
        <v>68</v>
      </c>
      <c r="D4" s="341">
        <v>77</v>
      </c>
      <c r="E4" s="341">
        <v>71</v>
      </c>
      <c r="F4" s="342"/>
      <c r="G4" s="341">
        <v>61</v>
      </c>
      <c r="H4" s="341">
        <v>64</v>
      </c>
      <c r="I4" s="341">
        <v>66</v>
      </c>
      <c r="J4" s="341">
        <v>44</v>
      </c>
      <c r="K4" s="343" t="s">
        <v>698</v>
      </c>
      <c r="L4" s="343" t="s">
        <v>698</v>
      </c>
      <c r="M4" s="343" t="s">
        <v>698</v>
      </c>
      <c r="N4" s="344"/>
      <c r="O4" s="345" t="s">
        <v>698</v>
      </c>
    </row>
    <row r="5" spans="1:17" ht="25.5">
      <c r="A5" s="32" t="s">
        <v>587</v>
      </c>
      <c r="B5" s="340" t="s">
        <v>174</v>
      </c>
      <c r="C5" s="344"/>
      <c r="D5" s="341">
        <v>90</v>
      </c>
      <c r="E5" s="341">
        <v>81</v>
      </c>
      <c r="F5" s="342"/>
      <c r="G5" s="342"/>
      <c r="H5" s="341">
        <v>75</v>
      </c>
      <c r="I5" s="341">
        <v>68</v>
      </c>
      <c r="J5" s="341">
        <v>54</v>
      </c>
      <c r="K5" s="344"/>
      <c r="L5" s="344"/>
      <c r="M5" s="343" t="s">
        <v>698</v>
      </c>
      <c r="N5" s="344"/>
      <c r="O5" s="345" t="s">
        <v>698</v>
      </c>
    </row>
    <row r="6" spans="1:17" ht="38.25">
      <c r="A6" s="32" t="s">
        <v>587</v>
      </c>
      <c r="B6" s="340" t="s">
        <v>180</v>
      </c>
      <c r="C6" s="344"/>
      <c r="D6" s="341">
        <v>125</v>
      </c>
      <c r="E6" s="341">
        <v>115</v>
      </c>
      <c r="F6" s="342"/>
      <c r="G6" s="342"/>
      <c r="H6" s="341">
        <v>109</v>
      </c>
      <c r="I6" s="341">
        <v>99</v>
      </c>
      <c r="J6" s="341">
        <v>84</v>
      </c>
      <c r="K6" s="344"/>
      <c r="L6" s="344"/>
      <c r="M6" s="344"/>
      <c r="N6" s="344"/>
      <c r="O6" s="345" t="s">
        <v>698</v>
      </c>
    </row>
    <row r="7" spans="1:17" ht="25.5">
      <c r="A7" s="32" t="s">
        <v>587</v>
      </c>
      <c r="B7" s="340" t="s">
        <v>185</v>
      </c>
      <c r="C7" s="344"/>
      <c r="D7" s="342"/>
      <c r="E7" s="341">
        <v>133</v>
      </c>
      <c r="F7" s="342"/>
      <c r="G7" s="342"/>
      <c r="H7" s="341">
        <v>117</v>
      </c>
      <c r="I7" s="341">
        <v>107</v>
      </c>
      <c r="J7" s="341">
        <v>92</v>
      </c>
      <c r="K7" s="344"/>
      <c r="L7" s="344"/>
      <c r="M7" s="344"/>
      <c r="N7" s="344"/>
      <c r="O7" s="346"/>
    </row>
    <row r="8" spans="1:17" ht="25.5">
      <c r="A8" s="32" t="s">
        <v>591</v>
      </c>
      <c r="B8" s="340" t="s">
        <v>145</v>
      </c>
      <c r="C8" s="347">
        <v>57</v>
      </c>
      <c r="D8" s="347">
        <v>66</v>
      </c>
      <c r="E8" s="347">
        <v>62</v>
      </c>
      <c r="F8" s="347">
        <v>57</v>
      </c>
      <c r="G8" s="347">
        <v>50</v>
      </c>
      <c r="H8" s="347">
        <v>56</v>
      </c>
      <c r="I8" s="347">
        <v>63</v>
      </c>
      <c r="J8" s="347">
        <v>40</v>
      </c>
      <c r="K8" s="348">
        <v>47</v>
      </c>
      <c r="L8" s="348">
        <v>54</v>
      </c>
      <c r="M8" s="348">
        <v>55</v>
      </c>
      <c r="N8" s="348">
        <v>27</v>
      </c>
      <c r="O8" s="349">
        <v>56</v>
      </c>
    </row>
    <row r="9" spans="1:17" ht="25.5">
      <c r="A9" s="32" t="s">
        <v>591</v>
      </c>
      <c r="B9" s="340" t="s">
        <v>162</v>
      </c>
      <c r="C9" s="347">
        <v>68</v>
      </c>
      <c r="D9" s="347">
        <v>77</v>
      </c>
      <c r="E9" s="347">
        <v>71</v>
      </c>
      <c r="F9" s="350"/>
      <c r="G9" s="347">
        <v>61</v>
      </c>
      <c r="H9" s="347">
        <v>64</v>
      </c>
      <c r="I9" s="347">
        <v>66</v>
      </c>
      <c r="J9" s="347">
        <v>44</v>
      </c>
      <c r="K9" s="348">
        <v>29</v>
      </c>
      <c r="L9" s="348">
        <v>37</v>
      </c>
      <c r="M9" s="348"/>
      <c r="N9" s="351"/>
      <c r="O9" s="349"/>
    </row>
    <row r="10" spans="1:17" ht="25.5">
      <c r="A10" s="32" t="s">
        <v>591</v>
      </c>
      <c r="B10" s="340" t="s">
        <v>174</v>
      </c>
      <c r="C10" s="351"/>
      <c r="D10" s="347">
        <v>90</v>
      </c>
      <c r="E10" s="347">
        <v>81</v>
      </c>
      <c r="F10" s="350"/>
      <c r="G10" s="350"/>
      <c r="H10" s="347">
        <v>75</v>
      </c>
      <c r="I10" s="347">
        <v>68</v>
      </c>
      <c r="J10" s="347">
        <v>54</v>
      </c>
      <c r="K10" s="351"/>
      <c r="L10" s="351"/>
      <c r="M10" s="348"/>
      <c r="N10" s="351">
        <v>28</v>
      </c>
      <c r="O10" s="349"/>
    </row>
    <row r="11" spans="1:17" ht="38.25">
      <c r="A11" s="32" t="s">
        <v>591</v>
      </c>
      <c r="B11" s="340" t="s">
        <v>180</v>
      </c>
      <c r="C11" s="351"/>
      <c r="D11" s="347">
        <v>125</v>
      </c>
      <c r="E11" s="347">
        <v>115</v>
      </c>
      <c r="F11" s="350"/>
      <c r="G11" s="350"/>
      <c r="H11" s="347">
        <v>109</v>
      </c>
      <c r="I11" s="347">
        <v>99</v>
      </c>
      <c r="J11" s="347">
        <v>84</v>
      </c>
      <c r="K11" s="351"/>
      <c r="L11" s="351"/>
      <c r="M11" s="351"/>
      <c r="N11" s="351">
        <v>49</v>
      </c>
      <c r="O11" s="349"/>
    </row>
    <row r="12" spans="1:17" ht="25.5">
      <c r="A12" s="32" t="s">
        <v>591</v>
      </c>
      <c r="B12" s="340" t="s">
        <v>185</v>
      </c>
      <c r="C12" s="351"/>
      <c r="D12" s="350"/>
      <c r="E12" s="347">
        <v>133</v>
      </c>
      <c r="F12" s="350"/>
      <c r="G12" s="350"/>
      <c r="H12" s="347">
        <v>117</v>
      </c>
      <c r="I12" s="347">
        <v>107</v>
      </c>
      <c r="J12" s="347">
        <v>92</v>
      </c>
      <c r="K12" s="351"/>
      <c r="L12" s="351"/>
      <c r="M12" s="351"/>
      <c r="N12" s="351"/>
      <c r="O12" s="349"/>
    </row>
    <row r="13" spans="1:17" ht="25.5">
      <c r="A13" s="32" t="s">
        <v>593</v>
      </c>
      <c r="B13" s="340" t="s">
        <v>145</v>
      </c>
      <c r="C13" s="347">
        <v>57</v>
      </c>
      <c r="D13" s="347">
        <v>66</v>
      </c>
      <c r="E13" s="347">
        <v>62</v>
      </c>
      <c r="F13" s="347">
        <v>57</v>
      </c>
      <c r="G13" s="347">
        <v>50</v>
      </c>
      <c r="H13" s="347">
        <v>56</v>
      </c>
      <c r="I13" s="347">
        <v>63</v>
      </c>
      <c r="J13" s="347">
        <v>40</v>
      </c>
      <c r="K13" s="348">
        <v>47</v>
      </c>
      <c r="L13" s="348">
        <v>54</v>
      </c>
      <c r="M13" s="348">
        <v>55</v>
      </c>
      <c r="N13" s="348">
        <v>27</v>
      </c>
      <c r="O13" s="349">
        <v>56</v>
      </c>
    </row>
    <row r="14" spans="1:17" ht="25.5">
      <c r="A14" s="32" t="s">
        <v>593</v>
      </c>
      <c r="B14" s="340" t="s">
        <v>162</v>
      </c>
      <c r="C14" s="347">
        <v>68</v>
      </c>
      <c r="D14" s="347">
        <v>77</v>
      </c>
      <c r="E14" s="347">
        <v>71</v>
      </c>
      <c r="F14" s="350"/>
      <c r="G14" s="347">
        <v>61</v>
      </c>
      <c r="H14" s="347">
        <v>64</v>
      </c>
      <c r="I14" s="347">
        <v>66</v>
      </c>
      <c r="J14" s="347">
        <v>44</v>
      </c>
      <c r="K14" s="348">
        <v>29</v>
      </c>
      <c r="L14" s="348">
        <v>37</v>
      </c>
      <c r="M14" s="348"/>
      <c r="N14" s="351"/>
      <c r="O14" s="349"/>
    </row>
    <row r="15" spans="1:17" ht="25.5">
      <c r="A15" s="32" t="s">
        <v>593</v>
      </c>
      <c r="B15" s="340" t="s">
        <v>174</v>
      </c>
      <c r="C15" s="351"/>
      <c r="D15" s="347">
        <v>90</v>
      </c>
      <c r="E15" s="347">
        <v>81</v>
      </c>
      <c r="F15" s="350"/>
      <c r="G15" s="350"/>
      <c r="H15" s="347">
        <v>75</v>
      </c>
      <c r="I15" s="347">
        <v>68</v>
      </c>
      <c r="J15" s="347">
        <v>54</v>
      </c>
      <c r="K15" s="351"/>
      <c r="L15" s="351"/>
      <c r="M15" s="348"/>
      <c r="N15" s="351">
        <v>28</v>
      </c>
      <c r="O15" s="349"/>
    </row>
    <row r="16" spans="1:17" ht="38.25">
      <c r="A16" s="32" t="s">
        <v>593</v>
      </c>
      <c r="B16" s="340" t="s">
        <v>180</v>
      </c>
      <c r="C16" s="351"/>
      <c r="D16" s="347">
        <v>125</v>
      </c>
      <c r="E16" s="347">
        <v>115</v>
      </c>
      <c r="F16" s="350"/>
      <c r="G16" s="350"/>
      <c r="H16" s="347">
        <v>109</v>
      </c>
      <c r="I16" s="347">
        <v>99</v>
      </c>
      <c r="J16" s="347">
        <v>84</v>
      </c>
      <c r="K16" s="351"/>
      <c r="L16" s="351"/>
      <c r="M16" s="351"/>
      <c r="N16" s="351">
        <v>49</v>
      </c>
      <c r="O16" s="349"/>
    </row>
    <row r="17" spans="1:15" ht="25.5">
      <c r="A17" s="32" t="s">
        <v>593</v>
      </c>
      <c r="B17" s="340" t="s">
        <v>185</v>
      </c>
      <c r="C17" s="351"/>
      <c r="D17" s="350"/>
      <c r="E17" s="347">
        <v>133</v>
      </c>
      <c r="F17" s="350"/>
      <c r="G17" s="350"/>
      <c r="H17" s="347">
        <v>117</v>
      </c>
      <c r="I17" s="347">
        <v>107</v>
      </c>
      <c r="J17" s="347">
        <v>92</v>
      </c>
      <c r="K17" s="351"/>
      <c r="L17" s="351"/>
      <c r="M17" s="351"/>
      <c r="N17" s="351"/>
      <c r="O17" s="349"/>
    </row>
    <row r="18" spans="1:15" ht="25.5">
      <c r="A18" s="32" t="s">
        <v>613</v>
      </c>
      <c r="B18" s="340" t="s">
        <v>145</v>
      </c>
      <c r="C18" s="352">
        <v>66</v>
      </c>
      <c r="D18" s="352">
        <v>71</v>
      </c>
      <c r="E18" s="352">
        <v>64</v>
      </c>
      <c r="F18" s="352">
        <v>60</v>
      </c>
      <c r="G18" s="352">
        <v>62</v>
      </c>
      <c r="H18" s="352">
        <v>54</v>
      </c>
      <c r="I18" s="352">
        <v>54</v>
      </c>
      <c r="J18" s="352">
        <v>46</v>
      </c>
      <c r="K18" s="343">
        <v>35</v>
      </c>
      <c r="L18" s="343">
        <v>39</v>
      </c>
      <c r="M18" s="343">
        <v>40</v>
      </c>
      <c r="N18" s="343">
        <v>24</v>
      </c>
      <c r="O18" s="345">
        <v>40</v>
      </c>
    </row>
    <row r="19" spans="1:15" ht="25.5">
      <c r="A19" s="32" t="s">
        <v>613</v>
      </c>
      <c r="B19" s="340" t="s">
        <v>162</v>
      </c>
      <c r="C19" s="352">
        <v>80</v>
      </c>
      <c r="D19" s="352">
        <v>86</v>
      </c>
      <c r="E19" s="352">
        <v>76</v>
      </c>
      <c r="F19" s="342"/>
      <c r="G19" s="352">
        <v>74</v>
      </c>
      <c r="H19" s="352">
        <v>66</v>
      </c>
      <c r="I19" s="352">
        <v>64</v>
      </c>
      <c r="J19" s="352">
        <v>54</v>
      </c>
      <c r="K19" s="343">
        <v>25</v>
      </c>
      <c r="L19" s="343">
        <v>29</v>
      </c>
      <c r="M19" s="343"/>
      <c r="N19" s="353"/>
      <c r="O19" s="345"/>
    </row>
    <row r="20" spans="1:15" ht="25.5">
      <c r="A20" s="32" t="s">
        <v>613</v>
      </c>
      <c r="B20" s="340" t="s">
        <v>174</v>
      </c>
      <c r="C20" s="344"/>
      <c r="D20" s="352">
        <v>102</v>
      </c>
      <c r="E20" s="352">
        <v>90</v>
      </c>
      <c r="F20" s="342"/>
      <c r="G20" s="342"/>
      <c r="H20" s="352">
        <v>79</v>
      </c>
      <c r="I20" s="352">
        <v>74</v>
      </c>
      <c r="J20" s="352">
        <v>65</v>
      </c>
      <c r="K20" s="353"/>
      <c r="L20" s="353"/>
      <c r="M20" s="343"/>
      <c r="N20" s="353">
        <v>41</v>
      </c>
      <c r="O20" s="345"/>
    </row>
    <row r="21" spans="1:15" ht="38.25">
      <c r="A21" s="32" t="s">
        <v>613</v>
      </c>
      <c r="B21" s="340" t="s">
        <v>180</v>
      </c>
      <c r="C21" s="344"/>
      <c r="D21" s="352">
        <v>112</v>
      </c>
      <c r="E21" s="352">
        <v>109</v>
      </c>
      <c r="F21" s="342"/>
      <c r="G21" s="342"/>
      <c r="H21" s="352">
        <v>96</v>
      </c>
      <c r="I21" s="352">
        <v>90</v>
      </c>
      <c r="J21" s="352">
        <v>80</v>
      </c>
      <c r="K21" s="353"/>
      <c r="L21" s="353"/>
      <c r="M21" s="353"/>
      <c r="N21" s="353">
        <v>78</v>
      </c>
      <c r="O21" s="345"/>
    </row>
    <row r="22" spans="1:15" ht="25.5">
      <c r="A22" s="32" t="s">
        <v>613</v>
      </c>
      <c r="B22" s="340" t="s">
        <v>185</v>
      </c>
      <c r="C22" s="344"/>
      <c r="D22" s="342"/>
      <c r="E22" s="352">
        <v>120</v>
      </c>
      <c r="F22" s="342"/>
      <c r="G22" s="342"/>
      <c r="H22" s="352">
        <v>108</v>
      </c>
      <c r="I22" s="352">
        <v>100</v>
      </c>
      <c r="J22" s="352">
        <v>90</v>
      </c>
      <c r="K22" s="353"/>
      <c r="L22" s="353"/>
      <c r="M22" s="353"/>
      <c r="N22" s="353"/>
      <c r="O22" s="345"/>
    </row>
    <row r="23" spans="1:15" ht="25.5">
      <c r="A23" s="32" t="s">
        <v>594</v>
      </c>
      <c r="B23" s="340" t="s">
        <v>145</v>
      </c>
      <c r="C23" s="341">
        <v>66</v>
      </c>
      <c r="D23" s="341">
        <v>71</v>
      </c>
      <c r="E23" s="341">
        <v>64</v>
      </c>
      <c r="F23" s="341">
        <v>60</v>
      </c>
      <c r="G23" s="341">
        <v>62</v>
      </c>
      <c r="H23" s="341">
        <v>54</v>
      </c>
      <c r="I23" s="341">
        <v>54</v>
      </c>
      <c r="J23" s="341">
        <v>46</v>
      </c>
      <c r="K23" s="343">
        <v>35</v>
      </c>
      <c r="L23" s="343">
        <v>39</v>
      </c>
      <c r="M23" s="343">
        <v>40</v>
      </c>
      <c r="N23" s="343">
        <v>24</v>
      </c>
      <c r="O23" s="345">
        <v>40</v>
      </c>
    </row>
    <row r="24" spans="1:15" ht="25.5">
      <c r="A24" s="32" t="s">
        <v>594</v>
      </c>
      <c r="B24" s="340" t="s">
        <v>162</v>
      </c>
      <c r="C24" s="341">
        <v>80</v>
      </c>
      <c r="D24" s="341">
        <v>86</v>
      </c>
      <c r="E24" s="341">
        <v>76</v>
      </c>
      <c r="F24" s="341"/>
      <c r="G24" s="341">
        <v>74</v>
      </c>
      <c r="H24" s="341">
        <v>66</v>
      </c>
      <c r="I24" s="341">
        <v>64</v>
      </c>
      <c r="J24" s="341">
        <v>54</v>
      </c>
      <c r="K24" s="343">
        <v>25</v>
      </c>
      <c r="L24" s="343">
        <v>29</v>
      </c>
      <c r="M24" s="343"/>
      <c r="N24" s="353"/>
      <c r="O24" s="345"/>
    </row>
    <row r="25" spans="1:15" ht="25.5">
      <c r="A25" s="32" t="s">
        <v>594</v>
      </c>
      <c r="B25" s="340" t="s">
        <v>174</v>
      </c>
      <c r="C25" s="353"/>
      <c r="D25" s="341">
        <v>102</v>
      </c>
      <c r="E25" s="341">
        <v>90</v>
      </c>
      <c r="F25" s="341"/>
      <c r="G25" s="341"/>
      <c r="H25" s="341">
        <v>79</v>
      </c>
      <c r="I25" s="341">
        <v>74</v>
      </c>
      <c r="J25" s="341">
        <v>65</v>
      </c>
      <c r="K25" s="353"/>
      <c r="L25" s="353"/>
      <c r="M25" s="343"/>
      <c r="N25" s="353">
        <v>41</v>
      </c>
      <c r="O25" s="345"/>
    </row>
    <row r="26" spans="1:15" ht="38.25">
      <c r="A26" s="32" t="s">
        <v>594</v>
      </c>
      <c r="B26" s="340" t="s">
        <v>180</v>
      </c>
      <c r="C26" s="353"/>
      <c r="D26" s="341">
        <v>112</v>
      </c>
      <c r="E26" s="341">
        <v>109</v>
      </c>
      <c r="F26" s="341"/>
      <c r="G26" s="341"/>
      <c r="H26" s="341">
        <v>96</v>
      </c>
      <c r="I26" s="341">
        <v>90</v>
      </c>
      <c r="J26" s="341">
        <v>80</v>
      </c>
      <c r="K26" s="353"/>
      <c r="L26" s="353"/>
      <c r="M26" s="353"/>
      <c r="N26" s="353">
        <v>78</v>
      </c>
      <c r="O26" s="345"/>
    </row>
    <row r="27" spans="1:15" ht="25.5">
      <c r="A27" s="32" t="s">
        <v>594</v>
      </c>
      <c r="B27" s="340" t="s">
        <v>185</v>
      </c>
      <c r="C27" s="353"/>
      <c r="D27" s="341"/>
      <c r="E27" s="341">
        <v>120</v>
      </c>
      <c r="F27" s="341"/>
      <c r="G27" s="341"/>
      <c r="H27" s="341">
        <v>108</v>
      </c>
      <c r="I27" s="341">
        <v>100</v>
      </c>
      <c r="J27" s="341">
        <v>90</v>
      </c>
      <c r="K27" s="353"/>
      <c r="L27" s="353"/>
      <c r="M27" s="353"/>
      <c r="N27" s="353"/>
      <c r="O27" s="345"/>
    </row>
    <row r="28" spans="1:15" ht="25.5">
      <c r="A28" s="32" t="s">
        <v>597</v>
      </c>
      <c r="B28" s="340" t="s">
        <v>145</v>
      </c>
      <c r="C28" s="341">
        <v>66</v>
      </c>
      <c r="D28" s="341">
        <v>71</v>
      </c>
      <c r="E28" s="341">
        <v>64</v>
      </c>
      <c r="F28" s="341">
        <v>60</v>
      </c>
      <c r="G28" s="341">
        <v>62</v>
      </c>
      <c r="H28" s="341">
        <v>54</v>
      </c>
      <c r="I28" s="341">
        <v>54</v>
      </c>
      <c r="J28" s="341">
        <v>46</v>
      </c>
      <c r="K28" s="343">
        <v>35</v>
      </c>
      <c r="L28" s="343">
        <v>39</v>
      </c>
      <c r="M28" s="343">
        <v>40</v>
      </c>
      <c r="N28" s="343">
        <v>24</v>
      </c>
      <c r="O28" s="345">
        <v>40</v>
      </c>
    </row>
    <row r="29" spans="1:15" ht="25.5">
      <c r="A29" s="32" t="s">
        <v>597</v>
      </c>
      <c r="B29" s="340" t="s">
        <v>162</v>
      </c>
      <c r="C29" s="341">
        <v>80</v>
      </c>
      <c r="D29" s="341">
        <v>86</v>
      </c>
      <c r="E29" s="341">
        <v>76</v>
      </c>
      <c r="F29" s="341"/>
      <c r="G29" s="341">
        <v>74</v>
      </c>
      <c r="H29" s="341">
        <v>66</v>
      </c>
      <c r="I29" s="341">
        <v>64</v>
      </c>
      <c r="J29" s="341">
        <v>54</v>
      </c>
      <c r="K29" s="343">
        <v>25</v>
      </c>
      <c r="L29" s="343">
        <v>29</v>
      </c>
      <c r="M29" s="343"/>
      <c r="N29" s="353"/>
      <c r="O29" s="345"/>
    </row>
    <row r="30" spans="1:15" ht="25.5">
      <c r="A30" s="32" t="s">
        <v>597</v>
      </c>
      <c r="B30" s="340" t="s">
        <v>174</v>
      </c>
      <c r="C30" s="353"/>
      <c r="D30" s="341">
        <v>102</v>
      </c>
      <c r="E30" s="341">
        <v>90</v>
      </c>
      <c r="F30" s="341"/>
      <c r="G30" s="341"/>
      <c r="H30" s="341">
        <v>79</v>
      </c>
      <c r="I30" s="341">
        <v>74</v>
      </c>
      <c r="J30" s="341">
        <v>65</v>
      </c>
      <c r="K30" s="353"/>
      <c r="L30" s="353"/>
      <c r="M30" s="343"/>
      <c r="N30" s="353">
        <v>41</v>
      </c>
      <c r="O30" s="345"/>
    </row>
    <row r="31" spans="1:15" ht="38.25">
      <c r="A31" s="32" t="s">
        <v>597</v>
      </c>
      <c r="B31" s="340" t="s">
        <v>180</v>
      </c>
      <c r="C31" s="353"/>
      <c r="D31" s="341">
        <v>112</v>
      </c>
      <c r="E31" s="341">
        <v>109</v>
      </c>
      <c r="F31" s="341"/>
      <c r="G31" s="341"/>
      <c r="H31" s="341">
        <v>96</v>
      </c>
      <c r="I31" s="341">
        <v>90</v>
      </c>
      <c r="J31" s="341">
        <v>80</v>
      </c>
      <c r="K31" s="353"/>
      <c r="L31" s="353"/>
      <c r="M31" s="353"/>
      <c r="N31" s="353">
        <v>78</v>
      </c>
      <c r="O31" s="345"/>
    </row>
    <row r="32" spans="1:15" ht="25.5">
      <c r="A32" s="32" t="s">
        <v>597</v>
      </c>
      <c r="B32" s="340" t="s">
        <v>185</v>
      </c>
      <c r="C32" s="353"/>
      <c r="D32" s="341"/>
      <c r="E32" s="341">
        <v>120</v>
      </c>
      <c r="F32" s="341"/>
      <c r="G32" s="341"/>
      <c r="H32" s="341">
        <v>108</v>
      </c>
      <c r="I32" s="341">
        <v>100</v>
      </c>
      <c r="J32" s="341">
        <v>90</v>
      </c>
      <c r="K32" s="353"/>
      <c r="L32" s="353"/>
      <c r="M32" s="353"/>
      <c r="N32" s="353"/>
      <c r="O32" s="345"/>
    </row>
    <row r="33" spans="1:15" ht="25.5">
      <c r="A33" s="32" t="s">
        <v>598</v>
      </c>
      <c r="B33" s="340" t="s">
        <v>145</v>
      </c>
      <c r="C33" s="341">
        <v>72</v>
      </c>
      <c r="D33" s="341">
        <v>78</v>
      </c>
      <c r="E33" s="341">
        <v>71</v>
      </c>
      <c r="F33" s="341">
        <v>66</v>
      </c>
      <c r="G33" s="341">
        <v>68</v>
      </c>
      <c r="H33" s="341">
        <v>63</v>
      </c>
      <c r="I33" s="341">
        <v>64</v>
      </c>
      <c r="J33" s="341">
        <v>59</v>
      </c>
      <c r="K33" s="343">
        <v>136</v>
      </c>
      <c r="L33" s="343">
        <v>156</v>
      </c>
      <c r="M33" s="343">
        <v>161</v>
      </c>
      <c r="N33" s="343">
        <v>75</v>
      </c>
      <c r="O33" s="345">
        <v>163</v>
      </c>
    </row>
    <row r="34" spans="1:15" ht="25.5">
      <c r="A34" s="32" t="s">
        <v>598</v>
      </c>
      <c r="B34" s="340" t="s">
        <v>162</v>
      </c>
      <c r="C34" s="341">
        <v>84</v>
      </c>
      <c r="D34" s="341">
        <v>91</v>
      </c>
      <c r="E34" s="341">
        <v>83</v>
      </c>
      <c r="F34" s="341"/>
      <c r="G34" s="341">
        <v>80</v>
      </c>
      <c r="H34" s="341">
        <v>73</v>
      </c>
      <c r="I34" s="341">
        <v>70</v>
      </c>
      <c r="J34" s="341">
        <v>63</v>
      </c>
      <c r="K34" s="343">
        <v>84</v>
      </c>
      <c r="L34" s="343">
        <v>105</v>
      </c>
      <c r="M34" s="343"/>
      <c r="N34" s="353"/>
      <c r="O34" s="345"/>
    </row>
    <row r="35" spans="1:15" ht="25.5">
      <c r="A35" s="32" t="s">
        <v>598</v>
      </c>
      <c r="B35" s="340" t="s">
        <v>174</v>
      </c>
      <c r="C35" s="341" t="s">
        <v>57</v>
      </c>
      <c r="D35" s="341">
        <v>105</v>
      </c>
      <c r="E35" s="341">
        <v>95</v>
      </c>
      <c r="F35" s="341"/>
      <c r="G35" s="341"/>
      <c r="H35" s="341">
        <v>84</v>
      </c>
      <c r="I35" s="341">
        <v>81</v>
      </c>
      <c r="J35" s="341">
        <v>71</v>
      </c>
      <c r="K35" s="353"/>
      <c r="L35" s="353"/>
      <c r="M35" s="343"/>
      <c r="N35" s="353">
        <v>53</v>
      </c>
      <c r="O35" s="345"/>
    </row>
    <row r="36" spans="1:15" ht="38.25">
      <c r="A36" s="32" t="s">
        <v>598</v>
      </c>
      <c r="B36" s="340" t="s">
        <v>180</v>
      </c>
      <c r="C36" s="353"/>
      <c r="D36" s="341">
        <v>125</v>
      </c>
      <c r="E36" s="341">
        <v>112</v>
      </c>
      <c r="F36" s="341" t="s">
        <v>700</v>
      </c>
      <c r="G36" s="341" t="s">
        <v>57</v>
      </c>
      <c r="H36" s="341">
        <v>101</v>
      </c>
      <c r="I36" s="341">
        <v>95</v>
      </c>
      <c r="J36" s="341">
        <v>85</v>
      </c>
      <c r="K36" s="353"/>
      <c r="L36" s="353"/>
      <c r="M36" s="353"/>
      <c r="N36" s="353">
        <v>81</v>
      </c>
      <c r="O36" s="345"/>
    </row>
    <row r="37" spans="1:15" ht="25.5">
      <c r="A37" s="32" t="s">
        <v>598</v>
      </c>
      <c r="B37" s="340" t="s">
        <v>185</v>
      </c>
      <c r="C37" s="353"/>
      <c r="D37" s="341"/>
      <c r="E37" s="341">
        <v>124</v>
      </c>
      <c r="F37" s="341" t="s">
        <v>57</v>
      </c>
      <c r="G37" s="341"/>
      <c r="H37" s="341">
        <v>111</v>
      </c>
      <c r="I37" s="341">
        <v>104</v>
      </c>
      <c r="J37" s="341">
        <v>94</v>
      </c>
      <c r="K37" s="354"/>
      <c r="L37" s="354"/>
      <c r="M37" s="354"/>
      <c r="N37" s="354"/>
      <c r="O37" s="355"/>
    </row>
    <row r="38" spans="1:15" ht="25.5">
      <c r="A38" s="32" t="s">
        <v>614</v>
      </c>
      <c r="B38" s="340" t="s">
        <v>145</v>
      </c>
      <c r="C38" s="341">
        <v>72</v>
      </c>
      <c r="D38" s="341">
        <v>78</v>
      </c>
      <c r="E38" s="341">
        <v>71</v>
      </c>
      <c r="F38" s="341">
        <v>66</v>
      </c>
      <c r="G38" s="341">
        <v>68</v>
      </c>
      <c r="H38" s="341">
        <v>63</v>
      </c>
      <c r="I38" s="341">
        <v>64</v>
      </c>
      <c r="J38" s="341">
        <v>59</v>
      </c>
      <c r="K38" s="343">
        <v>136</v>
      </c>
      <c r="L38" s="343">
        <v>156</v>
      </c>
      <c r="M38" s="343">
        <v>161</v>
      </c>
      <c r="N38" s="343">
        <v>75</v>
      </c>
      <c r="O38" s="345">
        <v>163</v>
      </c>
    </row>
    <row r="39" spans="1:15" ht="25.5">
      <c r="A39" s="32" t="s">
        <v>614</v>
      </c>
      <c r="B39" s="340" t="s">
        <v>162</v>
      </c>
      <c r="C39" s="341">
        <v>84</v>
      </c>
      <c r="D39" s="341">
        <v>91</v>
      </c>
      <c r="E39" s="341">
        <v>83</v>
      </c>
      <c r="F39" s="341"/>
      <c r="G39" s="341">
        <v>80</v>
      </c>
      <c r="H39" s="341">
        <v>73</v>
      </c>
      <c r="I39" s="341">
        <v>70</v>
      </c>
      <c r="J39" s="341">
        <v>63</v>
      </c>
      <c r="K39" s="343">
        <v>84</v>
      </c>
      <c r="L39" s="343">
        <v>105</v>
      </c>
      <c r="M39" s="343"/>
      <c r="N39" s="353"/>
      <c r="O39" s="345"/>
    </row>
    <row r="40" spans="1:15" ht="25.5">
      <c r="A40" s="32" t="s">
        <v>614</v>
      </c>
      <c r="B40" s="340" t="s">
        <v>174</v>
      </c>
      <c r="C40" s="341" t="s">
        <v>57</v>
      </c>
      <c r="D40" s="341">
        <v>105</v>
      </c>
      <c r="E40" s="341">
        <v>95</v>
      </c>
      <c r="F40" s="341"/>
      <c r="G40" s="341"/>
      <c r="H40" s="341">
        <v>84</v>
      </c>
      <c r="I40" s="341">
        <v>81</v>
      </c>
      <c r="J40" s="341">
        <v>71</v>
      </c>
      <c r="K40" s="353"/>
      <c r="L40" s="353"/>
      <c r="M40" s="343"/>
      <c r="N40" s="353">
        <v>53</v>
      </c>
      <c r="O40" s="345"/>
    </row>
    <row r="41" spans="1:15" ht="38.25">
      <c r="A41" s="32" t="s">
        <v>614</v>
      </c>
      <c r="B41" s="340" t="s">
        <v>180</v>
      </c>
      <c r="C41" s="353"/>
      <c r="D41" s="341">
        <v>125</v>
      </c>
      <c r="E41" s="341">
        <v>112</v>
      </c>
      <c r="F41" s="341" t="s">
        <v>700</v>
      </c>
      <c r="G41" s="341" t="s">
        <v>57</v>
      </c>
      <c r="H41" s="341">
        <v>101</v>
      </c>
      <c r="I41" s="341">
        <v>95</v>
      </c>
      <c r="J41" s="341">
        <v>85</v>
      </c>
      <c r="K41" s="353"/>
      <c r="L41" s="353"/>
      <c r="M41" s="353"/>
      <c r="N41" s="353">
        <v>81</v>
      </c>
      <c r="O41" s="345"/>
    </row>
    <row r="42" spans="1:15" ht="25.5">
      <c r="A42" s="32" t="s">
        <v>614</v>
      </c>
      <c r="B42" s="340" t="s">
        <v>185</v>
      </c>
      <c r="C42" s="353"/>
      <c r="D42" s="341"/>
      <c r="E42" s="341">
        <v>124</v>
      </c>
      <c r="F42" s="341" t="s">
        <v>57</v>
      </c>
      <c r="G42" s="341"/>
      <c r="H42" s="341">
        <v>111</v>
      </c>
      <c r="I42" s="341">
        <v>104</v>
      </c>
      <c r="J42" s="341">
        <v>94</v>
      </c>
      <c r="K42" s="354"/>
      <c r="L42" s="354"/>
      <c r="M42" s="354"/>
      <c r="N42" s="354"/>
      <c r="O42" s="355"/>
    </row>
    <row r="43" spans="1:15" ht="25.5">
      <c r="A43" s="32" t="s">
        <v>601</v>
      </c>
      <c r="B43" s="340" t="s">
        <v>145</v>
      </c>
      <c r="C43" s="352">
        <v>68</v>
      </c>
      <c r="D43" s="352">
        <v>76</v>
      </c>
      <c r="E43" s="352">
        <v>85</v>
      </c>
      <c r="F43" s="352">
        <v>64</v>
      </c>
      <c r="G43" s="352">
        <v>73</v>
      </c>
      <c r="H43" s="352">
        <v>92</v>
      </c>
      <c r="I43" s="352">
        <v>115</v>
      </c>
      <c r="J43" s="352">
        <v>117</v>
      </c>
      <c r="K43" s="343" t="s">
        <v>698</v>
      </c>
      <c r="L43" s="343" t="s">
        <v>698</v>
      </c>
      <c r="M43" s="343" t="s">
        <v>698</v>
      </c>
      <c r="N43" s="343" t="s">
        <v>698</v>
      </c>
      <c r="O43" s="345" t="s">
        <v>699</v>
      </c>
    </row>
    <row r="44" spans="1:15" ht="25.5">
      <c r="A44" s="32" t="s">
        <v>601</v>
      </c>
      <c r="B44" s="340" t="s">
        <v>162</v>
      </c>
      <c r="C44" s="352">
        <v>62</v>
      </c>
      <c r="D44" s="352">
        <v>69</v>
      </c>
      <c r="E44" s="352">
        <v>74</v>
      </c>
      <c r="F44" s="356"/>
      <c r="G44" s="352">
        <v>65</v>
      </c>
      <c r="H44" s="352">
        <v>75</v>
      </c>
      <c r="I44" s="352">
        <v>95</v>
      </c>
      <c r="J44" s="352">
        <v>93</v>
      </c>
      <c r="K44" s="343" t="s">
        <v>698</v>
      </c>
      <c r="L44" s="343" t="s">
        <v>698</v>
      </c>
      <c r="M44" s="343" t="s">
        <v>698</v>
      </c>
      <c r="N44" s="357"/>
      <c r="O44" s="345" t="s">
        <v>698</v>
      </c>
    </row>
    <row r="45" spans="1:15" ht="25.5">
      <c r="A45" s="32" t="s">
        <v>601</v>
      </c>
      <c r="B45" s="340" t="s">
        <v>174</v>
      </c>
      <c r="C45" s="357"/>
      <c r="D45" s="352">
        <v>67</v>
      </c>
      <c r="E45" s="352">
        <v>68</v>
      </c>
      <c r="F45" s="356"/>
      <c r="G45" s="356"/>
      <c r="H45" s="352">
        <v>66</v>
      </c>
      <c r="I45" s="352">
        <v>81</v>
      </c>
      <c r="J45" s="352">
        <v>75</v>
      </c>
      <c r="K45" s="357"/>
      <c r="L45" s="357"/>
      <c r="M45" s="343" t="s">
        <v>698</v>
      </c>
      <c r="N45" s="357"/>
      <c r="O45" s="345" t="s">
        <v>698</v>
      </c>
    </row>
    <row r="46" spans="1:15" ht="38.25">
      <c r="A46" s="32" t="s">
        <v>601</v>
      </c>
      <c r="B46" s="340" t="s">
        <v>180</v>
      </c>
      <c r="C46" s="357"/>
      <c r="D46" s="352">
        <v>71</v>
      </c>
      <c r="E46" s="352">
        <v>68</v>
      </c>
      <c r="F46" s="356"/>
      <c r="G46" s="356"/>
      <c r="H46" s="352">
        <v>64</v>
      </c>
      <c r="I46" s="352">
        <v>72</v>
      </c>
      <c r="J46" s="352">
        <v>64</v>
      </c>
      <c r="K46" s="357"/>
      <c r="L46" s="357"/>
      <c r="M46" s="357"/>
      <c r="N46" s="357"/>
      <c r="O46" s="345" t="s">
        <v>698</v>
      </c>
    </row>
    <row r="47" spans="1:15" ht="25.5">
      <c r="A47" s="32" t="s">
        <v>601</v>
      </c>
      <c r="B47" s="340" t="s">
        <v>185</v>
      </c>
      <c r="C47" s="357"/>
      <c r="D47" s="356"/>
      <c r="E47" s="352">
        <v>70</v>
      </c>
      <c r="F47" s="356"/>
      <c r="G47" s="356"/>
      <c r="H47" s="352">
        <v>66</v>
      </c>
      <c r="I47" s="352">
        <v>69</v>
      </c>
      <c r="J47" s="352">
        <v>62</v>
      </c>
      <c r="K47" s="357"/>
      <c r="L47" s="357"/>
      <c r="M47" s="357"/>
      <c r="N47" s="357"/>
      <c r="O47" s="358"/>
    </row>
    <row r="48" spans="1:15" ht="25.5">
      <c r="A48" s="32" t="s">
        <v>604</v>
      </c>
      <c r="B48" s="340" t="s">
        <v>145</v>
      </c>
      <c r="C48" s="352">
        <v>56</v>
      </c>
      <c r="D48" s="352">
        <v>61</v>
      </c>
      <c r="E48" s="352">
        <v>54</v>
      </c>
      <c r="F48" s="352">
        <v>51</v>
      </c>
      <c r="G48" s="352">
        <v>53</v>
      </c>
      <c r="H48" s="352">
        <v>47</v>
      </c>
      <c r="I48" s="352">
        <v>46</v>
      </c>
      <c r="J48" s="352">
        <v>39</v>
      </c>
      <c r="K48" s="343">
        <v>44</v>
      </c>
      <c r="L48" s="343">
        <v>49</v>
      </c>
      <c r="M48" s="343">
        <v>50</v>
      </c>
      <c r="N48" s="343">
        <v>30</v>
      </c>
      <c r="O48" s="345">
        <v>50</v>
      </c>
    </row>
    <row r="49" spans="1:15" ht="25.5">
      <c r="A49" s="32" t="s">
        <v>604</v>
      </c>
      <c r="B49" s="340" t="s">
        <v>162</v>
      </c>
      <c r="C49" s="352">
        <v>67</v>
      </c>
      <c r="D49" s="352">
        <v>73</v>
      </c>
      <c r="E49" s="352">
        <v>65</v>
      </c>
      <c r="F49" s="359"/>
      <c r="G49" s="352">
        <v>64</v>
      </c>
      <c r="H49" s="352">
        <v>56</v>
      </c>
      <c r="I49" s="352">
        <v>53</v>
      </c>
      <c r="J49" s="352">
        <v>47</v>
      </c>
      <c r="K49" s="343">
        <v>32</v>
      </c>
      <c r="L49" s="343">
        <v>37</v>
      </c>
      <c r="M49" s="343"/>
      <c r="N49" s="353"/>
      <c r="O49" s="345"/>
    </row>
    <row r="50" spans="1:15" ht="25.5">
      <c r="A50" s="32" t="s">
        <v>604</v>
      </c>
      <c r="B50" s="340" t="s">
        <v>174</v>
      </c>
      <c r="C50" s="354"/>
      <c r="D50" s="352">
        <v>84</v>
      </c>
      <c r="E50" s="352">
        <v>75</v>
      </c>
      <c r="F50" s="359"/>
      <c r="G50" s="359"/>
      <c r="H50" s="352">
        <v>68</v>
      </c>
      <c r="I50" s="352">
        <v>64</v>
      </c>
      <c r="J50" s="352">
        <v>55</v>
      </c>
      <c r="K50" s="353"/>
      <c r="L50" s="353"/>
      <c r="M50" s="343"/>
      <c r="N50" s="353">
        <v>41</v>
      </c>
      <c r="O50" s="345"/>
    </row>
    <row r="51" spans="1:15" ht="38.25">
      <c r="A51" s="32" t="s">
        <v>604</v>
      </c>
      <c r="B51" s="340" t="s">
        <v>180</v>
      </c>
      <c r="C51" s="354"/>
      <c r="D51" s="352">
        <v>101</v>
      </c>
      <c r="E51" s="352">
        <v>90</v>
      </c>
      <c r="F51" s="359"/>
      <c r="G51" s="359"/>
      <c r="H51" s="352">
        <v>80</v>
      </c>
      <c r="I51" s="352">
        <v>76</v>
      </c>
      <c r="J51" s="352">
        <v>68</v>
      </c>
      <c r="K51" s="353"/>
      <c r="L51" s="353"/>
      <c r="M51" s="353"/>
      <c r="N51" s="353">
        <v>70</v>
      </c>
      <c r="O51" s="345"/>
    </row>
    <row r="52" spans="1:15" ht="25.5">
      <c r="A52" s="32" t="s">
        <v>604</v>
      </c>
      <c r="B52" s="340" t="s">
        <v>185</v>
      </c>
      <c r="C52" s="354"/>
      <c r="D52" s="359"/>
      <c r="E52" s="352">
        <v>100</v>
      </c>
      <c r="F52" s="359"/>
      <c r="G52" s="359"/>
      <c r="H52" s="352">
        <v>90</v>
      </c>
      <c r="I52" s="352">
        <v>83</v>
      </c>
      <c r="J52" s="352">
        <v>75</v>
      </c>
      <c r="K52" s="354"/>
      <c r="L52" s="354"/>
      <c r="M52" s="354"/>
      <c r="N52" s="354"/>
      <c r="O52" s="355"/>
    </row>
    <row r="53" spans="1:15" ht="25.5">
      <c r="A53" s="32" t="s">
        <v>627</v>
      </c>
      <c r="B53" s="340" t="s">
        <v>145</v>
      </c>
      <c r="C53" s="350">
        <v>100</v>
      </c>
      <c r="D53" s="350">
        <v>110</v>
      </c>
      <c r="E53" s="350">
        <v>98</v>
      </c>
      <c r="F53" s="350">
        <v>92</v>
      </c>
      <c r="G53" s="350">
        <v>95</v>
      </c>
      <c r="H53" s="350">
        <v>85</v>
      </c>
      <c r="I53" s="350">
        <v>85</v>
      </c>
      <c r="J53" s="350">
        <v>74</v>
      </c>
      <c r="K53" s="348">
        <v>74</v>
      </c>
      <c r="L53" s="348">
        <v>85</v>
      </c>
      <c r="M53" s="348">
        <v>87</v>
      </c>
      <c r="N53" s="348">
        <v>43</v>
      </c>
      <c r="O53" s="349">
        <v>88</v>
      </c>
    </row>
    <row r="54" spans="1:15" ht="25.5">
      <c r="A54" s="32" t="s">
        <v>627</v>
      </c>
      <c r="B54" s="340" t="s">
        <v>162</v>
      </c>
      <c r="C54" s="350">
        <v>121</v>
      </c>
      <c r="D54" s="350">
        <v>131</v>
      </c>
      <c r="E54" s="350">
        <v>116</v>
      </c>
      <c r="F54" s="350"/>
      <c r="G54" s="350">
        <v>114</v>
      </c>
      <c r="H54" s="350">
        <v>102</v>
      </c>
      <c r="I54" s="350">
        <v>96</v>
      </c>
      <c r="J54" s="350">
        <v>84</v>
      </c>
      <c r="K54" s="348">
        <v>46</v>
      </c>
      <c r="L54" s="348">
        <v>58</v>
      </c>
      <c r="M54" s="348"/>
      <c r="N54" s="351"/>
      <c r="O54" s="349"/>
    </row>
    <row r="55" spans="1:15" ht="25.5">
      <c r="A55" s="32" t="s">
        <v>627</v>
      </c>
      <c r="B55" s="340" t="s">
        <v>174</v>
      </c>
      <c r="C55" s="351"/>
      <c r="D55" s="350">
        <v>154</v>
      </c>
      <c r="E55" s="350">
        <v>138</v>
      </c>
      <c r="F55" s="350"/>
      <c r="G55" s="350"/>
      <c r="H55" s="350">
        <v>120</v>
      </c>
      <c r="I55" s="350">
        <v>115</v>
      </c>
      <c r="J55" s="350">
        <v>99</v>
      </c>
      <c r="K55" s="351"/>
      <c r="L55" s="351"/>
      <c r="M55" s="348"/>
      <c r="N55" s="351">
        <v>49</v>
      </c>
      <c r="O55" s="349"/>
    </row>
    <row r="56" spans="1:15" ht="38.25">
      <c r="A56" s="32" t="s">
        <v>627</v>
      </c>
      <c r="B56" s="340" t="s">
        <v>180</v>
      </c>
      <c r="C56" s="351"/>
      <c r="D56" s="350">
        <v>181</v>
      </c>
      <c r="E56" s="350">
        <v>163</v>
      </c>
      <c r="F56" s="350"/>
      <c r="G56" s="350"/>
      <c r="H56" s="350">
        <v>146</v>
      </c>
      <c r="I56" s="350">
        <v>138</v>
      </c>
      <c r="J56" s="350">
        <v>122</v>
      </c>
      <c r="K56" s="351"/>
      <c r="L56" s="351"/>
      <c r="M56" s="351"/>
      <c r="N56" s="351">
        <v>90</v>
      </c>
      <c r="O56" s="349"/>
    </row>
    <row r="57" spans="1:15" ht="25.5">
      <c r="A57" s="32" t="s">
        <v>627</v>
      </c>
      <c r="B57" s="340" t="s">
        <v>185</v>
      </c>
      <c r="C57" s="351"/>
      <c r="D57" s="350"/>
      <c r="E57" s="350">
        <v>179</v>
      </c>
      <c r="F57" s="350"/>
      <c r="G57" s="350"/>
      <c r="H57" s="350">
        <v>161</v>
      </c>
      <c r="I57" s="350">
        <v>153</v>
      </c>
      <c r="J57" s="350">
        <v>137</v>
      </c>
      <c r="K57" s="351"/>
      <c r="L57" s="351"/>
      <c r="M57" s="351"/>
      <c r="N57" s="351"/>
      <c r="O57" s="349"/>
    </row>
    <row r="58" spans="1:15" ht="25.5">
      <c r="A58" s="32" t="s">
        <v>626</v>
      </c>
      <c r="B58" s="340" t="s">
        <v>145</v>
      </c>
      <c r="C58" s="350">
        <v>100</v>
      </c>
      <c r="D58" s="350">
        <v>110</v>
      </c>
      <c r="E58" s="350">
        <v>98</v>
      </c>
      <c r="F58" s="350">
        <v>92</v>
      </c>
      <c r="G58" s="350">
        <v>95</v>
      </c>
      <c r="H58" s="350">
        <v>85</v>
      </c>
      <c r="I58" s="350">
        <v>85</v>
      </c>
      <c r="J58" s="350">
        <v>74</v>
      </c>
      <c r="K58" s="348">
        <v>74</v>
      </c>
      <c r="L58" s="348">
        <v>85</v>
      </c>
      <c r="M58" s="348">
        <v>87</v>
      </c>
      <c r="N58" s="348">
        <v>43</v>
      </c>
      <c r="O58" s="349">
        <v>88</v>
      </c>
    </row>
    <row r="59" spans="1:15" ht="25.5">
      <c r="A59" s="32" t="s">
        <v>626</v>
      </c>
      <c r="B59" s="340" t="s">
        <v>162</v>
      </c>
      <c r="C59" s="350">
        <v>121</v>
      </c>
      <c r="D59" s="350">
        <v>131</v>
      </c>
      <c r="E59" s="350">
        <v>116</v>
      </c>
      <c r="F59" s="350"/>
      <c r="G59" s="350">
        <v>114</v>
      </c>
      <c r="H59" s="350">
        <v>102</v>
      </c>
      <c r="I59" s="350">
        <v>96</v>
      </c>
      <c r="J59" s="350">
        <v>84</v>
      </c>
      <c r="K59" s="348">
        <v>46</v>
      </c>
      <c r="L59" s="348">
        <v>58</v>
      </c>
      <c r="M59" s="348"/>
      <c r="N59" s="351"/>
      <c r="O59" s="349"/>
    </row>
    <row r="60" spans="1:15" ht="25.5">
      <c r="A60" s="32" t="s">
        <v>626</v>
      </c>
      <c r="B60" s="340" t="s">
        <v>174</v>
      </c>
      <c r="C60" s="351"/>
      <c r="D60" s="350">
        <v>154</v>
      </c>
      <c r="E60" s="350">
        <v>138</v>
      </c>
      <c r="F60" s="350"/>
      <c r="G60" s="350"/>
      <c r="H60" s="350">
        <v>120</v>
      </c>
      <c r="I60" s="350">
        <v>115</v>
      </c>
      <c r="J60" s="350">
        <v>99</v>
      </c>
      <c r="K60" s="351"/>
      <c r="L60" s="351"/>
      <c r="M60" s="348"/>
      <c r="N60" s="351">
        <v>49</v>
      </c>
      <c r="O60" s="349"/>
    </row>
    <row r="61" spans="1:15" ht="38.25">
      <c r="A61" s="32" t="s">
        <v>626</v>
      </c>
      <c r="B61" s="340" t="s">
        <v>180</v>
      </c>
      <c r="C61" s="351"/>
      <c r="D61" s="350">
        <v>181</v>
      </c>
      <c r="E61" s="350">
        <v>163</v>
      </c>
      <c r="F61" s="350"/>
      <c r="G61" s="350"/>
      <c r="H61" s="350">
        <v>146</v>
      </c>
      <c r="I61" s="350">
        <v>138</v>
      </c>
      <c r="J61" s="350">
        <v>122</v>
      </c>
      <c r="K61" s="351"/>
      <c r="L61" s="351"/>
      <c r="M61" s="351"/>
      <c r="N61" s="351">
        <v>90</v>
      </c>
      <c r="O61" s="349"/>
    </row>
    <row r="62" spans="1:15" ht="25.5">
      <c r="A62" s="32" t="s">
        <v>626</v>
      </c>
      <c r="B62" s="340" t="s">
        <v>185</v>
      </c>
      <c r="C62" s="351"/>
      <c r="D62" s="350"/>
      <c r="E62" s="350">
        <v>179</v>
      </c>
      <c r="F62" s="350"/>
      <c r="G62" s="350"/>
      <c r="H62" s="350">
        <v>161</v>
      </c>
      <c r="I62" s="350">
        <v>153</v>
      </c>
      <c r="J62" s="350">
        <v>137</v>
      </c>
      <c r="K62" s="351"/>
      <c r="L62" s="351"/>
      <c r="M62" s="351"/>
      <c r="N62" s="351"/>
      <c r="O62" s="349"/>
    </row>
    <row r="63" spans="1:15" ht="25.5">
      <c r="A63" s="32" t="s">
        <v>624</v>
      </c>
      <c r="B63" s="340" t="s">
        <v>145</v>
      </c>
      <c r="C63" s="347">
        <v>34</v>
      </c>
      <c r="D63" s="347">
        <v>37</v>
      </c>
      <c r="E63" s="347">
        <v>36</v>
      </c>
      <c r="F63" s="347">
        <v>32</v>
      </c>
      <c r="G63" s="347">
        <v>34</v>
      </c>
      <c r="H63" s="347">
        <v>35</v>
      </c>
      <c r="I63" s="347">
        <v>38</v>
      </c>
      <c r="J63" s="347">
        <v>36</v>
      </c>
      <c r="K63" s="348">
        <v>47</v>
      </c>
      <c r="L63" s="348">
        <v>54</v>
      </c>
      <c r="M63" s="348">
        <v>55</v>
      </c>
      <c r="N63" s="348">
        <v>27</v>
      </c>
      <c r="O63" s="349">
        <v>56</v>
      </c>
    </row>
    <row r="64" spans="1:15" ht="25.5">
      <c r="A64" s="32" t="s">
        <v>624</v>
      </c>
      <c r="B64" s="340" t="s">
        <v>162</v>
      </c>
      <c r="C64" s="347">
        <v>38</v>
      </c>
      <c r="D64" s="347">
        <v>41</v>
      </c>
      <c r="E64" s="347">
        <v>39</v>
      </c>
      <c r="F64" s="350"/>
      <c r="G64" s="347">
        <v>37</v>
      </c>
      <c r="H64" s="347">
        <v>36</v>
      </c>
      <c r="I64" s="347">
        <v>38</v>
      </c>
      <c r="J64" s="347">
        <v>35</v>
      </c>
      <c r="K64" s="348">
        <v>29</v>
      </c>
      <c r="L64" s="348">
        <v>37</v>
      </c>
      <c r="M64" s="348"/>
      <c r="N64" s="351"/>
      <c r="O64" s="349"/>
    </row>
    <row r="65" spans="1:15" ht="25.5">
      <c r="A65" s="32" t="s">
        <v>624</v>
      </c>
      <c r="B65" s="340" t="s">
        <v>174</v>
      </c>
      <c r="C65" s="351"/>
      <c r="D65" s="347">
        <v>46</v>
      </c>
      <c r="E65" s="347">
        <v>42</v>
      </c>
      <c r="F65" s="350"/>
      <c r="G65" s="350"/>
      <c r="H65" s="347">
        <v>38</v>
      </c>
      <c r="I65" s="347">
        <v>39</v>
      </c>
      <c r="J65" s="347">
        <v>35</v>
      </c>
      <c r="K65" s="351"/>
      <c r="L65" s="351"/>
      <c r="M65" s="348"/>
      <c r="N65" s="351">
        <v>28</v>
      </c>
      <c r="O65" s="349"/>
    </row>
    <row r="66" spans="1:15" ht="38.25">
      <c r="A66" s="32" t="s">
        <v>624</v>
      </c>
      <c r="B66" s="340" t="s">
        <v>180</v>
      </c>
      <c r="C66" s="351"/>
      <c r="D66" s="347">
        <v>53</v>
      </c>
      <c r="E66" s="347">
        <v>48</v>
      </c>
      <c r="F66" s="350"/>
      <c r="G66" s="350"/>
      <c r="H66" s="347">
        <v>43</v>
      </c>
      <c r="I66" s="347">
        <v>43</v>
      </c>
      <c r="J66" s="347">
        <v>38</v>
      </c>
      <c r="K66" s="351"/>
      <c r="L66" s="351"/>
      <c r="M66" s="351"/>
      <c r="N66" s="351">
        <v>49</v>
      </c>
      <c r="O66" s="349"/>
    </row>
    <row r="67" spans="1:15" ht="25.5">
      <c r="A67" s="32" t="s">
        <v>624</v>
      </c>
      <c r="B67" s="340" t="s">
        <v>185</v>
      </c>
      <c r="C67" s="351"/>
      <c r="D67" s="350"/>
      <c r="E67" s="347">
        <v>52</v>
      </c>
      <c r="F67" s="350"/>
      <c r="G67" s="350"/>
      <c r="H67" s="347">
        <v>47</v>
      </c>
      <c r="I67" s="347">
        <v>45</v>
      </c>
      <c r="J67" s="347">
        <v>41</v>
      </c>
      <c r="K67" s="351"/>
      <c r="L67" s="351"/>
      <c r="M67" s="351"/>
      <c r="N67" s="351"/>
      <c r="O67" s="349"/>
    </row>
    <row r="68" spans="1:15" ht="25.5">
      <c r="A68" s="32" t="s">
        <v>628</v>
      </c>
      <c r="B68" s="340" t="s">
        <v>145</v>
      </c>
      <c r="C68" s="347">
        <v>57</v>
      </c>
      <c r="D68" s="347">
        <v>66</v>
      </c>
      <c r="E68" s="347">
        <v>62</v>
      </c>
      <c r="F68" s="347">
        <v>57</v>
      </c>
      <c r="G68" s="347">
        <v>50</v>
      </c>
      <c r="H68" s="347">
        <v>56</v>
      </c>
      <c r="I68" s="347">
        <v>63</v>
      </c>
      <c r="J68" s="347">
        <v>40</v>
      </c>
      <c r="K68" s="348">
        <v>47</v>
      </c>
      <c r="L68" s="348">
        <v>54</v>
      </c>
      <c r="M68" s="348">
        <v>55</v>
      </c>
      <c r="N68" s="348">
        <v>27</v>
      </c>
      <c r="O68" s="349">
        <v>56</v>
      </c>
    </row>
    <row r="69" spans="1:15" ht="25.5">
      <c r="A69" s="32" t="s">
        <v>628</v>
      </c>
      <c r="B69" s="340" t="s">
        <v>162</v>
      </c>
      <c r="C69" s="347">
        <v>68</v>
      </c>
      <c r="D69" s="347">
        <v>77</v>
      </c>
      <c r="E69" s="347">
        <v>71</v>
      </c>
      <c r="F69" s="350"/>
      <c r="G69" s="347">
        <v>61</v>
      </c>
      <c r="H69" s="347">
        <v>64</v>
      </c>
      <c r="I69" s="347">
        <v>66</v>
      </c>
      <c r="J69" s="347">
        <v>44</v>
      </c>
      <c r="K69" s="348">
        <v>29</v>
      </c>
      <c r="L69" s="348">
        <v>37</v>
      </c>
      <c r="M69" s="348"/>
      <c r="N69" s="351"/>
      <c r="O69" s="349"/>
    </row>
    <row r="70" spans="1:15" ht="25.5">
      <c r="A70" s="32" t="s">
        <v>628</v>
      </c>
      <c r="B70" s="340" t="s">
        <v>174</v>
      </c>
      <c r="C70" s="351"/>
      <c r="D70" s="347">
        <v>90</v>
      </c>
      <c r="E70" s="347">
        <v>81</v>
      </c>
      <c r="F70" s="350"/>
      <c r="G70" s="350"/>
      <c r="H70" s="347">
        <v>75</v>
      </c>
      <c r="I70" s="347">
        <v>68</v>
      </c>
      <c r="J70" s="347">
        <v>54</v>
      </c>
      <c r="K70" s="351"/>
      <c r="L70" s="351"/>
      <c r="M70" s="348"/>
      <c r="N70" s="351">
        <v>28</v>
      </c>
      <c r="O70" s="349"/>
    </row>
    <row r="71" spans="1:15" ht="38.25">
      <c r="A71" s="32" t="s">
        <v>628</v>
      </c>
      <c r="B71" s="340" t="s">
        <v>180</v>
      </c>
      <c r="C71" s="351"/>
      <c r="D71" s="347">
        <v>125</v>
      </c>
      <c r="E71" s="347">
        <v>115</v>
      </c>
      <c r="F71" s="350"/>
      <c r="G71" s="350"/>
      <c r="H71" s="347">
        <v>109</v>
      </c>
      <c r="I71" s="347">
        <v>99</v>
      </c>
      <c r="J71" s="347">
        <v>84</v>
      </c>
      <c r="K71" s="351"/>
      <c r="L71" s="351"/>
      <c r="M71" s="351"/>
      <c r="N71" s="351">
        <v>49</v>
      </c>
      <c r="O71" s="349"/>
    </row>
    <row r="72" spans="1:15" ht="25.5">
      <c r="A72" s="32" t="s">
        <v>628</v>
      </c>
      <c r="B72" s="340" t="s">
        <v>185</v>
      </c>
      <c r="C72" s="351"/>
      <c r="D72" s="350"/>
      <c r="E72" s="347">
        <v>133</v>
      </c>
      <c r="F72" s="350"/>
      <c r="G72" s="350"/>
      <c r="H72" s="347">
        <v>117</v>
      </c>
      <c r="I72" s="347">
        <v>107</v>
      </c>
      <c r="J72" s="347">
        <v>92</v>
      </c>
      <c r="K72" s="351"/>
      <c r="L72" s="351"/>
      <c r="M72" s="351"/>
      <c r="N72" s="351"/>
      <c r="O72" s="349"/>
    </row>
    <row r="73" spans="1:15" ht="25.5">
      <c r="A73" s="32" t="s">
        <v>629</v>
      </c>
      <c r="B73" s="340" t="s">
        <v>145</v>
      </c>
      <c r="C73" s="347">
        <v>80</v>
      </c>
      <c r="D73" s="347">
        <v>87</v>
      </c>
      <c r="E73" s="347">
        <v>78</v>
      </c>
      <c r="F73" s="347">
        <v>73</v>
      </c>
      <c r="G73" s="347">
        <v>76</v>
      </c>
      <c r="H73" s="347">
        <v>68</v>
      </c>
      <c r="I73" s="347">
        <v>69</v>
      </c>
      <c r="J73" s="347">
        <v>60</v>
      </c>
      <c r="K73" s="348">
        <v>63</v>
      </c>
      <c r="L73" s="348">
        <v>73</v>
      </c>
      <c r="M73" s="348">
        <v>74</v>
      </c>
      <c r="N73" s="348">
        <v>37</v>
      </c>
      <c r="O73" s="349">
        <v>75</v>
      </c>
    </row>
    <row r="74" spans="1:15" ht="25.5">
      <c r="A74" s="32" t="s">
        <v>629</v>
      </c>
      <c r="B74" s="340" t="s">
        <v>162</v>
      </c>
      <c r="C74" s="347">
        <v>96</v>
      </c>
      <c r="D74" s="347">
        <v>104</v>
      </c>
      <c r="E74" s="347">
        <v>92</v>
      </c>
      <c r="F74" s="350"/>
      <c r="G74" s="347">
        <v>90</v>
      </c>
      <c r="H74" s="347">
        <v>81</v>
      </c>
      <c r="I74" s="347">
        <v>77</v>
      </c>
      <c r="J74" s="347">
        <v>68</v>
      </c>
      <c r="K74" s="348">
        <v>39</v>
      </c>
      <c r="L74" s="348">
        <v>50</v>
      </c>
      <c r="M74" s="348"/>
      <c r="N74" s="351"/>
      <c r="O74" s="349"/>
    </row>
    <row r="75" spans="1:15" ht="25.5">
      <c r="A75" s="32" t="s">
        <v>629</v>
      </c>
      <c r="B75" s="340" t="s">
        <v>174</v>
      </c>
      <c r="C75" s="351"/>
      <c r="D75" s="347">
        <v>121</v>
      </c>
      <c r="E75" s="347">
        <v>109</v>
      </c>
      <c r="F75" s="350"/>
      <c r="G75" s="350"/>
      <c r="H75" s="347">
        <v>95</v>
      </c>
      <c r="I75" s="347">
        <v>91</v>
      </c>
      <c r="J75" s="347">
        <v>79</v>
      </c>
      <c r="K75" s="351"/>
      <c r="L75" s="351"/>
      <c r="M75" s="348"/>
      <c r="N75" s="351">
        <v>41</v>
      </c>
      <c r="O75" s="349"/>
    </row>
    <row r="76" spans="1:15" ht="38.25">
      <c r="A76" s="32" t="s">
        <v>629</v>
      </c>
      <c r="B76" s="340" t="s">
        <v>180</v>
      </c>
      <c r="C76" s="351"/>
      <c r="D76" s="347">
        <v>143</v>
      </c>
      <c r="E76" s="347">
        <v>129</v>
      </c>
      <c r="F76" s="350"/>
      <c r="G76" s="350"/>
      <c r="H76" s="347">
        <v>115</v>
      </c>
      <c r="I76" s="347">
        <v>109</v>
      </c>
      <c r="J76" s="347">
        <v>97</v>
      </c>
      <c r="K76" s="351"/>
      <c r="L76" s="351"/>
      <c r="M76" s="351"/>
      <c r="N76" s="351">
        <v>74</v>
      </c>
      <c r="O76" s="349"/>
    </row>
    <row r="77" spans="1:15" ht="25.5">
      <c r="A77" s="32" t="s">
        <v>629</v>
      </c>
      <c r="B77" s="340" t="s">
        <v>185</v>
      </c>
      <c r="C77" s="351"/>
      <c r="D77" s="350"/>
      <c r="E77" s="347">
        <v>141</v>
      </c>
      <c r="F77" s="350"/>
      <c r="G77" s="350"/>
      <c r="H77" s="347">
        <v>127</v>
      </c>
      <c r="I77" s="347">
        <v>121</v>
      </c>
      <c r="J77" s="347">
        <v>108</v>
      </c>
      <c r="K77" s="351"/>
      <c r="L77" s="351"/>
      <c r="M77" s="351"/>
      <c r="N77" s="351"/>
      <c r="O77" s="349"/>
    </row>
    <row r="78" spans="1:15" ht="25.5">
      <c r="A78" s="32" t="s">
        <v>615</v>
      </c>
      <c r="B78" s="340" t="s">
        <v>145</v>
      </c>
      <c r="C78" s="347">
        <v>56</v>
      </c>
      <c r="D78" s="347">
        <v>61</v>
      </c>
      <c r="E78" s="347">
        <v>54</v>
      </c>
      <c r="F78" s="347">
        <v>51</v>
      </c>
      <c r="G78" s="347">
        <v>53</v>
      </c>
      <c r="H78" s="347">
        <v>47</v>
      </c>
      <c r="I78" s="347">
        <v>46</v>
      </c>
      <c r="J78" s="347">
        <v>39</v>
      </c>
      <c r="K78" s="348">
        <v>44</v>
      </c>
      <c r="L78" s="348">
        <v>49</v>
      </c>
      <c r="M78" s="348">
        <v>50</v>
      </c>
      <c r="N78" s="348">
        <v>30</v>
      </c>
      <c r="O78" s="349">
        <v>50</v>
      </c>
    </row>
    <row r="79" spans="1:15" ht="25.5">
      <c r="A79" s="32" t="s">
        <v>615</v>
      </c>
      <c r="B79" s="340" t="s">
        <v>162</v>
      </c>
      <c r="C79" s="347">
        <v>67</v>
      </c>
      <c r="D79" s="347">
        <v>73</v>
      </c>
      <c r="E79" s="347">
        <v>65</v>
      </c>
      <c r="F79" s="360"/>
      <c r="G79" s="347">
        <v>64</v>
      </c>
      <c r="H79" s="347">
        <v>56</v>
      </c>
      <c r="I79" s="347">
        <v>53</v>
      </c>
      <c r="J79" s="347">
        <v>47</v>
      </c>
      <c r="K79" s="348">
        <v>32</v>
      </c>
      <c r="L79" s="348">
        <v>37</v>
      </c>
      <c r="M79" s="348"/>
      <c r="N79" s="351"/>
      <c r="O79" s="349"/>
    </row>
    <row r="80" spans="1:15" ht="25.5">
      <c r="A80" s="32" t="s">
        <v>615</v>
      </c>
      <c r="B80" s="340" t="s">
        <v>174</v>
      </c>
      <c r="C80" s="361"/>
      <c r="D80" s="347">
        <v>84</v>
      </c>
      <c r="E80" s="347">
        <v>75</v>
      </c>
      <c r="F80" s="360"/>
      <c r="G80" s="360"/>
      <c r="H80" s="347">
        <v>68</v>
      </c>
      <c r="I80" s="347">
        <v>64</v>
      </c>
      <c r="J80" s="347">
        <v>55</v>
      </c>
      <c r="K80" s="351"/>
      <c r="L80" s="351"/>
      <c r="M80" s="348"/>
      <c r="N80" s="351">
        <v>41</v>
      </c>
      <c r="O80" s="349"/>
    </row>
    <row r="81" spans="1:15" ht="18.75" customHeight="1">
      <c r="A81" s="32" t="s">
        <v>615</v>
      </c>
      <c r="B81" s="340" t="s">
        <v>180</v>
      </c>
      <c r="C81" s="361"/>
      <c r="D81" s="347">
        <v>101</v>
      </c>
      <c r="E81" s="347">
        <v>90</v>
      </c>
      <c r="F81" s="360"/>
      <c r="G81" s="360"/>
      <c r="H81" s="347">
        <v>80</v>
      </c>
      <c r="I81" s="347">
        <v>76</v>
      </c>
      <c r="J81" s="347">
        <v>68</v>
      </c>
      <c r="K81" s="351"/>
      <c r="L81" s="351"/>
      <c r="M81" s="351"/>
      <c r="N81" s="351">
        <v>70</v>
      </c>
      <c r="O81" s="349"/>
    </row>
    <row r="82" spans="1:15" ht="25.5">
      <c r="A82" s="32" t="s">
        <v>615</v>
      </c>
      <c r="B82" s="340" t="s">
        <v>185</v>
      </c>
      <c r="C82" s="361"/>
      <c r="D82" s="360"/>
      <c r="E82" s="347">
        <v>100</v>
      </c>
      <c r="F82" s="360"/>
      <c r="G82" s="360"/>
      <c r="H82" s="347">
        <v>90</v>
      </c>
      <c r="I82" s="347">
        <v>83</v>
      </c>
      <c r="J82" s="347">
        <v>75</v>
      </c>
      <c r="K82" s="361"/>
      <c r="L82" s="361"/>
      <c r="M82" s="361"/>
      <c r="N82" s="361"/>
      <c r="O82" s="362"/>
    </row>
    <row r="83" spans="1:15" ht="25.5">
      <c r="A83" s="32" t="s">
        <v>618</v>
      </c>
      <c r="B83" s="340" t="s">
        <v>145</v>
      </c>
      <c r="C83" s="347">
        <v>68</v>
      </c>
      <c r="D83" s="347">
        <v>76</v>
      </c>
      <c r="E83" s="347">
        <v>86</v>
      </c>
      <c r="F83" s="347">
        <v>64</v>
      </c>
      <c r="G83" s="347">
        <v>74</v>
      </c>
      <c r="H83" s="347">
        <v>92</v>
      </c>
      <c r="I83" s="347">
        <v>115</v>
      </c>
      <c r="J83" s="347">
        <v>116</v>
      </c>
      <c r="K83" s="348" t="s">
        <v>698</v>
      </c>
      <c r="L83" s="348" t="s">
        <v>698</v>
      </c>
      <c r="M83" s="348" t="s">
        <v>698</v>
      </c>
      <c r="N83" s="348" t="s">
        <v>698</v>
      </c>
      <c r="O83" s="349" t="s">
        <v>699</v>
      </c>
    </row>
    <row r="84" spans="1:15" ht="25.5">
      <c r="A84" s="32" t="s">
        <v>618</v>
      </c>
      <c r="B84" s="340" t="s">
        <v>162</v>
      </c>
      <c r="C84" s="347">
        <v>65</v>
      </c>
      <c r="D84" s="347">
        <v>72</v>
      </c>
      <c r="E84" s="347">
        <v>74</v>
      </c>
      <c r="F84" s="360"/>
      <c r="G84" s="347">
        <v>66</v>
      </c>
      <c r="H84" s="347">
        <v>75</v>
      </c>
      <c r="I84" s="347">
        <v>95</v>
      </c>
      <c r="J84" s="347">
        <v>93</v>
      </c>
      <c r="K84" s="348" t="s">
        <v>698</v>
      </c>
      <c r="L84" s="348" t="s">
        <v>698</v>
      </c>
      <c r="M84" s="348" t="s">
        <v>698</v>
      </c>
      <c r="N84" s="351"/>
      <c r="O84" s="349" t="s">
        <v>698</v>
      </c>
    </row>
    <row r="85" spans="1:15" ht="25.5">
      <c r="A85" s="32" t="s">
        <v>618</v>
      </c>
      <c r="B85" s="340" t="s">
        <v>174</v>
      </c>
      <c r="C85" s="361"/>
      <c r="D85" s="347">
        <v>72</v>
      </c>
      <c r="E85" s="347">
        <v>72</v>
      </c>
      <c r="F85" s="360"/>
      <c r="G85" s="360"/>
      <c r="H85" s="347">
        <v>69</v>
      </c>
      <c r="I85" s="347">
        <v>81</v>
      </c>
      <c r="J85" s="347">
        <v>76</v>
      </c>
      <c r="K85" s="351"/>
      <c r="L85" s="351"/>
      <c r="M85" s="348" t="s">
        <v>698</v>
      </c>
      <c r="N85" s="351"/>
      <c r="O85" s="349" t="s">
        <v>698</v>
      </c>
    </row>
    <row r="86" spans="1:15" ht="38.25">
      <c r="A86" s="32" t="s">
        <v>618</v>
      </c>
      <c r="B86" s="340" t="s">
        <v>180</v>
      </c>
      <c r="C86" s="361"/>
      <c r="D86" s="347">
        <v>76</v>
      </c>
      <c r="E86" s="347">
        <v>73</v>
      </c>
      <c r="F86" s="360"/>
      <c r="G86" s="360"/>
      <c r="H86" s="347">
        <v>69</v>
      </c>
      <c r="I86" s="347">
        <v>75</v>
      </c>
      <c r="J86" s="347">
        <v>67</v>
      </c>
      <c r="K86" s="351"/>
      <c r="L86" s="351"/>
      <c r="M86" s="351"/>
      <c r="N86" s="351"/>
      <c r="O86" s="349" t="s">
        <v>698</v>
      </c>
    </row>
    <row r="87" spans="1:15" ht="25.5">
      <c r="A87" s="32" t="s">
        <v>618</v>
      </c>
      <c r="B87" s="340" t="s">
        <v>185</v>
      </c>
      <c r="C87" s="361"/>
      <c r="D87" s="360"/>
      <c r="E87" s="347">
        <v>75</v>
      </c>
      <c r="F87" s="360"/>
      <c r="G87" s="360"/>
      <c r="H87" s="347">
        <v>71</v>
      </c>
      <c r="I87" s="347">
        <v>73</v>
      </c>
      <c r="J87" s="347">
        <v>66</v>
      </c>
      <c r="K87" s="361"/>
      <c r="L87" s="361"/>
      <c r="M87" s="361"/>
      <c r="N87" s="361"/>
      <c r="O87" s="362"/>
    </row>
    <row r="88" spans="1:15" ht="25.5">
      <c r="A88" s="32" t="s">
        <v>630</v>
      </c>
      <c r="B88" s="363" t="s">
        <v>145</v>
      </c>
      <c r="C88" s="364">
        <v>45</v>
      </c>
      <c r="D88" s="364">
        <v>49</v>
      </c>
      <c r="E88" s="364">
        <v>45</v>
      </c>
      <c r="F88" s="364">
        <v>40</v>
      </c>
      <c r="G88" s="364">
        <v>42</v>
      </c>
      <c r="H88" s="364">
        <v>38</v>
      </c>
      <c r="I88" s="364">
        <v>39</v>
      </c>
      <c r="J88" s="364">
        <v>32</v>
      </c>
      <c r="K88" s="365" t="s">
        <v>698</v>
      </c>
      <c r="L88" s="365" t="s">
        <v>698</v>
      </c>
      <c r="M88" s="365" t="s">
        <v>698</v>
      </c>
      <c r="N88" s="365" t="s">
        <v>698</v>
      </c>
      <c r="O88" s="366" t="s">
        <v>699</v>
      </c>
    </row>
    <row r="89" spans="1:15" ht="25.5">
      <c r="A89" s="32" t="s">
        <v>630</v>
      </c>
      <c r="B89" s="340" t="s">
        <v>162</v>
      </c>
      <c r="C89" s="360">
        <v>55</v>
      </c>
      <c r="D89" s="360">
        <v>59</v>
      </c>
      <c r="E89" s="360">
        <v>53</v>
      </c>
      <c r="F89" s="360"/>
      <c r="G89" s="360">
        <v>51</v>
      </c>
      <c r="H89" s="367">
        <v>46</v>
      </c>
      <c r="I89" s="361">
        <v>45</v>
      </c>
      <c r="J89" s="360">
        <v>38</v>
      </c>
      <c r="K89" s="348" t="s">
        <v>698</v>
      </c>
      <c r="L89" s="348" t="s">
        <v>698</v>
      </c>
      <c r="M89" s="348" t="s">
        <v>698</v>
      </c>
      <c r="N89" s="351"/>
      <c r="O89" s="349" t="s">
        <v>698</v>
      </c>
    </row>
    <row r="90" spans="1:15" ht="25.5">
      <c r="A90" s="32" t="s">
        <v>630</v>
      </c>
      <c r="B90" s="340" t="s">
        <v>174</v>
      </c>
      <c r="C90" s="361"/>
      <c r="D90" s="360">
        <v>71</v>
      </c>
      <c r="E90" s="360">
        <v>63</v>
      </c>
      <c r="F90" s="360"/>
      <c r="G90" s="360"/>
      <c r="H90" s="360">
        <v>55</v>
      </c>
      <c r="I90" s="360">
        <v>54</v>
      </c>
      <c r="J90" s="360">
        <v>45</v>
      </c>
      <c r="K90" s="351"/>
      <c r="L90" s="351"/>
      <c r="M90" s="348" t="s">
        <v>698</v>
      </c>
      <c r="N90" s="351"/>
      <c r="O90" s="349" t="s">
        <v>698</v>
      </c>
    </row>
    <row r="91" spans="1:15" ht="38.25">
      <c r="A91" s="32" t="s">
        <v>630</v>
      </c>
      <c r="B91" s="340" t="s">
        <v>180</v>
      </c>
      <c r="C91" s="361"/>
      <c r="D91" s="360">
        <v>87</v>
      </c>
      <c r="E91" s="360">
        <v>78</v>
      </c>
      <c r="F91" s="360"/>
      <c r="G91" s="360"/>
      <c r="H91" s="360">
        <v>69</v>
      </c>
      <c r="I91" s="360">
        <v>65</v>
      </c>
      <c r="J91" s="360">
        <v>56</v>
      </c>
      <c r="K91" s="351"/>
      <c r="L91" s="351"/>
      <c r="M91" s="351"/>
      <c r="N91" s="351"/>
      <c r="O91" s="349" t="s">
        <v>698</v>
      </c>
    </row>
    <row r="92" spans="1:15" ht="25.5">
      <c r="A92" s="32" t="s">
        <v>630</v>
      </c>
      <c r="B92" s="340" t="s">
        <v>185</v>
      </c>
      <c r="C92" s="361"/>
      <c r="D92" s="360"/>
      <c r="E92" s="360">
        <v>88</v>
      </c>
      <c r="F92" s="360"/>
      <c r="G92" s="360"/>
      <c r="H92" s="360">
        <v>78</v>
      </c>
      <c r="I92" s="360">
        <v>74</v>
      </c>
      <c r="J92" s="360">
        <v>65</v>
      </c>
      <c r="K92" s="361"/>
      <c r="L92" s="361"/>
      <c r="M92" s="361"/>
      <c r="N92" s="361"/>
      <c r="O92" s="362"/>
    </row>
    <row r="93" spans="1:15" ht="25.5">
      <c r="A93" s="32" t="s">
        <v>621</v>
      </c>
      <c r="B93" s="340" t="s">
        <v>145</v>
      </c>
      <c r="C93" s="347">
        <v>34</v>
      </c>
      <c r="D93" s="347">
        <v>37</v>
      </c>
      <c r="E93" s="347">
        <v>36</v>
      </c>
      <c r="F93" s="347">
        <v>32</v>
      </c>
      <c r="G93" s="347">
        <v>34</v>
      </c>
      <c r="H93" s="347">
        <v>35</v>
      </c>
      <c r="I93" s="347">
        <v>38</v>
      </c>
      <c r="J93" s="347">
        <v>36</v>
      </c>
      <c r="K93" s="348" t="s">
        <v>698</v>
      </c>
      <c r="L93" s="348" t="s">
        <v>698</v>
      </c>
      <c r="M93" s="348" t="s">
        <v>698</v>
      </c>
      <c r="N93" s="348" t="s">
        <v>698</v>
      </c>
      <c r="O93" s="349" t="s">
        <v>699</v>
      </c>
    </row>
    <row r="94" spans="1:15" ht="25.5">
      <c r="A94" s="32" t="s">
        <v>621</v>
      </c>
      <c r="B94" s="340" t="s">
        <v>162</v>
      </c>
      <c r="C94" s="347">
        <v>38</v>
      </c>
      <c r="D94" s="347">
        <v>41</v>
      </c>
      <c r="E94" s="347">
        <v>39</v>
      </c>
      <c r="F94" s="350"/>
      <c r="G94" s="347">
        <v>37</v>
      </c>
      <c r="H94" s="347">
        <v>36</v>
      </c>
      <c r="I94" s="347">
        <v>38</v>
      </c>
      <c r="J94" s="347">
        <v>35</v>
      </c>
      <c r="K94" s="348" t="s">
        <v>698</v>
      </c>
      <c r="L94" s="348" t="s">
        <v>698</v>
      </c>
      <c r="M94" s="348" t="s">
        <v>698</v>
      </c>
      <c r="N94" s="351"/>
      <c r="O94" s="349" t="s">
        <v>698</v>
      </c>
    </row>
    <row r="95" spans="1:15" ht="25.5">
      <c r="A95" s="32" t="s">
        <v>621</v>
      </c>
      <c r="B95" s="340" t="s">
        <v>174</v>
      </c>
      <c r="C95" s="351"/>
      <c r="D95" s="347">
        <v>46</v>
      </c>
      <c r="E95" s="347">
        <v>42</v>
      </c>
      <c r="F95" s="350"/>
      <c r="G95" s="350"/>
      <c r="H95" s="347">
        <v>38</v>
      </c>
      <c r="I95" s="347">
        <v>39</v>
      </c>
      <c r="J95" s="347">
        <v>35</v>
      </c>
      <c r="K95" s="351"/>
      <c r="L95" s="351"/>
      <c r="M95" s="348" t="s">
        <v>698</v>
      </c>
      <c r="N95" s="351"/>
      <c r="O95" s="349" t="s">
        <v>698</v>
      </c>
    </row>
    <row r="96" spans="1:15" ht="38.25">
      <c r="A96" s="32" t="s">
        <v>621</v>
      </c>
      <c r="B96" s="340" t="s">
        <v>180</v>
      </c>
      <c r="C96" s="351"/>
      <c r="D96" s="347">
        <v>53</v>
      </c>
      <c r="E96" s="347">
        <v>48</v>
      </c>
      <c r="F96" s="350"/>
      <c r="G96" s="350"/>
      <c r="H96" s="347">
        <v>43</v>
      </c>
      <c r="I96" s="347">
        <v>43</v>
      </c>
      <c r="J96" s="347">
        <v>38</v>
      </c>
      <c r="K96" s="351"/>
      <c r="L96" s="351"/>
      <c r="M96" s="351"/>
      <c r="N96" s="351"/>
      <c r="O96" s="349" t="s">
        <v>698</v>
      </c>
    </row>
    <row r="97" spans="1:15" ht="25.5">
      <c r="A97" s="32" t="s">
        <v>621</v>
      </c>
      <c r="B97" s="340" t="s">
        <v>185</v>
      </c>
      <c r="C97" s="351"/>
      <c r="D97" s="350"/>
      <c r="E97" s="347">
        <v>52</v>
      </c>
      <c r="F97" s="350"/>
      <c r="G97" s="350"/>
      <c r="H97" s="347">
        <v>47</v>
      </c>
      <c r="I97" s="347">
        <v>45</v>
      </c>
      <c r="J97" s="347">
        <v>41</v>
      </c>
      <c r="K97" s="351"/>
      <c r="L97" s="351"/>
      <c r="M97" s="351"/>
      <c r="N97" s="351"/>
      <c r="O97" s="349"/>
    </row>
    <row r="98" spans="1:15" ht="25.5">
      <c r="A98" s="281" t="s">
        <v>633</v>
      </c>
      <c r="B98" s="340" t="s">
        <v>145</v>
      </c>
      <c r="C98" s="318">
        <v>96</v>
      </c>
      <c r="D98" s="318">
        <v>105</v>
      </c>
      <c r="E98" s="318">
        <v>94</v>
      </c>
      <c r="F98" s="318">
        <v>88</v>
      </c>
      <c r="G98" s="318">
        <v>91</v>
      </c>
      <c r="H98" s="318">
        <v>82</v>
      </c>
      <c r="I98" s="318">
        <v>82</v>
      </c>
      <c r="J98" s="318">
        <v>71</v>
      </c>
      <c r="K98" s="351">
        <v>74</v>
      </c>
      <c r="L98" s="351">
        <v>85</v>
      </c>
      <c r="M98" s="351">
        <v>87</v>
      </c>
      <c r="N98" s="351">
        <v>43</v>
      </c>
      <c r="O98" s="349">
        <v>88</v>
      </c>
    </row>
    <row r="99" spans="1:15" ht="25.5">
      <c r="A99" s="281" t="s">
        <v>633</v>
      </c>
      <c r="B99" s="340" t="s">
        <v>162</v>
      </c>
      <c r="C99" s="318">
        <v>117</v>
      </c>
      <c r="D99" s="318">
        <v>126</v>
      </c>
      <c r="E99" s="318">
        <v>111</v>
      </c>
      <c r="F99" s="351"/>
      <c r="G99" s="318">
        <v>109</v>
      </c>
      <c r="H99" s="318">
        <v>98</v>
      </c>
      <c r="I99" s="318">
        <v>93</v>
      </c>
      <c r="J99" s="318">
        <v>81</v>
      </c>
      <c r="K99" s="351">
        <v>46</v>
      </c>
      <c r="L99" s="351">
        <v>58</v>
      </c>
      <c r="M99" s="351"/>
      <c r="N99" s="351"/>
      <c r="O99" s="349"/>
    </row>
    <row r="100" spans="1:15" ht="25.5">
      <c r="A100" s="281" t="s">
        <v>633</v>
      </c>
      <c r="B100" s="340" t="s">
        <v>174</v>
      </c>
      <c r="C100" s="318"/>
      <c r="D100" s="318">
        <v>148</v>
      </c>
      <c r="E100" s="318">
        <v>133</v>
      </c>
      <c r="F100" s="318"/>
      <c r="G100" s="318"/>
      <c r="H100" s="318">
        <v>115</v>
      </c>
      <c r="I100" s="318">
        <v>110</v>
      </c>
      <c r="J100" s="318">
        <v>95</v>
      </c>
      <c r="K100" s="351"/>
      <c r="L100" s="351"/>
      <c r="M100" s="351"/>
      <c r="N100" s="351">
        <v>49</v>
      </c>
      <c r="O100" s="349"/>
    </row>
    <row r="101" spans="1:15" ht="38.25">
      <c r="A101" s="281" t="s">
        <v>633</v>
      </c>
      <c r="B101" s="340" t="s">
        <v>180</v>
      </c>
      <c r="C101" s="318"/>
      <c r="D101" s="318">
        <v>174</v>
      </c>
      <c r="E101" s="318">
        <v>157</v>
      </c>
      <c r="F101" s="318"/>
      <c r="G101" s="318"/>
      <c r="H101" s="318">
        <v>140</v>
      </c>
      <c r="I101" s="318">
        <v>132</v>
      </c>
      <c r="J101" s="318">
        <v>117</v>
      </c>
      <c r="K101" s="351"/>
      <c r="L101" s="351"/>
      <c r="M101" s="351"/>
      <c r="N101" s="351">
        <v>90</v>
      </c>
      <c r="O101" s="349"/>
    </row>
    <row r="102" spans="1:15" ht="25.5">
      <c r="A102" s="281" t="s">
        <v>633</v>
      </c>
      <c r="B102" s="340" t="s">
        <v>185</v>
      </c>
      <c r="C102" s="318"/>
      <c r="D102" s="318"/>
      <c r="E102" s="318">
        <v>172</v>
      </c>
      <c r="F102" s="318"/>
      <c r="G102" s="318"/>
      <c r="H102" s="318">
        <v>154</v>
      </c>
      <c r="I102" s="318">
        <v>147</v>
      </c>
      <c r="J102" s="318">
        <v>132</v>
      </c>
      <c r="K102" s="351"/>
      <c r="L102" s="351"/>
      <c r="M102" s="351"/>
      <c r="N102" s="351"/>
      <c r="O102" s="349"/>
    </row>
    <row r="103" spans="1:15" ht="25.5">
      <c r="A103" s="281" t="s">
        <v>637</v>
      </c>
      <c r="B103" s="340" t="s">
        <v>145</v>
      </c>
      <c r="C103" s="318">
        <v>100</v>
      </c>
      <c r="D103" s="318">
        <v>110</v>
      </c>
      <c r="E103" s="318">
        <v>98</v>
      </c>
      <c r="F103" s="318">
        <v>92</v>
      </c>
      <c r="G103" s="318">
        <v>95</v>
      </c>
      <c r="H103" s="318">
        <v>85</v>
      </c>
      <c r="I103" s="318">
        <v>85</v>
      </c>
      <c r="J103" s="318">
        <v>74</v>
      </c>
      <c r="K103" s="351">
        <v>74</v>
      </c>
      <c r="L103" s="351">
        <v>85</v>
      </c>
      <c r="M103" s="351">
        <v>87</v>
      </c>
      <c r="N103" s="351">
        <v>43</v>
      </c>
      <c r="O103" s="349">
        <v>88</v>
      </c>
    </row>
    <row r="104" spans="1:15" ht="25.5">
      <c r="A104" s="281" t="s">
        <v>637</v>
      </c>
      <c r="B104" s="340" t="s">
        <v>162</v>
      </c>
      <c r="C104" s="318">
        <v>121</v>
      </c>
      <c r="D104" s="318">
        <v>131</v>
      </c>
      <c r="E104" s="318">
        <v>116</v>
      </c>
      <c r="F104" s="318"/>
      <c r="G104" s="318">
        <v>114</v>
      </c>
      <c r="H104" s="318">
        <v>102</v>
      </c>
      <c r="I104" s="318">
        <v>96</v>
      </c>
      <c r="J104" s="318">
        <v>84</v>
      </c>
      <c r="K104" s="351">
        <v>46</v>
      </c>
      <c r="L104" s="351">
        <v>58</v>
      </c>
      <c r="M104" s="351"/>
      <c r="N104" s="351"/>
      <c r="O104" s="349"/>
    </row>
    <row r="105" spans="1:15" ht="25.5">
      <c r="A105" s="281" t="s">
        <v>637</v>
      </c>
      <c r="B105" s="340" t="s">
        <v>174</v>
      </c>
      <c r="C105" s="318"/>
      <c r="D105" s="318">
        <v>154</v>
      </c>
      <c r="E105" s="318">
        <v>138</v>
      </c>
      <c r="F105" s="318"/>
      <c r="G105" s="318"/>
      <c r="H105" s="318">
        <v>120</v>
      </c>
      <c r="I105" s="318">
        <v>115</v>
      </c>
      <c r="J105" s="318">
        <v>99</v>
      </c>
      <c r="K105" s="351"/>
      <c r="L105" s="351"/>
      <c r="M105" s="351"/>
      <c r="N105" s="351">
        <v>49</v>
      </c>
      <c r="O105" s="349"/>
    </row>
    <row r="106" spans="1:15" ht="38.25">
      <c r="A106" s="281" t="s">
        <v>637</v>
      </c>
      <c r="B106" s="340" t="s">
        <v>180</v>
      </c>
      <c r="C106" s="318"/>
      <c r="D106" s="318">
        <v>181</v>
      </c>
      <c r="E106" s="318">
        <v>163</v>
      </c>
      <c r="F106" s="318"/>
      <c r="G106" s="318"/>
      <c r="H106" s="318">
        <v>146</v>
      </c>
      <c r="I106" s="318">
        <v>138</v>
      </c>
      <c r="J106" s="318">
        <v>122</v>
      </c>
      <c r="K106" s="351"/>
      <c r="L106" s="351"/>
      <c r="M106" s="351"/>
      <c r="N106" s="351">
        <v>90</v>
      </c>
      <c r="O106" s="349"/>
    </row>
    <row r="107" spans="1:15" ht="25.5">
      <c r="A107" s="281" t="s">
        <v>637</v>
      </c>
      <c r="B107" s="340" t="s">
        <v>185</v>
      </c>
      <c r="C107" s="318"/>
      <c r="D107" s="318"/>
      <c r="E107" s="318">
        <v>179</v>
      </c>
      <c r="F107" s="318"/>
      <c r="G107" s="318"/>
      <c r="H107" s="318">
        <v>161</v>
      </c>
      <c r="I107" s="318">
        <v>153</v>
      </c>
      <c r="J107" s="318">
        <v>137</v>
      </c>
      <c r="K107" s="351"/>
      <c r="L107" s="351"/>
      <c r="M107" s="351"/>
      <c r="N107" s="351"/>
      <c r="O107" s="349"/>
    </row>
    <row r="108" spans="1:15" ht="25.5">
      <c r="A108" s="281" t="s">
        <v>640</v>
      </c>
      <c r="B108" s="340" t="s">
        <v>145</v>
      </c>
      <c r="C108" s="318">
        <v>104</v>
      </c>
      <c r="D108" s="318">
        <v>114</v>
      </c>
      <c r="E108" s="318">
        <v>102</v>
      </c>
      <c r="F108" s="318">
        <v>96</v>
      </c>
      <c r="G108" s="318">
        <v>99</v>
      </c>
      <c r="H108" s="318">
        <v>89</v>
      </c>
      <c r="I108" s="318">
        <v>89</v>
      </c>
      <c r="J108" s="318">
        <v>77</v>
      </c>
      <c r="K108" s="351">
        <v>74</v>
      </c>
      <c r="L108" s="351">
        <v>85</v>
      </c>
      <c r="M108" s="351">
        <v>87</v>
      </c>
      <c r="N108" s="351">
        <v>43</v>
      </c>
      <c r="O108" s="349">
        <v>88</v>
      </c>
    </row>
    <row r="109" spans="1:15" ht="25.5">
      <c r="A109" s="281" t="s">
        <v>640</v>
      </c>
      <c r="B109" s="340" t="s">
        <v>162</v>
      </c>
      <c r="C109" s="318">
        <v>126</v>
      </c>
      <c r="D109" s="318">
        <v>136</v>
      </c>
      <c r="E109" s="318">
        <v>121</v>
      </c>
      <c r="F109" s="318"/>
      <c r="G109" s="318">
        <v>118</v>
      </c>
      <c r="H109" s="318">
        <v>106</v>
      </c>
      <c r="I109" s="318">
        <v>100</v>
      </c>
      <c r="J109" s="318">
        <v>88</v>
      </c>
      <c r="K109" s="351">
        <v>46</v>
      </c>
      <c r="L109" s="351">
        <v>58</v>
      </c>
      <c r="M109" s="351"/>
      <c r="N109" s="351"/>
      <c r="O109" s="349"/>
    </row>
    <row r="110" spans="1:15" ht="25.5">
      <c r="A110" s="281" t="s">
        <v>640</v>
      </c>
      <c r="B110" s="340" t="s">
        <v>174</v>
      </c>
      <c r="C110" s="318"/>
      <c r="D110" s="318">
        <v>160</v>
      </c>
      <c r="E110" s="318">
        <v>144</v>
      </c>
      <c r="F110" s="318"/>
      <c r="G110" s="318"/>
      <c r="H110" s="318">
        <v>125</v>
      </c>
      <c r="I110" s="318">
        <v>119</v>
      </c>
      <c r="J110" s="318">
        <v>103</v>
      </c>
      <c r="K110" s="351"/>
      <c r="L110" s="351"/>
      <c r="M110" s="351"/>
      <c r="N110" s="351">
        <v>49</v>
      </c>
      <c r="O110" s="349"/>
    </row>
    <row r="111" spans="1:15" ht="38.25">
      <c r="A111" s="281" t="s">
        <v>640</v>
      </c>
      <c r="B111" s="340" t="s">
        <v>180</v>
      </c>
      <c r="C111" s="318"/>
      <c r="D111" s="318">
        <v>188</v>
      </c>
      <c r="E111" s="318">
        <v>170</v>
      </c>
      <c r="F111" s="318"/>
      <c r="G111" s="318"/>
      <c r="H111" s="318">
        <v>152</v>
      </c>
      <c r="I111" s="318">
        <v>143</v>
      </c>
      <c r="J111" s="318">
        <v>127</v>
      </c>
      <c r="K111" s="351"/>
      <c r="L111" s="351"/>
      <c r="M111" s="351"/>
      <c r="N111" s="351">
        <v>90</v>
      </c>
      <c r="O111" s="349"/>
    </row>
    <row r="112" spans="1:15" ht="25.5">
      <c r="A112" s="281" t="s">
        <v>640</v>
      </c>
      <c r="B112" s="340" t="s">
        <v>185</v>
      </c>
      <c r="C112" s="318"/>
      <c r="D112" s="318"/>
      <c r="E112" s="318">
        <v>186</v>
      </c>
      <c r="F112" s="318"/>
      <c r="G112" s="318"/>
      <c r="H112" s="318">
        <v>167</v>
      </c>
      <c r="I112" s="318">
        <v>159</v>
      </c>
      <c r="J112" s="318">
        <v>143</v>
      </c>
      <c r="K112" s="351"/>
      <c r="L112" s="351"/>
      <c r="M112" s="351"/>
      <c r="N112" s="351"/>
      <c r="O112" s="349"/>
    </row>
    <row r="113" spans="1:15" ht="25.5">
      <c r="A113" s="281" t="s">
        <v>643</v>
      </c>
      <c r="B113" s="340" t="s">
        <v>145</v>
      </c>
      <c r="C113" s="318">
        <v>0</v>
      </c>
      <c r="D113" s="318">
        <v>0</v>
      </c>
      <c r="E113" s="318">
        <v>0</v>
      </c>
      <c r="F113" s="318">
        <v>0</v>
      </c>
      <c r="G113" s="318">
        <v>0</v>
      </c>
      <c r="H113" s="318">
        <v>0</v>
      </c>
      <c r="I113" s="318">
        <v>0</v>
      </c>
      <c r="J113" s="318">
        <v>0</v>
      </c>
      <c r="K113" s="351"/>
      <c r="L113" s="351"/>
      <c r="M113" s="351"/>
      <c r="N113" s="351"/>
      <c r="O113" s="349"/>
    </row>
    <row r="114" spans="1:15" ht="25.5">
      <c r="A114" s="281" t="s">
        <v>643</v>
      </c>
      <c r="B114" s="340" t="s">
        <v>162</v>
      </c>
      <c r="C114" s="318"/>
      <c r="D114" s="318">
        <v>0</v>
      </c>
      <c r="E114" s="318">
        <v>0</v>
      </c>
      <c r="F114" s="318"/>
      <c r="G114" s="318">
        <v>0</v>
      </c>
      <c r="H114" s="318">
        <v>0</v>
      </c>
      <c r="I114" s="318">
        <v>0</v>
      </c>
      <c r="J114" s="318">
        <v>0</v>
      </c>
      <c r="K114" s="351"/>
      <c r="L114" s="351"/>
      <c r="M114" s="351"/>
      <c r="N114" s="351"/>
      <c r="O114" s="349"/>
    </row>
    <row r="115" spans="1:15" ht="25.5">
      <c r="A115" s="281" t="s">
        <v>643</v>
      </c>
      <c r="B115" s="340" t="s">
        <v>174</v>
      </c>
      <c r="C115" s="318"/>
      <c r="D115" s="318">
        <v>0</v>
      </c>
      <c r="E115" s="318">
        <v>0</v>
      </c>
      <c r="F115" s="318"/>
      <c r="G115" s="318"/>
      <c r="H115" s="318">
        <v>0</v>
      </c>
      <c r="I115" s="318">
        <v>0</v>
      </c>
      <c r="J115" s="318">
        <v>0</v>
      </c>
      <c r="K115" s="351"/>
      <c r="L115" s="351"/>
      <c r="M115" s="351"/>
      <c r="N115" s="351"/>
      <c r="O115" s="349"/>
    </row>
    <row r="116" spans="1:15" ht="38.25">
      <c r="A116" s="281" t="s">
        <v>643</v>
      </c>
      <c r="B116" s="340" t="s">
        <v>180</v>
      </c>
      <c r="C116" s="318"/>
      <c r="D116" s="318">
        <v>0</v>
      </c>
      <c r="E116" s="318">
        <v>0</v>
      </c>
      <c r="F116" s="318"/>
      <c r="G116" s="318"/>
      <c r="H116" s="318">
        <v>0</v>
      </c>
      <c r="I116" s="318">
        <v>0</v>
      </c>
      <c r="J116" s="318">
        <v>0</v>
      </c>
      <c r="K116" s="351"/>
      <c r="L116" s="351"/>
      <c r="M116" s="351"/>
      <c r="N116" s="351"/>
      <c r="O116" s="349"/>
    </row>
    <row r="117" spans="1:15" ht="25.5">
      <c r="A117" s="281" t="s">
        <v>643</v>
      </c>
      <c r="B117" s="340" t="s">
        <v>185</v>
      </c>
      <c r="C117" s="318"/>
      <c r="D117" s="318">
        <v>0</v>
      </c>
      <c r="E117" s="318">
        <v>0</v>
      </c>
      <c r="F117" s="318"/>
      <c r="G117" s="318"/>
      <c r="H117" s="318">
        <v>0</v>
      </c>
      <c r="I117" s="318">
        <v>0</v>
      </c>
      <c r="J117" s="318">
        <v>0</v>
      </c>
      <c r="K117" s="351"/>
      <c r="L117" s="351"/>
      <c r="M117" s="351"/>
      <c r="N117" s="351"/>
      <c r="O117" s="349"/>
    </row>
    <row r="118" spans="1:15" ht="25.5">
      <c r="A118" s="281" t="s">
        <v>644</v>
      </c>
      <c r="B118" s="340" t="s">
        <v>145</v>
      </c>
      <c r="C118" s="318">
        <v>318</v>
      </c>
      <c r="D118" s="318">
        <v>292</v>
      </c>
      <c r="E118" s="318">
        <v>332</v>
      </c>
      <c r="F118" s="318">
        <v>302</v>
      </c>
      <c r="G118" s="318">
        <v>308</v>
      </c>
      <c r="H118" s="318">
        <v>283</v>
      </c>
      <c r="I118" s="318">
        <v>323</v>
      </c>
      <c r="J118" s="318">
        <v>273</v>
      </c>
      <c r="K118" s="351" t="s">
        <v>698</v>
      </c>
      <c r="L118" s="351" t="s">
        <v>698</v>
      </c>
      <c r="M118" s="351" t="s">
        <v>698</v>
      </c>
      <c r="N118" s="351" t="s">
        <v>698</v>
      </c>
      <c r="O118" s="351" t="s">
        <v>698</v>
      </c>
    </row>
    <row r="119" spans="1:15" ht="25.5">
      <c r="A119" s="281" t="s">
        <v>644</v>
      </c>
      <c r="B119" s="340" t="s">
        <v>162</v>
      </c>
      <c r="C119" s="318">
        <v>375</v>
      </c>
      <c r="D119" s="318">
        <v>356</v>
      </c>
      <c r="E119" s="318">
        <v>364</v>
      </c>
      <c r="F119" s="318"/>
      <c r="G119" s="318">
        <v>366</v>
      </c>
      <c r="H119" s="318">
        <v>341</v>
      </c>
      <c r="I119" s="318">
        <v>387</v>
      </c>
      <c r="J119" s="318">
        <v>333</v>
      </c>
      <c r="K119" s="351" t="s">
        <v>698</v>
      </c>
      <c r="L119" s="351" t="s">
        <v>698</v>
      </c>
      <c r="M119" s="351" t="s">
        <v>698</v>
      </c>
      <c r="N119" s="351"/>
      <c r="O119" s="351" t="s">
        <v>698</v>
      </c>
    </row>
    <row r="120" spans="1:15" ht="25.5">
      <c r="A120" s="281" t="s">
        <v>644</v>
      </c>
      <c r="B120" s="340" t="s">
        <v>174</v>
      </c>
      <c r="C120" s="318"/>
      <c r="D120" s="318">
        <v>424</v>
      </c>
      <c r="E120" s="318">
        <v>429</v>
      </c>
      <c r="F120" s="318"/>
      <c r="G120" s="318"/>
      <c r="H120" s="318">
        <v>403</v>
      </c>
      <c r="I120" s="318">
        <v>453</v>
      </c>
      <c r="J120" s="318">
        <v>395</v>
      </c>
      <c r="K120" s="351"/>
      <c r="L120" s="351"/>
      <c r="M120" s="351" t="s">
        <v>698</v>
      </c>
      <c r="N120" s="351"/>
      <c r="O120" s="351" t="s">
        <v>698</v>
      </c>
    </row>
    <row r="121" spans="1:15" ht="38.25">
      <c r="A121" s="281" t="s">
        <v>644</v>
      </c>
      <c r="B121" s="340" t="s">
        <v>180</v>
      </c>
      <c r="C121" s="318"/>
      <c r="D121" s="318">
        <v>506</v>
      </c>
      <c r="E121" s="318">
        <v>505</v>
      </c>
      <c r="F121" s="318"/>
      <c r="G121" s="318"/>
      <c r="H121" s="318">
        <v>478</v>
      </c>
      <c r="I121" s="318">
        <v>527</v>
      </c>
      <c r="J121" s="318">
        <v>468</v>
      </c>
      <c r="K121" s="351"/>
      <c r="L121" s="351"/>
      <c r="M121" s="351"/>
      <c r="N121" s="351"/>
      <c r="O121" s="351" t="s">
        <v>698</v>
      </c>
    </row>
    <row r="122" spans="1:15" ht="25.5">
      <c r="A122" s="281" t="s">
        <v>644</v>
      </c>
      <c r="B122" s="340" t="s">
        <v>185</v>
      </c>
      <c r="C122" s="318"/>
      <c r="D122" s="318"/>
      <c r="E122" s="318">
        <v>556</v>
      </c>
      <c r="F122" s="318"/>
      <c r="G122" s="318"/>
      <c r="H122" s="318">
        <v>533</v>
      </c>
      <c r="I122" s="318">
        <v>578</v>
      </c>
      <c r="J122" s="318">
        <v>520</v>
      </c>
      <c r="K122" s="351"/>
      <c r="L122" s="351"/>
      <c r="M122" s="351"/>
      <c r="N122" s="351"/>
      <c r="O122" s="349"/>
    </row>
    <row r="123" spans="1:15" ht="25.5">
      <c r="A123" s="281" t="s">
        <v>648</v>
      </c>
      <c r="B123" s="340" t="s">
        <v>145</v>
      </c>
      <c r="C123" s="318">
        <v>47</v>
      </c>
      <c r="D123" s="318">
        <v>50</v>
      </c>
      <c r="E123" s="318">
        <v>45</v>
      </c>
      <c r="F123" s="318">
        <v>43</v>
      </c>
      <c r="G123" s="318">
        <v>44</v>
      </c>
      <c r="H123" s="318">
        <v>39</v>
      </c>
      <c r="I123" s="318">
        <v>38</v>
      </c>
      <c r="J123" s="318">
        <v>33</v>
      </c>
      <c r="K123" s="351" t="s">
        <v>698</v>
      </c>
      <c r="L123" s="351" t="s">
        <v>698</v>
      </c>
      <c r="M123" s="351" t="s">
        <v>698</v>
      </c>
      <c r="N123" s="351" t="s">
        <v>698</v>
      </c>
      <c r="O123" s="351" t="s">
        <v>698</v>
      </c>
    </row>
    <row r="124" spans="1:15" ht="25.5">
      <c r="A124" s="281" t="s">
        <v>648</v>
      </c>
      <c r="B124" s="340" t="s">
        <v>162</v>
      </c>
      <c r="C124" s="318">
        <v>56</v>
      </c>
      <c r="D124" s="318">
        <v>60</v>
      </c>
      <c r="E124" s="318">
        <v>54</v>
      </c>
      <c r="F124" s="318"/>
      <c r="G124" s="318">
        <v>53</v>
      </c>
      <c r="H124" s="318">
        <v>47</v>
      </c>
      <c r="I124" s="318">
        <v>44</v>
      </c>
      <c r="J124" s="318">
        <v>39</v>
      </c>
      <c r="K124" s="351" t="s">
        <v>698</v>
      </c>
      <c r="L124" s="351" t="s">
        <v>698</v>
      </c>
      <c r="M124" s="351" t="s">
        <v>698</v>
      </c>
      <c r="N124" s="351"/>
      <c r="O124" s="351" t="s">
        <v>698</v>
      </c>
    </row>
    <row r="125" spans="1:15" ht="25.5">
      <c r="A125" s="281" t="s">
        <v>648</v>
      </c>
      <c r="B125" s="340" t="s">
        <v>174</v>
      </c>
      <c r="C125" s="318"/>
      <c r="D125" s="318">
        <v>70</v>
      </c>
      <c r="E125" s="318">
        <v>62</v>
      </c>
      <c r="F125" s="318"/>
      <c r="G125" s="318"/>
      <c r="H125" s="318">
        <v>56</v>
      </c>
      <c r="I125" s="318">
        <v>52</v>
      </c>
      <c r="J125" s="318">
        <v>46</v>
      </c>
      <c r="K125" s="351"/>
      <c r="L125" s="351"/>
      <c r="M125" s="351" t="s">
        <v>698</v>
      </c>
      <c r="N125" s="351"/>
      <c r="O125" s="351" t="s">
        <v>698</v>
      </c>
    </row>
    <row r="126" spans="1:15" ht="38.25">
      <c r="A126" s="281" t="s">
        <v>648</v>
      </c>
      <c r="B126" s="340" t="s">
        <v>180</v>
      </c>
      <c r="C126" s="318"/>
      <c r="D126" s="318">
        <v>84</v>
      </c>
      <c r="E126" s="318">
        <v>75</v>
      </c>
      <c r="F126" s="318"/>
      <c r="G126" s="318"/>
      <c r="H126" s="318">
        <v>67</v>
      </c>
      <c r="I126" s="318">
        <v>62</v>
      </c>
      <c r="J126" s="318">
        <v>56</v>
      </c>
      <c r="K126" s="351"/>
      <c r="L126" s="351"/>
      <c r="M126" s="351"/>
      <c r="N126" s="351"/>
      <c r="O126" s="351" t="s">
        <v>698</v>
      </c>
    </row>
    <row r="127" spans="1:15" ht="25.5">
      <c r="A127" s="281" t="s">
        <v>648</v>
      </c>
      <c r="B127" s="340" t="s">
        <v>185</v>
      </c>
      <c r="C127" s="318"/>
      <c r="D127" s="318"/>
      <c r="E127" s="318">
        <v>83</v>
      </c>
      <c r="F127" s="318"/>
      <c r="G127" s="318"/>
      <c r="H127" s="318">
        <v>74</v>
      </c>
      <c r="I127" s="318">
        <v>69</v>
      </c>
      <c r="J127" s="318">
        <v>62</v>
      </c>
      <c r="K127" s="351"/>
      <c r="L127" s="351"/>
      <c r="M127" s="351"/>
      <c r="N127" s="351"/>
      <c r="O127" s="349"/>
    </row>
    <row r="128" spans="1:15" ht="25.5">
      <c r="A128" s="281" t="s">
        <v>650</v>
      </c>
      <c r="B128" s="340" t="s">
        <v>145</v>
      </c>
      <c r="C128" s="318">
        <v>21</v>
      </c>
      <c r="D128" s="318">
        <v>21</v>
      </c>
      <c r="E128" s="318">
        <v>22</v>
      </c>
      <c r="F128" s="318">
        <v>16</v>
      </c>
      <c r="G128" s="318">
        <v>16</v>
      </c>
      <c r="H128" s="318">
        <v>14</v>
      </c>
      <c r="I128" s="318">
        <v>18</v>
      </c>
      <c r="J128" s="318">
        <v>10</v>
      </c>
      <c r="K128" s="351"/>
      <c r="L128" s="351"/>
      <c r="M128" s="351"/>
      <c r="N128" s="351"/>
      <c r="O128" s="349"/>
    </row>
    <row r="129" spans="1:15" ht="25.5">
      <c r="A129" s="281" t="s">
        <v>650</v>
      </c>
      <c r="B129" s="340" t="s">
        <v>162</v>
      </c>
      <c r="C129" s="318">
        <v>30</v>
      </c>
      <c r="D129" s="318">
        <v>31</v>
      </c>
      <c r="E129" s="318">
        <v>31</v>
      </c>
      <c r="F129" s="318"/>
      <c r="G129" s="318">
        <v>25</v>
      </c>
      <c r="H129" s="318">
        <v>22</v>
      </c>
      <c r="I129" s="318">
        <v>25</v>
      </c>
      <c r="J129" s="318">
        <v>16</v>
      </c>
      <c r="K129" s="351"/>
      <c r="L129" s="351"/>
      <c r="M129" s="351"/>
      <c r="N129" s="351"/>
      <c r="O129" s="349"/>
    </row>
    <row r="130" spans="1:15" ht="25.5">
      <c r="A130" s="281" t="s">
        <v>650</v>
      </c>
      <c r="B130" s="340" t="s">
        <v>174</v>
      </c>
      <c r="C130" s="318"/>
      <c r="D130" s="318">
        <v>43</v>
      </c>
      <c r="E130" s="318">
        <v>41</v>
      </c>
      <c r="F130" s="318"/>
      <c r="G130" s="318">
        <v>32</v>
      </c>
      <c r="H130" s="318">
        <v>35</v>
      </c>
      <c r="I130" s="318">
        <v>24</v>
      </c>
      <c r="J130" s="318"/>
      <c r="K130" s="351"/>
      <c r="L130" s="351"/>
      <c r="M130" s="351"/>
      <c r="N130" s="351"/>
      <c r="O130" s="349"/>
    </row>
    <row r="131" spans="1:15" ht="38.25">
      <c r="A131" s="281" t="s">
        <v>650</v>
      </c>
      <c r="B131" s="340" t="s">
        <v>180</v>
      </c>
      <c r="C131" s="318"/>
      <c r="D131" s="318">
        <v>62</v>
      </c>
      <c r="E131" s="318">
        <v>57</v>
      </c>
      <c r="F131" s="318"/>
      <c r="G131" s="318">
        <v>48</v>
      </c>
      <c r="H131" s="318">
        <v>49</v>
      </c>
      <c r="I131" s="318">
        <v>37</v>
      </c>
      <c r="J131" s="318"/>
      <c r="K131" s="351"/>
      <c r="L131" s="351"/>
      <c r="M131" s="351"/>
      <c r="N131" s="351"/>
      <c r="O131" s="349"/>
    </row>
    <row r="132" spans="1:15" ht="25.5">
      <c r="A132" s="281" t="s">
        <v>650</v>
      </c>
      <c r="B132" s="340" t="s">
        <v>185</v>
      </c>
      <c r="C132" s="318"/>
      <c r="D132" s="318"/>
      <c r="E132" s="318">
        <v>69</v>
      </c>
      <c r="F132" s="318"/>
      <c r="G132" s="318">
        <v>59</v>
      </c>
      <c r="H132" s="318">
        <v>60</v>
      </c>
      <c r="I132" s="318">
        <v>46</v>
      </c>
      <c r="J132" s="318"/>
      <c r="K132" s="351"/>
      <c r="L132" s="351"/>
      <c r="M132" s="351"/>
      <c r="N132" s="351"/>
      <c r="O132" s="349"/>
    </row>
    <row r="133" spans="1:15" ht="25.5">
      <c r="A133" s="281" t="s">
        <v>701</v>
      </c>
      <c r="B133" s="340" t="s">
        <v>145</v>
      </c>
      <c r="C133" s="318">
        <v>10</v>
      </c>
      <c r="D133" s="318">
        <v>10</v>
      </c>
      <c r="E133" s="318">
        <v>10</v>
      </c>
      <c r="F133" s="318">
        <v>10</v>
      </c>
      <c r="G133" s="318">
        <v>10</v>
      </c>
      <c r="H133" s="318">
        <v>10</v>
      </c>
      <c r="I133" s="318">
        <v>10</v>
      </c>
      <c r="J133" s="318">
        <v>10</v>
      </c>
      <c r="K133" s="351"/>
      <c r="L133" s="351"/>
      <c r="M133" s="351"/>
      <c r="N133" s="351"/>
      <c r="O133" s="349"/>
    </row>
    <row r="134" spans="1:15" ht="25.5">
      <c r="A134" s="281" t="s">
        <v>701</v>
      </c>
      <c r="B134" s="340" t="s">
        <v>162</v>
      </c>
      <c r="C134" s="318">
        <v>10</v>
      </c>
      <c r="D134" s="318">
        <v>10</v>
      </c>
      <c r="E134" s="318">
        <v>10</v>
      </c>
      <c r="F134" s="318"/>
      <c r="G134" s="318">
        <v>10</v>
      </c>
      <c r="H134" s="318">
        <v>10</v>
      </c>
      <c r="I134" s="318">
        <v>10</v>
      </c>
      <c r="J134" s="318">
        <v>10</v>
      </c>
      <c r="K134" s="351"/>
      <c r="L134" s="351"/>
      <c r="M134" s="351"/>
      <c r="N134" s="351"/>
      <c r="O134" s="349"/>
    </row>
    <row r="135" spans="1:15" ht="25.5">
      <c r="A135" s="281" t="s">
        <v>701</v>
      </c>
      <c r="B135" s="340" t="s">
        <v>174</v>
      </c>
      <c r="C135" s="318"/>
      <c r="D135" s="318">
        <v>10</v>
      </c>
      <c r="E135" s="318">
        <v>10</v>
      </c>
      <c r="F135" s="318"/>
      <c r="G135" s="318">
        <v>10</v>
      </c>
      <c r="H135" s="318">
        <v>10</v>
      </c>
      <c r="I135" s="318">
        <v>10</v>
      </c>
      <c r="J135" s="318"/>
      <c r="K135" s="351"/>
      <c r="L135" s="351"/>
      <c r="M135" s="351"/>
      <c r="N135" s="351"/>
      <c r="O135" s="349"/>
    </row>
    <row r="136" spans="1:15" ht="38.25">
      <c r="A136" s="281" t="s">
        <v>701</v>
      </c>
      <c r="B136" s="340" t="s">
        <v>180</v>
      </c>
      <c r="C136" s="318"/>
      <c r="D136" s="318">
        <v>0</v>
      </c>
      <c r="E136" s="318">
        <v>0</v>
      </c>
      <c r="F136" s="318"/>
      <c r="G136" s="318">
        <v>0</v>
      </c>
      <c r="H136" s="318">
        <v>0</v>
      </c>
      <c r="I136" s="318">
        <v>0</v>
      </c>
      <c r="J136" s="318"/>
      <c r="K136" s="351"/>
      <c r="L136" s="351"/>
      <c r="M136" s="351"/>
      <c r="N136" s="351"/>
      <c r="O136" s="349"/>
    </row>
    <row r="137" spans="1:15" ht="25.5">
      <c r="A137" s="281" t="s">
        <v>701</v>
      </c>
      <c r="B137" s="340" t="s">
        <v>185</v>
      </c>
      <c r="C137" s="318"/>
      <c r="D137" s="318">
        <v>0</v>
      </c>
      <c r="E137" s="318">
        <v>0</v>
      </c>
      <c r="F137" s="318"/>
      <c r="G137" s="318">
        <v>0</v>
      </c>
      <c r="H137" s="318">
        <v>0</v>
      </c>
      <c r="I137" s="318">
        <v>0</v>
      </c>
      <c r="J137" s="318"/>
      <c r="K137" s="351"/>
      <c r="L137" s="351"/>
      <c r="M137" s="351"/>
      <c r="N137" s="351"/>
      <c r="O137" s="349"/>
    </row>
    <row r="138" spans="1:15" ht="25.5">
      <c r="A138" s="281" t="s">
        <v>652</v>
      </c>
      <c r="B138" s="340" t="s">
        <v>145</v>
      </c>
      <c r="C138" s="318">
        <v>2</v>
      </c>
      <c r="D138" s="318">
        <v>2</v>
      </c>
      <c r="E138" s="318">
        <v>2</v>
      </c>
      <c r="F138" s="318">
        <v>2</v>
      </c>
      <c r="G138" s="318">
        <v>2</v>
      </c>
      <c r="H138" s="318">
        <v>2</v>
      </c>
      <c r="I138" s="318">
        <v>2</v>
      </c>
      <c r="J138" s="318">
        <v>2</v>
      </c>
      <c r="K138" s="351"/>
      <c r="L138" s="351"/>
      <c r="M138" s="351"/>
      <c r="N138" s="351"/>
      <c r="O138" s="349"/>
    </row>
    <row r="139" spans="1:15" ht="25.5">
      <c r="A139" s="281" t="s">
        <v>652</v>
      </c>
      <c r="B139" s="340" t="s">
        <v>162</v>
      </c>
      <c r="C139" s="318">
        <v>2</v>
      </c>
      <c r="D139" s="318">
        <v>2</v>
      </c>
      <c r="E139" s="318">
        <v>2</v>
      </c>
      <c r="F139" s="318"/>
      <c r="G139" s="318">
        <v>2</v>
      </c>
      <c r="H139" s="318">
        <v>2</v>
      </c>
      <c r="I139" s="318">
        <v>2</v>
      </c>
      <c r="J139" s="318">
        <v>2</v>
      </c>
      <c r="K139" s="351"/>
      <c r="L139" s="351"/>
      <c r="M139" s="351"/>
      <c r="N139" s="351"/>
      <c r="O139" s="349"/>
    </row>
    <row r="140" spans="1:15" ht="25.5">
      <c r="A140" s="281" t="s">
        <v>652</v>
      </c>
      <c r="B140" s="340" t="s">
        <v>174</v>
      </c>
      <c r="C140" s="318"/>
      <c r="D140" s="318">
        <v>2</v>
      </c>
      <c r="E140" s="318">
        <v>2</v>
      </c>
      <c r="F140" s="318"/>
      <c r="G140" s="318"/>
      <c r="H140" s="318">
        <v>2</v>
      </c>
      <c r="I140" s="318">
        <v>2</v>
      </c>
      <c r="J140" s="318">
        <v>2</v>
      </c>
      <c r="K140" s="351"/>
      <c r="L140" s="351"/>
      <c r="M140" s="351"/>
      <c r="N140" s="351"/>
      <c r="O140" s="349"/>
    </row>
    <row r="141" spans="1:15" ht="38.25">
      <c r="A141" s="281" t="s">
        <v>652</v>
      </c>
      <c r="B141" s="340" t="s">
        <v>180</v>
      </c>
      <c r="C141" s="318"/>
      <c r="D141" s="318">
        <v>2</v>
      </c>
      <c r="E141" s="318">
        <v>2</v>
      </c>
      <c r="F141" s="318"/>
      <c r="G141" s="318"/>
      <c r="H141" s="318">
        <v>2</v>
      </c>
      <c r="I141" s="318">
        <v>2</v>
      </c>
      <c r="J141" s="318">
        <v>2</v>
      </c>
      <c r="K141" s="351"/>
      <c r="L141" s="351"/>
      <c r="M141" s="351"/>
      <c r="N141" s="351"/>
      <c r="O141" s="349"/>
    </row>
    <row r="142" spans="1:15" ht="25.5">
      <c r="A142" s="281" t="s">
        <v>652</v>
      </c>
      <c r="B142" s="340" t="s">
        <v>185</v>
      </c>
      <c r="C142" s="318"/>
      <c r="D142" s="318"/>
      <c r="E142" s="318">
        <v>2</v>
      </c>
      <c r="F142" s="318"/>
      <c r="G142" s="318"/>
      <c r="H142" s="318">
        <v>2</v>
      </c>
      <c r="I142" s="318">
        <v>2</v>
      </c>
      <c r="J142" s="318">
        <v>2</v>
      </c>
      <c r="K142" s="351"/>
      <c r="L142" s="351"/>
      <c r="M142" s="351"/>
      <c r="N142" s="351"/>
      <c r="O142" s="349"/>
    </row>
    <row r="143" spans="1:15" ht="25.5">
      <c r="A143" s="281" t="s">
        <v>651</v>
      </c>
      <c r="B143" s="340" t="s">
        <v>145</v>
      </c>
      <c r="C143" s="318">
        <v>1</v>
      </c>
      <c r="D143" s="318">
        <v>1</v>
      </c>
      <c r="E143" s="318">
        <v>1</v>
      </c>
      <c r="F143" s="318">
        <v>1</v>
      </c>
      <c r="G143" s="318">
        <v>1</v>
      </c>
      <c r="H143" s="318">
        <v>1</v>
      </c>
      <c r="I143" s="318">
        <v>1</v>
      </c>
      <c r="J143" s="318">
        <v>1</v>
      </c>
      <c r="K143" s="351"/>
      <c r="L143" s="351"/>
      <c r="M143" s="351"/>
      <c r="N143" s="351"/>
      <c r="O143" s="349"/>
    </row>
    <row r="144" spans="1:15" ht="25.5">
      <c r="A144" s="281" t="s">
        <v>651</v>
      </c>
      <c r="B144" s="340" t="s">
        <v>162</v>
      </c>
      <c r="C144" s="318">
        <v>1</v>
      </c>
      <c r="D144" s="318">
        <v>1</v>
      </c>
      <c r="E144" s="318">
        <v>1</v>
      </c>
      <c r="F144" s="318"/>
      <c r="G144" s="318">
        <v>1</v>
      </c>
      <c r="H144" s="318">
        <v>1</v>
      </c>
      <c r="I144" s="318">
        <v>1</v>
      </c>
      <c r="J144" s="318">
        <v>1</v>
      </c>
      <c r="K144" s="351"/>
      <c r="L144" s="351"/>
      <c r="M144" s="351"/>
      <c r="N144" s="351"/>
      <c r="O144" s="349"/>
    </row>
    <row r="145" spans="1:15" ht="25.5">
      <c r="A145" s="281" t="s">
        <v>651</v>
      </c>
      <c r="B145" s="340" t="s">
        <v>174</v>
      </c>
      <c r="C145" s="318"/>
      <c r="D145" s="318">
        <v>2</v>
      </c>
      <c r="E145" s="318">
        <v>2</v>
      </c>
      <c r="F145" s="318"/>
      <c r="G145" s="318"/>
      <c r="H145" s="318">
        <v>1</v>
      </c>
      <c r="I145" s="318">
        <v>2</v>
      </c>
      <c r="J145" s="318">
        <v>1</v>
      </c>
      <c r="K145" s="351"/>
      <c r="L145" s="351"/>
      <c r="M145" s="351"/>
      <c r="N145" s="351"/>
      <c r="O145" s="349"/>
    </row>
    <row r="146" spans="1:15" ht="38.25">
      <c r="A146" s="281" t="s">
        <v>651</v>
      </c>
      <c r="B146" s="340" t="s">
        <v>180</v>
      </c>
      <c r="C146" s="318"/>
      <c r="D146" s="318">
        <v>3</v>
      </c>
      <c r="E146" s="318">
        <v>3</v>
      </c>
      <c r="F146" s="318"/>
      <c r="G146" s="318"/>
      <c r="H146" s="318">
        <v>2</v>
      </c>
      <c r="I146" s="318">
        <v>2</v>
      </c>
      <c r="J146" s="318">
        <v>2</v>
      </c>
      <c r="K146" s="351"/>
      <c r="L146" s="351"/>
      <c r="M146" s="351"/>
      <c r="N146" s="351"/>
      <c r="O146" s="349"/>
    </row>
    <row r="147" spans="1:15" ht="25.5">
      <c r="A147" s="281" t="s">
        <v>651</v>
      </c>
      <c r="B147" s="340" t="s">
        <v>185</v>
      </c>
      <c r="C147" s="318"/>
      <c r="D147" s="318"/>
      <c r="E147" s="318">
        <v>3</v>
      </c>
      <c r="F147" s="318"/>
      <c r="G147" s="318"/>
      <c r="H147" s="318">
        <v>3</v>
      </c>
      <c r="I147" s="318">
        <v>3</v>
      </c>
      <c r="J147" s="318">
        <v>2</v>
      </c>
      <c r="K147" s="351"/>
      <c r="L147" s="351"/>
      <c r="M147" s="351"/>
      <c r="N147" s="351"/>
      <c r="O147" s="349"/>
    </row>
    <row r="148" spans="1:15" ht="25.5">
      <c r="A148" s="281" t="s">
        <v>656</v>
      </c>
      <c r="B148" s="340" t="s">
        <v>145</v>
      </c>
      <c r="C148" s="318">
        <v>0</v>
      </c>
      <c r="D148" s="318">
        <v>0</v>
      </c>
      <c r="E148" s="318">
        <v>0</v>
      </c>
      <c r="F148" s="318">
        <v>0</v>
      </c>
      <c r="G148" s="318">
        <v>0</v>
      </c>
      <c r="H148" s="318">
        <v>0</v>
      </c>
      <c r="I148" s="318">
        <v>0</v>
      </c>
      <c r="J148" s="318">
        <v>0</v>
      </c>
      <c r="K148" s="351"/>
      <c r="L148" s="351"/>
      <c r="M148" s="351"/>
      <c r="N148" s="351"/>
      <c r="O148" s="349"/>
    </row>
    <row r="149" spans="1:15" ht="25.5">
      <c r="A149" s="281" t="s">
        <v>656</v>
      </c>
      <c r="B149" s="340" t="s">
        <v>162</v>
      </c>
      <c r="C149" s="318">
        <v>0</v>
      </c>
      <c r="D149" s="318">
        <v>0</v>
      </c>
      <c r="E149" s="318">
        <v>0</v>
      </c>
      <c r="F149" s="318"/>
      <c r="G149" s="318">
        <v>0</v>
      </c>
      <c r="H149" s="318">
        <v>0</v>
      </c>
      <c r="I149" s="318">
        <v>0</v>
      </c>
      <c r="J149" s="318">
        <v>0</v>
      </c>
      <c r="K149" s="351"/>
      <c r="L149" s="351"/>
      <c r="M149" s="351"/>
      <c r="N149" s="351"/>
      <c r="O149" s="349"/>
    </row>
    <row r="150" spans="1:15" ht="25.5">
      <c r="A150" s="281" t="s">
        <v>656</v>
      </c>
      <c r="B150" s="340" t="s">
        <v>174</v>
      </c>
      <c r="C150" s="318"/>
      <c r="D150" s="318">
        <v>0</v>
      </c>
      <c r="E150" s="318">
        <v>0</v>
      </c>
      <c r="F150" s="318"/>
      <c r="G150" s="318"/>
      <c r="H150" s="318">
        <v>0</v>
      </c>
      <c r="I150" s="318">
        <v>0</v>
      </c>
      <c r="J150" s="318">
        <v>0</v>
      </c>
      <c r="K150" s="351"/>
      <c r="L150" s="351"/>
      <c r="M150" s="351"/>
      <c r="N150" s="351"/>
      <c r="O150" s="349"/>
    </row>
    <row r="151" spans="1:15" ht="38.25">
      <c r="A151" s="281" t="s">
        <v>656</v>
      </c>
      <c r="B151" s="340" t="s">
        <v>180</v>
      </c>
      <c r="C151" s="318"/>
      <c r="D151" s="318">
        <v>0</v>
      </c>
      <c r="E151" s="318">
        <v>0</v>
      </c>
      <c r="F151" s="318"/>
      <c r="G151" s="318"/>
      <c r="H151" s="318">
        <v>0</v>
      </c>
      <c r="I151" s="318">
        <v>0</v>
      </c>
      <c r="J151" s="318">
        <v>0</v>
      </c>
      <c r="K151" s="351"/>
      <c r="L151" s="351"/>
      <c r="M151" s="351"/>
      <c r="N151" s="351"/>
      <c r="O151" s="349"/>
    </row>
    <row r="152" spans="1:15" ht="25.5">
      <c r="A152" s="281" t="s">
        <v>656</v>
      </c>
      <c r="B152" s="340" t="s">
        <v>185</v>
      </c>
      <c r="C152" s="318"/>
      <c r="D152" s="318"/>
      <c r="E152" s="318">
        <v>0</v>
      </c>
      <c r="F152" s="318"/>
      <c r="G152" s="318"/>
      <c r="H152" s="318">
        <v>0</v>
      </c>
      <c r="I152" s="318">
        <v>0</v>
      </c>
      <c r="J152" s="318">
        <v>0</v>
      </c>
      <c r="K152" s="351"/>
      <c r="L152" s="351"/>
      <c r="M152" s="351"/>
      <c r="N152" s="351"/>
      <c r="O152" s="349"/>
    </row>
    <row r="153" spans="1:15" ht="25.5">
      <c r="A153" s="281" t="s">
        <v>657</v>
      </c>
      <c r="B153" s="340" t="s">
        <v>145</v>
      </c>
      <c r="C153" s="341">
        <v>57</v>
      </c>
      <c r="D153" s="341">
        <v>66</v>
      </c>
      <c r="E153" s="341">
        <v>62</v>
      </c>
      <c r="F153" s="341">
        <v>57</v>
      </c>
      <c r="G153" s="341">
        <v>50</v>
      </c>
      <c r="H153" s="341">
        <v>56</v>
      </c>
      <c r="I153" s="341">
        <v>63</v>
      </c>
      <c r="J153" s="341">
        <v>40</v>
      </c>
      <c r="K153" s="351"/>
      <c r="L153" s="351"/>
      <c r="M153" s="351"/>
      <c r="N153" s="351"/>
      <c r="O153" s="349"/>
    </row>
    <row r="154" spans="1:15" ht="25.5">
      <c r="A154" s="281" t="s">
        <v>657</v>
      </c>
      <c r="B154" s="340" t="s">
        <v>162</v>
      </c>
      <c r="C154" s="341">
        <v>68</v>
      </c>
      <c r="D154" s="341">
        <v>77</v>
      </c>
      <c r="E154" s="341">
        <v>71</v>
      </c>
      <c r="F154" s="342"/>
      <c r="G154" s="341">
        <v>61</v>
      </c>
      <c r="H154" s="341">
        <v>64</v>
      </c>
      <c r="I154" s="341">
        <v>66</v>
      </c>
      <c r="J154" s="341">
        <v>44</v>
      </c>
      <c r="K154" s="351"/>
      <c r="L154" s="351"/>
      <c r="M154" s="351"/>
      <c r="N154" s="351"/>
      <c r="O154" s="349"/>
    </row>
    <row r="155" spans="1:15" ht="25.5">
      <c r="A155" s="281" t="s">
        <v>657</v>
      </c>
      <c r="B155" s="340" t="s">
        <v>174</v>
      </c>
      <c r="C155" s="344"/>
      <c r="D155" s="341">
        <v>90</v>
      </c>
      <c r="E155" s="341">
        <v>81</v>
      </c>
      <c r="F155" s="342"/>
      <c r="G155" s="342"/>
      <c r="H155" s="341">
        <v>75</v>
      </c>
      <c r="I155" s="341">
        <v>68</v>
      </c>
      <c r="J155" s="341">
        <v>54</v>
      </c>
      <c r="K155" s="351"/>
      <c r="L155" s="351"/>
      <c r="M155" s="351"/>
      <c r="N155" s="351"/>
      <c r="O155" s="349"/>
    </row>
    <row r="156" spans="1:15" ht="38.25">
      <c r="A156" s="281" t="s">
        <v>657</v>
      </c>
      <c r="B156" s="340" t="s">
        <v>180</v>
      </c>
      <c r="C156" s="344"/>
      <c r="D156" s="341">
        <v>125</v>
      </c>
      <c r="E156" s="341">
        <v>115</v>
      </c>
      <c r="F156" s="342"/>
      <c r="G156" s="342"/>
      <c r="H156" s="341">
        <v>109</v>
      </c>
      <c r="I156" s="341">
        <v>99</v>
      </c>
      <c r="J156" s="341">
        <v>84</v>
      </c>
      <c r="K156" s="351"/>
      <c r="L156" s="351"/>
      <c r="M156" s="351"/>
      <c r="N156" s="351"/>
      <c r="O156" s="349"/>
    </row>
    <row r="157" spans="1:15" ht="25.5">
      <c r="A157" s="281" t="s">
        <v>657</v>
      </c>
      <c r="B157" s="340" t="s">
        <v>185</v>
      </c>
      <c r="C157" s="344"/>
      <c r="D157" s="342"/>
      <c r="E157" s="341">
        <v>133</v>
      </c>
      <c r="F157" s="342"/>
      <c r="G157" s="342"/>
      <c r="H157" s="341">
        <v>117</v>
      </c>
      <c r="I157" s="341">
        <v>107</v>
      </c>
      <c r="J157" s="341">
        <v>92</v>
      </c>
      <c r="K157" s="351"/>
      <c r="L157" s="351"/>
      <c r="M157" s="351"/>
      <c r="N157" s="351"/>
      <c r="O157" s="349"/>
    </row>
    <row r="158" spans="1:15" ht="25.5">
      <c r="A158" s="281" t="s">
        <v>658</v>
      </c>
      <c r="B158" s="340" t="s">
        <v>145</v>
      </c>
      <c r="C158" s="341">
        <v>57</v>
      </c>
      <c r="D158" s="341">
        <v>66</v>
      </c>
      <c r="E158" s="341">
        <v>62</v>
      </c>
      <c r="F158" s="341">
        <v>57</v>
      </c>
      <c r="G158" s="341">
        <v>50</v>
      </c>
      <c r="H158" s="341">
        <v>56</v>
      </c>
      <c r="I158" s="341">
        <v>63</v>
      </c>
      <c r="J158" s="341">
        <v>40</v>
      </c>
      <c r="K158" s="351"/>
      <c r="L158" s="351"/>
      <c r="M158" s="351"/>
      <c r="N158" s="351"/>
      <c r="O158" s="349"/>
    </row>
    <row r="159" spans="1:15" ht="25.5">
      <c r="A159" s="281" t="s">
        <v>658</v>
      </c>
      <c r="B159" s="340" t="s">
        <v>162</v>
      </c>
      <c r="C159" s="341">
        <v>68</v>
      </c>
      <c r="D159" s="341">
        <v>77</v>
      </c>
      <c r="E159" s="341">
        <v>71</v>
      </c>
      <c r="F159" s="342"/>
      <c r="G159" s="341">
        <v>61</v>
      </c>
      <c r="H159" s="341">
        <v>64</v>
      </c>
      <c r="I159" s="341">
        <v>66</v>
      </c>
      <c r="J159" s="341">
        <v>44</v>
      </c>
      <c r="K159" s="351"/>
      <c r="L159" s="351"/>
      <c r="M159" s="351"/>
      <c r="N159" s="351"/>
      <c r="O159" s="349"/>
    </row>
    <row r="160" spans="1:15" ht="25.5">
      <c r="A160" s="281" t="s">
        <v>658</v>
      </c>
      <c r="B160" s="340" t="s">
        <v>174</v>
      </c>
      <c r="C160" s="344"/>
      <c r="D160" s="341">
        <v>90</v>
      </c>
      <c r="E160" s="341">
        <v>81</v>
      </c>
      <c r="F160" s="342"/>
      <c r="G160" s="342"/>
      <c r="H160" s="341">
        <v>75</v>
      </c>
      <c r="I160" s="341">
        <v>68</v>
      </c>
      <c r="J160" s="341">
        <v>54</v>
      </c>
      <c r="K160" s="351"/>
      <c r="L160" s="351"/>
      <c r="M160" s="351"/>
      <c r="N160" s="351"/>
      <c r="O160" s="349"/>
    </row>
    <row r="161" spans="1:15" ht="38.25">
      <c r="A161" s="281" t="s">
        <v>658</v>
      </c>
      <c r="B161" s="340" t="s">
        <v>180</v>
      </c>
      <c r="C161" s="344"/>
      <c r="D161" s="341">
        <v>125</v>
      </c>
      <c r="E161" s="341">
        <v>115</v>
      </c>
      <c r="F161" s="342"/>
      <c r="G161" s="342"/>
      <c r="H161" s="341">
        <v>109</v>
      </c>
      <c r="I161" s="341">
        <v>99</v>
      </c>
      <c r="J161" s="341">
        <v>84</v>
      </c>
      <c r="K161" s="351"/>
      <c r="L161" s="351"/>
      <c r="M161" s="351"/>
      <c r="N161" s="351"/>
      <c r="O161" s="349"/>
    </row>
    <row r="162" spans="1:15" ht="25.5">
      <c r="A162" s="281" t="s">
        <v>658</v>
      </c>
      <c r="B162" s="340" t="s">
        <v>185</v>
      </c>
      <c r="C162" s="344"/>
      <c r="D162" s="342"/>
      <c r="E162" s="341">
        <v>133</v>
      </c>
      <c r="F162" s="342"/>
      <c r="G162" s="342"/>
      <c r="H162" s="341">
        <v>117</v>
      </c>
      <c r="I162" s="341">
        <v>107</v>
      </c>
      <c r="J162" s="341">
        <v>92</v>
      </c>
      <c r="K162" s="351"/>
      <c r="L162" s="351"/>
      <c r="M162" s="351"/>
      <c r="N162" s="351"/>
      <c r="O162" s="349"/>
    </row>
    <row r="163" spans="1:15" ht="25.5">
      <c r="A163" s="281" t="s">
        <v>659</v>
      </c>
      <c r="B163" s="340" t="s">
        <v>145</v>
      </c>
      <c r="C163" s="341">
        <v>57</v>
      </c>
      <c r="D163" s="341">
        <v>66</v>
      </c>
      <c r="E163" s="341">
        <v>62</v>
      </c>
      <c r="F163" s="341">
        <v>57</v>
      </c>
      <c r="G163" s="341">
        <v>50</v>
      </c>
      <c r="H163" s="341">
        <v>56</v>
      </c>
      <c r="I163" s="341">
        <v>63</v>
      </c>
      <c r="J163" s="341">
        <v>40</v>
      </c>
      <c r="K163" s="351"/>
      <c r="L163" s="351"/>
      <c r="M163" s="351"/>
      <c r="N163" s="351"/>
      <c r="O163" s="349"/>
    </row>
    <row r="164" spans="1:15" ht="25.5">
      <c r="A164" s="281" t="s">
        <v>659</v>
      </c>
      <c r="B164" s="340" t="s">
        <v>162</v>
      </c>
      <c r="C164" s="341">
        <v>68</v>
      </c>
      <c r="D164" s="341">
        <v>77</v>
      </c>
      <c r="E164" s="341">
        <v>71</v>
      </c>
      <c r="F164" s="342"/>
      <c r="G164" s="341">
        <v>61</v>
      </c>
      <c r="H164" s="341">
        <v>64</v>
      </c>
      <c r="I164" s="341">
        <v>66</v>
      </c>
      <c r="J164" s="341">
        <v>44</v>
      </c>
      <c r="K164" s="351"/>
      <c r="L164" s="351"/>
      <c r="M164" s="351"/>
      <c r="N164" s="351"/>
      <c r="O164" s="349"/>
    </row>
    <row r="165" spans="1:15" ht="25.5">
      <c r="A165" s="281" t="s">
        <v>659</v>
      </c>
      <c r="B165" s="340" t="s">
        <v>174</v>
      </c>
      <c r="C165" s="344"/>
      <c r="D165" s="341">
        <v>90</v>
      </c>
      <c r="E165" s="341">
        <v>81</v>
      </c>
      <c r="F165" s="342"/>
      <c r="G165" s="342"/>
      <c r="H165" s="341">
        <v>75</v>
      </c>
      <c r="I165" s="341">
        <v>68</v>
      </c>
      <c r="J165" s="341">
        <v>54</v>
      </c>
      <c r="K165" s="351"/>
      <c r="L165" s="351"/>
      <c r="M165" s="351"/>
      <c r="N165" s="351"/>
      <c r="O165" s="349"/>
    </row>
    <row r="166" spans="1:15" ht="38.25">
      <c r="A166" s="281" t="s">
        <v>659</v>
      </c>
      <c r="B166" s="340" t="s">
        <v>180</v>
      </c>
      <c r="C166" s="344"/>
      <c r="D166" s="341">
        <v>125</v>
      </c>
      <c r="E166" s="341">
        <v>115</v>
      </c>
      <c r="F166" s="342"/>
      <c r="G166" s="342"/>
      <c r="H166" s="341">
        <v>109</v>
      </c>
      <c r="I166" s="341">
        <v>99</v>
      </c>
      <c r="J166" s="341">
        <v>84</v>
      </c>
      <c r="K166" s="351"/>
      <c r="L166" s="351"/>
      <c r="M166" s="351"/>
      <c r="N166" s="351"/>
      <c r="O166" s="349"/>
    </row>
    <row r="167" spans="1:15" ht="25.5">
      <c r="A167" s="281" t="s">
        <v>659</v>
      </c>
      <c r="B167" s="340" t="s">
        <v>185</v>
      </c>
      <c r="C167" s="344"/>
      <c r="D167" s="342"/>
      <c r="E167" s="341">
        <v>133</v>
      </c>
      <c r="F167" s="342"/>
      <c r="G167" s="342"/>
      <c r="H167" s="341">
        <v>117</v>
      </c>
      <c r="I167" s="341">
        <v>107</v>
      </c>
      <c r="J167" s="341">
        <v>92</v>
      </c>
      <c r="K167" s="351"/>
      <c r="L167" s="351"/>
      <c r="M167" s="351"/>
      <c r="N167" s="351"/>
      <c r="O167" s="349"/>
    </row>
    <row r="168" spans="1:15" ht="25.5">
      <c r="A168" s="281" t="s">
        <v>661</v>
      </c>
      <c r="B168" s="340" t="s">
        <v>145</v>
      </c>
      <c r="C168" s="341">
        <v>57</v>
      </c>
      <c r="D168" s="341">
        <v>66</v>
      </c>
      <c r="E168" s="341">
        <v>62</v>
      </c>
      <c r="F168" s="341">
        <v>57</v>
      </c>
      <c r="G168" s="341">
        <v>50</v>
      </c>
      <c r="H168" s="341">
        <v>56</v>
      </c>
      <c r="I168" s="341">
        <v>63</v>
      </c>
      <c r="J168" s="341">
        <v>40</v>
      </c>
      <c r="K168" s="351"/>
      <c r="L168" s="351"/>
      <c r="M168" s="351"/>
      <c r="N168" s="351"/>
      <c r="O168" s="349"/>
    </row>
    <row r="169" spans="1:15" ht="25.5">
      <c r="A169" s="281" t="s">
        <v>661</v>
      </c>
      <c r="B169" s="340" t="s">
        <v>162</v>
      </c>
      <c r="C169" s="341">
        <v>68</v>
      </c>
      <c r="D169" s="341">
        <v>77</v>
      </c>
      <c r="E169" s="341">
        <v>71</v>
      </c>
      <c r="F169" s="342"/>
      <c r="G169" s="341">
        <v>61</v>
      </c>
      <c r="H169" s="341">
        <v>64</v>
      </c>
      <c r="I169" s="341">
        <v>66</v>
      </c>
      <c r="J169" s="341">
        <v>44</v>
      </c>
      <c r="K169" s="351"/>
      <c r="L169" s="351"/>
      <c r="M169" s="351"/>
      <c r="N169" s="351"/>
      <c r="O169" s="349"/>
    </row>
    <row r="170" spans="1:15" ht="25.5">
      <c r="A170" s="281" t="s">
        <v>661</v>
      </c>
      <c r="B170" s="340" t="s">
        <v>174</v>
      </c>
      <c r="C170" s="344"/>
      <c r="D170" s="341">
        <v>90</v>
      </c>
      <c r="E170" s="341">
        <v>81</v>
      </c>
      <c r="F170" s="342"/>
      <c r="G170" s="342"/>
      <c r="H170" s="341">
        <v>75</v>
      </c>
      <c r="I170" s="341">
        <v>68</v>
      </c>
      <c r="J170" s="341">
        <v>54</v>
      </c>
      <c r="K170" s="351"/>
      <c r="L170" s="351"/>
      <c r="M170" s="351"/>
      <c r="N170" s="351"/>
      <c r="O170" s="349"/>
    </row>
    <row r="171" spans="1:15" ht="38.25">
      <c r="A171" s="281" t="s">
        <v>661</v>
      </c>
      <c r="B171" s="340" t="s">
        <v>180</v>
      </c>
      <c r="C171" s="344"/>
      <c r="D171" s="341">
        <v>125</v>
      </c>
      <c r="E171" s="341">
        <v>115</v>
      </c>
      <c r="F171" s="342"/>
      <c r="G171" s="342"/>
      <c r="H171" s="341">
        <v>109</v>
      </c>
      <c r="I171" s="341">
        <v>99</v>
      </c>
      <c r="J171" s="341">
        <v>84</v>
      </c>
      <c r="K171" s="351"/>
      <c r="L171" s="351"/>
      <c r="M171" s="351"/>
      <c r="N171" s="351"/>
      <c r="O171" s="349"/>
    </row>
    <row r="172" spans="1:15" ht="25.5">
      <c r="A172" s="281" t="s">
        <v>661</v>
      </c>
      <c r="B172" s="340" t="s">
        <v>185</v>
      </c>
      <c r="C172" s="344"/>
      <c r="D172" s="342"/>
      <c r="E172" s="341">
        <v>133</v>
      </c>
      <c r="F172" s="342"/>
      <c r="G172" s="342"/>
      <c r="H172" s="341">
        <v>117</v>
      </c>
      <c r="I172" s="341">
        <v>107</v>
      </c>
      <c r="J172" s="341">
        <v>92</v>
      </c>
      <c r="K172" s="351"/>
      <c r="L172" s="351"/>
      <c r="M172" s="351"/>
      <c r="N172" s="351"/>
      <c r="O172" s="349"/>
    </row>
    <row r="173" spans="1:15" ht="25.5">
      <c r="A173" s="281" t="s">
        <v>663</v>
      </c>
      <c r="B173" s="340" t="s">
        <v>145</v>
      </c>
      <c r="C173" s="318">
        <v>70</v>
      </c>
      <c r="D173" s="341">
        <v>79</v>
      </c>
      <c r="E173" s="341">
        <v>72</v>
      </c>
      <c r="F173" s="318">
        <v>69</v>
      </c>
      <c r="G173" s="318">
        <v>60</v>
      </c>
      <c r="H173" s="341">
        <v>64</v>
      </c>
      <c r="I173" s="341">
        <v>66</v>
      </c>
      <c r="J173" s="341">
        <v>44</v>
      </c>
      <c r="K173" s="351"/>
      <c r="L173" s="351"/>
      <c r="M173" s="351"/>
      <c r="N173" s="351"/>
      <c r="O173" s="349"/>
    </row>
    <row r="174" spans="1:15" ht="25.5">
      <c r="A174" s="281" t="s">
        <v>663</v>
      </c>
      <c r="B174" s="340" t="s">
        <v>162</v>
      </c>
      <c r="C174" s="318">
        <v>88</v>
      </c>
      <c r="D174" s="341">
        <v>96</v>
      </c>
      <c r="E174" s="341">
        <v>87</v>
      </c>
      <c r="F174" s="318"/>
      <c r="G174" s="318">
        <v>77</v>
      </c>
      <c r="H174" s="341">
        <v>79</v>
      </c>
      <c r="I174" s="341">
        <v>76</v>
      </c>
      <c r="J174" s="341">
        <v>54</v>
      </c>
      <c r="K174" s="351">
        <v>8</v>
      </c>
      <c r="L174" s="351">
        <v>9</v>
      </c>
      <c r="M174" s="351">
        <v>10</v>
      </c>
      <c r="N174" s="351">
        <v>4</v>
      </c>
      <c r="O174" s="349">
        <v>10</v>
      </c>
    </row>
    <row r="175" spans="1:15" ht="25.5">
      <c r="A175" s="281" t="s">
        <v>663</v>
      </c>
      <c r="B175" s="340" t="s">
        <v>174</v>
      </c>
      <c r="C175" s="318"/>
      <c r="D175" s="341">
        <v>115</v>
      </c>
      <c r="E175" s="341">
        <v>104</v>
      </c>
      <c r="F175" s="318"/>
      <c r="G175" s="318"/>
      <c r="H175" s="341">
        <v>96</v>
      </c>
      <c r="I175" s="341">
        <v>87</v>
      </c>
      <c r="J175" s="341">
        <v>69</v>
      </c>
      <c r="K175" s="351">
        <v>4</v>
      </c>
      <c r="L175" s="351">
        <v>6</v>
      </c>
      <c r="M175" s="351"/>
      <c r="N175" s="351"/>
      <c r="O175" s="349"/>
    </row>
    <row r="176" spans="1:15" ht="38.25">
      <c r="A176" s="281" t="s">
        <v>663</v>
      </c>
      <c r="B176" s="340" t="s">
        <v>180</v>
      </c>
      <c r="C176" s="318"/>
      <c r="D176" s="341">
        <v>161</v>
      </c>
      <c r="E176" s="341">
        <v>148</v>
      </c>
      <c r="F176" s="318"/>
      <c r="G176" s="318"/>
      <c r="H176" s="341">
        <v>140</v>
      </c>
      <c r="I176" s="341">
        <v>128</v>
      </c>
      <c r="J176" s="341">
        <v>109</v>
      </c>
      <c r="K176" s="351"/>
      <c r="L176" s="351"/>
      <c r="M176" s="351"/>
      <c r="N176" s="351">
        <v>31</v>
      </c>
      <c r="O176" s="349"/>
    </row>
    <row r="177" spans="1:15" ht="25.5">
      <c r="A177" s="281" t="s">
        <v>663</v>
      </c>
      <c r="B177" s="340" t="s">
        <v>185</v>
      </c>
      <c r="C177" s="318"/>
      <c r="D177" s="318"/>
      <c r="E177" s="341">
        <v>159</v>
      </c>
      <c r="F177" s="318"/>
      <c r="G177" s="318"/>
      <c r="H177" s="341">
        <v>152</v>
      </c>
      <c r="I177" s="341">
        <v>132</v>
      </c>
      <c r="J177" s="341">
        <v>119</v>
      </c>
      <c r="K177" s="351"/>
      <c r="L177" s="351"/>
      <c r="M177" s="351"/>
      <c r="N177" s="351">
        <v>63</v>
      </c>
      <c r="O177" s="349"/>
    </row>
    <row r="178" spans="1:15" ht="25.5">
      <c r="A178" s="281" t="s">
        <v>666</v>
      </c>
      <c r="B178" s="340" t="s">
        <v>145</v>
      </c>
      <c r="C178" s="318">
        <v>70</v>
      </c>
      <c r="D178" s="341">
        <v>79</v>
      </c>
      <c r="E178" s="341">
        <v>72</v>
      </c>
      <c r="F178" s="318">
        <v>69</v>
      </c>
      <c r="G178" s="318">
        <v>60</v>
      </c>
      <c r="H178" s="341">
        <v>64</v>
      </c>
      <c r="I178" s="341">
        <v>66</v>
      </c>
      <c r="J178" s="341">
        <v>44</v>
      </c>
      <c r="K178" s="351">
        <v>8</v>
      </c>
      <c r="L178" s="351">
        <v>9</v>
      </c>
      <c r="M178" s="351">
        <v>10</v>
      </c>
      <c r="N178" s="351">
        <v>4</v>
      </c>
      <c r="O178" s="349">
        <v>10</v>
      </c>
    </row>
    <row r="179" spans="1:15" ht="25.5">
      <c r="A179" s="281" t="s">
        <v>666</v>
      </c>
      <c r="B179" s="340" t="s">
        <v>162</v>
      </c>
      <c r="C179" s="318">
        <v>88</v>
      </c>
      <c r="D179" s="341">
        <v>96</v>
      </c>
      <c r="E179" s="341">
        <v>87</v>
      </c>
      <c r="F179" s="318"/>
      <c r="G179" s="318">
        <v>77</v>
      </c>
      <c r="H179" s="341">
        <v>79</v>
      </c>
      <c r="I179" s="341">
        <v>76</v>
      </c>
      <c r="J179" s="341">
        <v>54</v>
      </c>
      <c r="K179" s="351">
        <v>4</v>
      </c>
      <c r="L179" s="351">
        <v>6</v>
      </c>
      <c r="M179" s="351"/>
      <c r="N179" s="351"/>
      <c r="O179" s="349"/>
    </row>
    <row r="180" spans="1:15" ht="25.5">
      <c r="A180" s="281" t="s">
        <v>666</v>
      </c>
      <c r="B180" s="340" t="s">
        <v>174</v>
      </c>
      <c r="C180" s="318"/>
      <c r="D180" s="341">
        <v>115</v>
      </c>
      <c r="E180" s="341">
        <v>104</v>
      </c>
      <c r="F180" s="318"/>
      <c r="G180" s="318"/>
      <c r="H180" s="341">
        <v>96</v>
      </c>
      <c r="I180" s="341">
        <v>87</v>
      </c>
      <c r="J180" s="341">
        <v>69</v>
      </c>
      <c r="K180" s="351"/>
      <c r="L180" s="351"/>
      <c r="M180" s="351"/>
      <c r="N180" s="351">
        <v>31</v>
      </c>
      <c r="O180" s="349"/>
    </row>
    <row r="181" spans="1:15" ht="38.25">
      <c r="A181" s="281" t="s">
        <v>666</v>
      </c>
      <c r="B181" s="340" t="s">
        <v>180</v>
      </c>
      <c r="C181" s="318"/>
      <c r="D181" s="341">
        <v>161</v>
      </c>
      <c r="E181" s="341">
        <v>148</v>
      </c>
      <c r="F181" s="318"/>
      <c r="G181" s="318"/>
      <c r="H181" s="341">
        <v>140</v>
      </c>
      <c r="I181" s="341">
        <v>128</v>
      </c>
      <c r="J181" s="341">
        <v>109</v>
      </c>
      <c r="K181" s="351"/>
      <c r="L181" s="351"/>
      <c r="M181" s="351"/>
      <c r="N181" s="351">
        <v>63</v>
      </c>
      <c r="O181" s="349"/>
    </row>
    <row r="182" spans="1:15" ht="25.5">
      <c r="A182" s="281" t="s">
        <v>666</v>
      </c>
      <c r="B182" s="340" t="s">
        <v>185</v>
      </c>
      <c r="C182" s="318"/>
      <c r="D182" s="318"/>
      <c r="E182" s="341">
        <v>159</v>
      </c>
      <c r="F182" s="318"/>
      <c r="G182" s="318"/>
      <c r="H182" s="341">
        <v>152</v>
      </c>
      <c r="I182" s="341">
        <v>132</v>
      </c>
      <c r="J182" s="341">
        <v>119</v>
      </c>
      <c r="K182" s="351"/>
      <c r="L182" s="351"/>
      <c r="M182" s="351"/>
      <c r="N182" s="351"/>
      <c r="O182" s="349"/>
    </row>
    <row r="183" spans="1:15" ht="25.5">
      <c r="A183" s="281" t="s">
        <v>667</v>
      </c>
      <c r="B183" s="340" t="s">
        <v>145</v>
      </c>
      <c r="C183" s="318">
        <v>70</v>
      </c>
      <c r="D183" s="341">
        <v>79</v>
      </c>
      <c r="E183" s="341">
        <v>72</v>
      </c>
      <c r="F183" s="318">
        <v>69</v>
      </c>
      <c r="G183" s="318">
        <v>60</v>
      </c>
      <c r="H183" s="341">
        <v>64</v>
      </c>
      <c r="I183" s="341">
        <v>66</v>
      </c>
      <c r="J183" s="341">
        <v>44</v>
      </c>
      <c r="K183" s="351">
        <v>8</v>
      </c>
      <c r="L183" s="351">
        <v>9</v>
      </c>
      <c r="M183" s="351">
        <v>10</v>
      </c>
      <c r="N183" s="351">
        <v>4</v>
      </c>
      <c r="O183" s="349">
        <v>10</v>
      </c>
    </row>
    <row r="184" spans="1:15" ht="25.5">
      <c r="A184" s="281" t="s">
        <v>667</v>
      </c>
      <c r="B184" s="340" t="s">
        <v>162</v>
      </c>
      <c r="C184" s="318">
        <v>88</v>
      </c>
      <c r="D184" s="341">
        <v>96</v>
      </c>
      <c r="E184" s="341">
        <v>87</v>
      </c>
      <c r="F184" s="318"/>
      <c r="G184" s="318">
        <v>77</v>
      </c>
      <c r="H184" s="341">
        <v>79</v>
      </c>
      <c r="I184" s="341">
        <v>76</v>
      </c>
      <c r="J184" s="341">
        <v>54</v>
      </c>
      <c r="K184" s="351">
        <v>4</v>
      </c>
      <c r="L184" s="351">
        <v>6</v>
      </c>
      <c r="M184" s="351"/>
      <c r="N184" s="351"/>
      <c r="O184" s="349"/>
    </row>
    <row r="185" spans="1:15" ht="25.5">
      <c r="A185" s="281" t="s">
        <v>667</v>
      </c>
      <c r="B185" s="340" t="s">
        <v>174</v>
      </c>
      <c r="C185" s="318"/>
      <c r="D185" s="341">
        <v>115</v>
      </c>
      <c r="E185" s="341">
        <v>104</v>
      </c>
      <c r="F185" s="318"/>
      <c r="G185" s="318"/>
      <c r="H185" s="341">
        <v>96</v>
      </c>
      <c r="I185" s="341">
        <v>87</v>
      </c>
      <c r="J185" s="341">
        <v>69</v>
      </c>
      <c r="K185" s="351"/>
      <c r="L185" s="351"/>
      <c r="M185" s="351"/>
      <c r="N185" s="351">
        <v>31</v>
      </c>
      <c r="O185" s="349"/>
    </row>
    <row r="186" spans="1:15" ht="38.25">
      <c r="A186" s="281" t="s">
        <v>667</v>
      </c>
      <c r="B186" s="340" t="s">
        <v>180</v>
      </c>
      <c r="C186" s="318"/>
      <c r="D186" s="341">
        <v>161</v>
      </c>
      <c r="E186" s="341">
        <v>148</v>
      </c>
      <c r="F186" s="318"/>
      <c r="G186" s="318"/>
      <c r="H186" s="341">
        <v>140</v>
      </c>
      <c r="I186" s="341">
        <v>128</v>
      </c>
      <c r="J186" s="341">
        <v>109</v>
      </c>
      <c r="K186" s="351"/>
      <c r="L186" s="351"/>
      <c r="M186" s="351"/>
      <c r="N186" s="351">
        <v>63</v>
      </c>
      <c r="O186" s="349"/>
    </row>
    <row r="187" spans="1:15" ht="25.5">
      <c r="A187" s="281" t="s">
        <v>667</v>
      </c>
      <c r="B187" s="340" t="s">
        <v>185</v>
      </c>
      <c r="C187" s="318"/>
      <c r="D187" s="318"/>
      <c r="E187" s="341">
        <v>159</v>
      </c>
      <c r="F187" s="318"/>
      <c r="G187" s="318"/>
      <c r="H187" s="341">
        <v>152</v>
      </c>
      <c r="I187" s="341">
        <v>132</v>
      </c>
      <c r="J187" s="341">
        <v>119</v>
      </c>
      <c r="K187" s="351"/>
      <c r="L187" s="351"/>
      <c r="M187" s="351"/>
      <c r="N187" s="351"/>
      <c r="O187" s="349"/>
    </row>
    <row r="188" spans="1:15" ht="25.5">
      <c r="A188" s="281" t="s">
        <v>668</v>
      </c>
      <c r="B188" s="340" t="s">
        <v>145</v>
      </c>
      <c r="C188" s="318">
        <v>70</v>
      </c>
      <c r="D188" s="341">
        <v>79</v>
      </c>
      <c r="E188" s="341">
        <v>72</v>
      </c>
      <c r="F188" s="318">
        <v>69</v>
      </c>
      <c r="G188" s="318">
        <v>60</v>
      </c>
      <c r="H188" s="341">
        <v>64</v>
      </c>
      <c r="I188" s="341">
        <v>66</v>
      </c>
      <c r="J188" s="341">
        <v>44</v>
      </c>
      <c r="K188" s="351">
        <v>8</v>
      </c>
      <c r="L188" s="351">
        <v>9</v>
      </c>
      <c r="M188" s="351">
        <v>10</v>
      </c>
      <c r="N188" s="351">
        <v>4</v>
      </c>
      <c r="O188" s="349">
        <v>10</v>
      </c>
    </row>
    <row r="189" spans="1:15" ht="25.5">
      <c r="A189" s="281" t="s">
        <v>668</v>
      </c>
      <c r="B189" s="340" t="s">
        <v>162</v>
      </c>
      <c r="C189" s="318">
        <v>88</v>
      </c>
      <c r="D189" s="341">
        <v>96</v>
      </c>
      <c r="E189" s="341">
        <v>87</v>
      </c>
      <c r="F189" s="318"/>
      <c r="G189" s="318">
        <v>77</v>
      </c>
      <c r="H189" s="341">
        <v>79</v>
      </c>
      <c r="I189" s="341">
        <v>76</v>
      </c>
      <c r="J189" s="341">
        <v>54</v>
      </c>
      <c r="K189" s="351">
        <v>4</v>
      </c>
      <c r="L189" s="351">
        <v>6</v>
      </c>
      <c r="M189" s="351"/>
      <c r="N189" s="351"/>
      <c r="O189" s="349"/>
    </row>
    <row r="190" spans="1:15" ht="25.5">
      <c r="A190" s="281" t="s">
        <v>668</v>
      </c>
      <c r="B190" s="340" t="s">
        <v>174</v>
      </c>
      <c r="C190" s="318"/>
      <c r="D190" s="341">
        <v>115</v>
      </c>
      <c r="E190" s="341">
        <v>104</v>
      </c>
      <c r="F190" s="318"/>
      <c r="G190" s="318"/>
      <c r="H190" s="341">
        <v>96</v>
      </c>
      <c r="I190" s="341">
        <v>87</v>
      </c>
      <c r="J190" s="341">
        <v>69</v>
      </c>
      <c r="K190" s="351"/>
      <c r="L190" s="351"/>
      <c r="M190" s="351"/>
      <c r="N190" s="351">
        <v>31</v>
      </c>
      <c r="O190" s="349"/>
    </row>
    <row r="191" spans="1:15" ht="38.25">
      <c r="A191" s="281" t="s">
        <v>668</v>
      </c>
      <c r="B191" s="340" t="s">
        <v>180</v>
      </c>
      <c r="C191" s="318"/>
      <c r="D191" s="341">
        <v>161</v>
      </c>
      <c r="E191" s="341">
        <v>148</v>
      </c>
      <c r="F191" s="318"/>
      <c r="G191" s="318"/>
      <c r="H191" s="341">
        <v>140</v>
      </c>
      <c r="I191" s="341">
        <v>128</v>
      </c>
      <c r="J191" s="341">
        <v>109</v>
      </c>
      <c r="K191" s="351"/>
      <c r="L191" s="351"/>
      <c r="M191" s="351"/>
      <c r="N191" s="351">
        <v>63</v>
      </c>
      <c r="O191" s="349"/>
    </row>
    <row r="192" spans="1:15" ht="25.5">
      <c r="A192" s="281" t="s">
        <v>668</v>
      </c>
      <c r="B192" s="340" t="s">
        <v>185</v>
      </c>
      <c r="C192" s="318"/>
      <c r="D192" s="318"/>
      <c r="E192" s="341">
        <v>159</v>
      </c>
      <c r="F192" s="318"/>
      <c r="G192" s="318"/>
      <c r="H192" s="341">
        <v>152</v>
      </c>
      <c r="I192" s="341">
        <v>132</v>
      </c>
      <c r="J192" s="341">
        <v>119</v>
      </c>
      <c r="K192" s="351"/>
      <c r="L192" s="351"/>
      <c r="M192" s="351"/>
      <c r="N192" s="351"/>
      <c r="O192" s="349"/>
    </row>
    <row r="193" spans="1:15" ht="25.5">
      <c r="A193" s="281" t="s">
        <v>669</v>
      </c>
      <c r="B193" s="340" t="s">
        <v>145</v>
      </c>
      <c r="C193" s="318">
        <v>70</v>
      </c>
      <c r="D193" s="341">
        <v>79</v>
      </c>
      <c r="E193" s="341">
        <v>72</v>
      </c>
      <c r="F193" s="318">
        <v>69</v>
      </c>
      <c r="G193" s="318">
        <v>60</v>
      </c>
      <c r="H193" s="341">
        <v>64</v>
      </c>
      <c r="I193" s="341">
        <v>66</v>
      </c>
      <c r="J193" s="341">
        <v>44</v>
      </c>
      <c r="K193" s="351">
        <v>8</v>
      </c>
      <c r="L193" s="351">
        <v>9</v>
      </c>
      <c r="M193" s="351">
        <v>10</v>
      </c>
      <c r="N193" s="351">
        <v>4</v>
      </c>
      <c r="O193" s="349">
        <v>10</v>
      </c>
    </row>
    <row r="194" spans="1:15" ht="25.5">
      <c r="A194" s="281" t="s">
        <v>669</v>
      </c>
      <c r="B194" s="340" t="s">
        <v>162</v>
      </c>
      <c r="C194" s="318">
        <v>88</v>
      </c>
      <c r="D194" s="341">
        <v>96</v>
      </c>
      <c r="E194" s="341">
        <v>87</v>
      </c>
      <c r="F194" s="318"/>
      <c r="G194" s="318">
        <v>77</v>
      </c>
      <c r="H194" s="341">
        <v>79</v>
      </c>
      <c r="I194" s="341">
        <v>76</v>
      </c>
      <c r="J194" s="341">
        <v>54</v>
      </c>
      <c r="K194" s="351">
        <v>4</v>
      </c>
      <c r="L194" s="351">
        <v>6</v>
      </c>
      <c r="M194" s="351"/>
      <c r="N194" s="351"/>
      <c r="O194" s="349"/>
    </row>
    <row r="195" spans="1:15" ht="25.5">
      <c r="A195" s="281" t="s">
        <v>669</v>
      </c>
      <c r="B195" s="340" t="s">
        <v>174</v>
      </c>
      <c r="C195" s="318"/>
      <c r="D195" s="341">
        <v>115</v>
      </c>
      <c r="E195" s="341">
        <v>104</v>
      </c>
      <c r="F195" s="318"/>
      <c r="G195" s="318"/>
      <c r="H195" s="341">
        <v>96</v>
      </c>
      <c r="I195" s="341">
        <v>87</v>
      </c>
      <c r="J195" s="341">
        <v>69</v>
      </c>
      <c r="K195" s="351"/>
      <c r="L195" s="351"/>
      <c r="M195" s="351"/>
      <c r="N195" s="351">
        <v>24</v>
      </c>
      <c r="O195" s="349"/>
    </row>
    <row r="196" spans="1:15" ht="38.25">
      <c r="A196" s="281" t="s">
        <v>669</v>
      </c>
      <c r="B196" s="340" t="s">
        <v>180</v>
      </c>
      <c r="C196" s="318"/>
      <c r="D196" s="341">
        <v>161</v>
      </c>
      <c r="E196" s="341">
        <v>148</v>
      </c>
      <c r="F196" s="318"/>
      <c r="G196" s="318"/>
      <c r="H196" s="341">
        <v>140</v>
      </c>
      <c r="I196" s="341">
        <v>128</v>
      </c>
      <c r="J196" s="341">
        <v>109</v>
      </c>
      <c r="K196" s="351"/>
      <c r="L196" s="351"/>
      <c r="M196" s="351"/>
      <c r="N196" s="351">
        <v>47</v>
      </c>
      <c r="O196" s="349"/>
    </row>
    <row r="197" spans="1:15" ht="25.5">
      <c r="A197" s="281" t="s">
        <v>669</v>
      </c>
      <c r="B197" s="340" t="s">
        <v>185</v>
      </c>
      <c r="C197" s="318"/>
      <c r="D197" s="318"/>
      <c r="E197" s="341">
        <v>159</v>
      </c>
      <c r="F197" s="318"/>
      <c r="G197" s="318"/>
      <c r="H197" s="341">
        <v>152</v>
      </c>
      <c r="I197" s="341">
        <v>132</v>
      </c>
      <c r="J197" s="341">
        <v>119</v>
      </c>
      <c r="K197" s="351"/>
      <c r="L197" s="351"/>
      <c r="M197" s="351"/>
      <c r="N197" s="351"/>
      <c r="O197" s="349"/>
    </row>
    <row r="198" spans="1:15" ht="25.5">
      <c r="A198" s="281" t="s">
        <v>670</v>
      </c>
      <c r="B198" s="340" t="s">
        <v>145</v>
      </c>
      <c r="C198" s="318">
        <v>70</v>
      </c>
      <c r="D198" s="341">
        <v>79</v>
      </c>
      <c r="E198" s="341">
        <v>72</v>
      </c>
      <c r="F198" s="318">
        <v>69</v>
      </c>
      <c r="G198" s="318">
        <v>60</v>
      </c>
      <c r="H198" s="341">
        <v>64</v>
      </c>
      <c r="I198" s="341">
        <v>66</v>
      </c>
      <c r="J198" s="341">
        <v>44</v>
      </c>
      <c r="K198" s="351">
        <v>8</v>
      </c>
      <c r="L198" s="351">
        <v>9</v>
      </c>
      <c r="M198" s="351">
        <v>10</v>
      </c>
      <c r="N198" s="351">
        <v>4</v>
      </c>
      <c r="O198" s="349">
        <v>10</v>
      </c>
    </row>
    <row r="199" spans="1:15" ht="25.5">
      <c r="A199" s="281" t="s">
        <v>670</v>
      </c>
      <c r="B199" s="340" t="s">
        <v>162</v>
      </c>
      <c r="C199" s="318">
        <v>88</v>
      </c>
      <c r="D199" s="341">
        <v>96</v>
      </c>
      <c r="E199" s="341">
        <v>87</v>
      </c>
      <c r="F199" s="318"/>
      <c r="G199" s="318">
        <v>77</v>
      </c>
      <c r="H199" s="341">
        <v>79</v>
      </c>
      <c r="I199" s="341">
        <v>76</v>
      </c>
      <c r="J199" s="341">
        <v>54</v>
      </c>
      <c r="K199" s="351">
        <v>4</v>
      </c>
      <c r="L199" s="351">
        <v>6</v>
      </c>
      <c r="M199" s="351"/>
      <c r="N199" s="351"/>
      <c r="O199" s="349"/>
    </row>
    <row r="200" spans="1:15" ht="25.5">
      <c r="A200" s="281" t="s">
        <v>670</v>
      </c>
      <c r="B200" s="340" t="s">
        <v>174</v>
      </c>
      <c r="C200" s="318"/>
      <c r="D200" s="341">
        <v>115</v>
      </c>
      <c r="E200" s="341">
        <v>104</v>
      </c>
      <c r="F200" s="318"/>
      <c r="G200" s="318"/>
      <c r="H200" s="341">
        <v>96</v>
      </c>
      <c r="I200" s="341">
        <v>87</v>
      </c>
      <c r="J200" s="341">
        <v>69</v>
      </c>
      <c r="K200" s="351"/>
      <c r="L200" s="351"/>
      <c r="M200" s="351"/>
      <c r="N200" s="351">
        <v>31</v>
      </c>
      <c r="O200" s="349"/>
    </row>
    <row r="201" spans="1:15" ht="38.25">
      <c r="A201" s="281" t="s">
        <v>670</v>
      </c>
      <c r="B201" s="340" t="s">
        <v>180</v>
      </c>
      <c r="C201" s="318"/>
      <c r="D201" s="341">
        <v>161</v>
      </c>
      <c r="E201" s="341">
        <v>148</v>
      </c>
      <c r="F201" s="318"/>
      <c r="G201" s="318"/>
      <c r="H201" s="341">
        <v>140</v>
      </c>
      <c r="I201" s="341">
        <v>128</v>
      </c>
      <c r="J201" s="341">
        <v>109</v>
      </c>
      <c r="K201" s="351"/>
      <c r="L201" s="351"/>
      <c r="M201" s="351"/>
      <c r="N201" s="351">
        <v>63</v>
      </c>
      <c r="O201" s="349"/>
    </row>
    <row r="202" spans="1:15" ht="25.5">
      <c r="A202" s="281" t="s">
        <v>670</v>
      </c>
      <c r="B202" s="340" t="s">
        <v>185</v>
      </c>
      <c r="C202" s="318"/>
      <c r="D202" s="318"/>
      <c r="E202" s="341">
        <v>159</v>
      </c>
      <c r="F202" s="318"/>
      <c r="G202" s="318"/>
      <c r="H202" s="341">
        <v>152</v>
      </c>
      <c r="I202" s="341">
        <v>132</v>
      </c>
      <c r="J202" s="341">
        <v>119</v>
      </c>
      <c r="K202" s="351"/>
      <c r="L202" s="351"/>
      <c r="M202" s="351"/>
      <c r="N202" s="351"/>
      <c r="O202" s="349"/>
    </row>
    <row r="203" spans="1:15" ht="25.5">
      <c r="A203" s="281" t="s">
        <v>671</v>
      </c>
      <c r="B203" s="340" t="s">
        <v>145</v>
      </c>
      <c r="C203" s="318">
        <v>70</v>
      </c>
      <c r="D203" s="341">
        <v>79</v>
      </c>
      <c r="E203" s="341">
        <v>72</v>
      </c>
      <c r="F203" s="318">
        <v>69</v>
      </c>
      <c r="G203" s="318">
        <v>60</v>
      </c>
      <c r="H203" s="341">
        <v>64</v>
      </c>
      <c r="I203" s="341">
        <v>66</v>
      </c>
      <c r="J203" s="341">
        <v>44</v>
      </c>
      <c r="K203" s="351">
        <v>8</v>
      </c>
      <c r="L203" s="351">
        <v>9</v>
      </c>
      <c r="M203" s="351">
        <v>10</v>
      </c>
      <c r="N203" s="351">
        <v>4</v>
      </c>
      <c r="O203" s="349">
        <v>10</v>
      </c>
    </row>
    <row r="204" spans="1:15" ht="25.5">
      <c r="A204" s="281" t="s">
        <v>671</v>
      </c>
      <c r="B204" s="340" t="s">
        <v>162</v>
      </c>
      <c r="C204" s="318">
        <v>88</v>
      </c>
      <c r="D204" s="341">
        <v>96</v>
      </c>
      <c r="E204" s="341">
        <v>87</v>
      </c>
      <c r="F204" s="318"/>
      <c r="G204" s="318">
        <v>77</v>
      </c>
      <c r="H204" s="341">
        <v>79</v>
      </c>
      <c r="I204" s="341">
        <v>76</v>
      </c>
      <c r="J204" s="341">
        <v>54</v>
      </c>
      <c r="K204" s="351">
        <v>4</v>
      </c>
      <c r="L204" s="351">
        <v>6</v>
      </c>
      <c r="M204" s="351"/>
      <c r="N204" s="351"/>
      <c r="O204" s="349"/>
    </row>
    <row r="205" spans="1:15" ht="25.5">
      <c r="A205" s="281" t="s">
        <v>671</v>
      </c>
      <c r="B205" s="340" t="s">
        <v>174</v>
      </c>
      <c r="C205" s="318"/>
      <c r="D205" s="341">
        <v>115</v>
      </c>
      <c r="E205" s="341">
        <v>104</v>
      </c>
      <c r="F205" s="318"/>
      <c r="G205" s="318"/>
      <c r="H205" s="341">
        <v>96</v>
      </c>
      <c r="I205" s="341">
        <v>87</v>
      </c>
      <c r="J205" s="341">
        <v>69</v>
      </c>
      <c r="K205" s="351"/>
      <c r="L205" s="351"/>
      <c r="M205" s="351"/>
      <c r="N205" s="351">
        <v>24</v>
      </c>
      <c r="O205" s="349"/>
    </row>
    <row r="206" spans="1:15" ht="38.25">
      <c r="A206" s="281" t="s">
        <v>671</v>
      </c>
      <c r="B206" s="340" t="s">
        <v>180</v>
      </c>
      <c r="C206" s="318"/>
      <c r="D206" s="341">
        <v>161</v>
      </c>
      <c r="E206" s="341">
        <v>148</v>
      </c>
      <c r="F206" s="318"/>
      <c r="G206" s="318"/>
      <c r="H206" s="341">
        <v>140</v>
      </c>
      <c r="I206" s="341">
        <v>128</v>
      </c>
      <c r="J206" s="341">
        <v>109</v>
      </c>
      <c r="K206" s="351"/>
      <c r="L206" s="351"/>
      <c r="M206" s="351"/>
      <c r="N206" s="351">
        <v>47</v>
      </c>
      <c r="O206" s="349"/>
    </row>
    <row r="207" spans="1:15" ht="25.5">
      <c r="A207" s="281" t="s">
        <v>671</v>
      </c>
      <c r="B207" s="340" t="s">
        <v>185</v>
      </c>
      <c r="C207" s="318"/>
      <c r="D207" s="318"/>
      <c r="E207" s="341">
        <v>159</v>
      </c>
      <c r="F207" s="318"/>
      <c r="G207" s="318"/>
      <c r="H207" s="341">
        <v>152</v>
      </c>
      <c r="I207" s="341">
        <v>132</v>
      </c>
      <c r="J207" s="341">
        <v>119</v>
      </c>
      <c r="K207" s="351"/>
      <c r="L207" s="351"/>
      <c r="M207" s="351"/>
      <c r="N207" s="351"/>
      <c r="O207" s="349"/>
    </row>
    <row r="208" spans="1:15" ht="25.5">
      <c r="A208" s="281" t="s">
        <v>672</v>
      </c>
      <c r="B208" s="340" t="s">
        <v>145</v>
      </c>
      <c r="C208" s="318">
        <v>70</v>
      </c>
      <c r="D208" s="341">
        <v>79</v>
      </c>
      <c r="E208" s="341">
        <v>72</v>
      </c>
      <c r="F208" s="318">
        <v>69</v>
      </c>
      <c r="G208" s="318">
        <v>60</v>
      </c>
      <c r="H208" s="341">
        <v>64</v>
      </c>
      <c r="I208" s="341">
        <v>66</v>
      </c>
      <c r="J208" s="341">
        <v>44</v>
      </c>
      <c r="K208" s="351">
        <v>8</v>
      </c>
      <c r="L208" s="351">
        <v>9</v>
      </c>
      <c r="M208" s="351">
        <v>10</v>
      </c>
      <c r="N208" s="351">
        <v>4</v>
      </c>
      <c r="O208" s="349">
        <v>10</v>
      </c>
    </row>
    <row r="209" spans="1:15" ht="25.5">
      <c r="A209" s="281" t="s">
        <v>672</v>
      </c>
      <c r="B209" s="340" t="s">
        <v>162</v>
      </c>
      <c r="C209" s="318">
        <v>88</v>
      </c>
      <c r="D209" s="341">
        <v>96</v>
      </c>
      <c r="E209" s="341">
        <v>87</v>
      </c>
      <c r="F209" s="318"/>
      <c r="G209" s="318">
        <v>77</v>
      </c>
      <c r="H209" s="341">
        <v>79</v>
      </c>
      <c r="I209" s="341">
        <v>76</v>
      </c>
      <c r="J209" s="341">
        <v>54</v>
      </c>
      <c r="K209" s="351">
        <v>4</v>
      </c>
      <c r="L209" s="351">
        <v>6</v>
      </c>
      <c r="M209" s="351"/>
      <c r="N209" s="351"/>
      <c r="O209" s="349"/>
    </row>
    <row r="210" spans="1:15" ht="25.5">
      <c r="A210" s="281" t="s">
        <v>672</v>
      </c>
      <c r="B210" s="340" t="s">
        <v>174</v>
      </c>
      <c r="C210" s="318"/>
      <c r="D210" s="341">
        <v>115</v>
      </c>
      <c r="E210" s="341">
        <v>104</v>
      </c>
      <c r="F210" s="318"/>
      <c r="G210" s="318"/>
      <c r="H210" s="341">
        <v>96</v>
      </c>
      <c r="I210" s="341">
        <v>87</v>
      </c>
      <c r="J210" s="341">
        <v>69</v>
      </c>
      <c r="K210" s="351"/>
      <c r="L210" s="351"/>
      <c r="M210" s="351"/>
      <c r="N210" s="351">
        <v>24</v>
      </c>
      <c r="O210" s="349"/>
    </row>
    <row r="211" spans="1:15" ht="38.25">
      <c r="A211" s="281" t="s">
        <v>672</v>
      </c>
      <c r="B211" s="340" t="s">
        <v>180</v>
      </c>
      <c r="C211" s="318"/>
      <c r="D211" s="341">
        <v>161</v>
      </c>
      <c r="E211" s="341">
        <v>148</v>
      </c>
      <c r="F211" s="318"/>
      <c r="G211" s="318"/>
      <c r="H211" s="341">
        <v>140</v>
      </c>
      <c r="I211" s="341">
        <v>128</v>
      </c>
      <c r="J211" s="341">
        <v>109</v>
      </c>
      <c r="K211" s="351"/>
      <c r="L211" s="351"/>
      <c r="M211" s="351"/>
      <c r="N211" s="351">
        <v>47</v>
      </c>
      <c r="O211" s="349"/>
    </row>
    <row r="212" spans="1:15" ht="25.5">
      <c r="A212" s="281" t="s">
        <v>672</v>
      </c>
      <c r="B212" s="340" t="s">
        <v>185</v>
      </c>
      <c r="C212" s="318"/>
      <c r="D212" s="318"/>
      <c r="E212" s="341">
        <v>159</v>
      </c>
      <c r="F212" s="318"/>
      <c r="G212" s="318"/>
      <c r="H212" s="341">
        <v>152</v>
      </c>
      <c r="I212" s="341">
        <v>132</v>
      </c>
      <c r="J212" s="341">
        <v>119</v>
      </c>
      <c r="K212" s="351"/>
      <c r="L212" s="351"/>
      <c r="M212" s="351"/>
      <c r="N212" s="351"/>
      <c r="O212" s="349"/>
    </row>
    <row r="213" spans="1:15" ht="25.5">
      <c r="A213" s="281" t="s">
        <v>673</v>
      </c>
      <c r="B213" s="340" t="s">
        <v>145</v>
      </c>
      <c r="C213" s="347">
        <v>57</v>
      </c>
      <c r="D213" s="347">
        <v>66</v>
      </c>
      <c r="E213" s="347">
        <v>62</v>
      </c>
      <c r="F213" s="347">
        <v>57</v>
      </c>
      <c r="G213" s="347">
        <v>50</v>
      </c>
      <c r="H213" s="347">
        <v>56</v>
      </c>
      <c r="I213" s="347">
        <v>63</v>
      </c>
      <c r="J213" s="347">
        <v>40</v>
      </c>
      <c r="K213" s="368">
        <v>47</v>
      </c>
      <c r="L213" s="368">
        <v>54</v>
      </c>
      <c r="M213" s="368">
        <v>55</v>
      </c>
      <c r="N213" s="368">
        <v>27</v>
      </c>
      <c r="O213" s="368">
        <v>56</v>
      </c>
    </row>
    <row r="214" spans="1:15" ht="25.5">
      <c r="A214" s="281" t="s">
        <v>673</v>
      </c>
      <c r="B214" s="340" t="s">
        <v>162</v>
      </c>
      <c r="C214" s="347">
        <v>68</v>
      </c>
      <c r="D214" s="347">
        <v>77</v>
      </c>
      <c r="E214" s="347">
        <v>71</v>
      </c>
      <c r="F214" s="350"/>
      <c r="G214" s="347">
        <v>61</v>
      </c>
      <c r="H214" s="347">
        <v>64</v>
      </c>
      <c r="I214" s="347">
        <v>66</v>
      </c>
      <c r="J214" s="347">
        <v>44</v>
      </c>
      <c r="K214" s="368">
        <v>29</v>
      </c>
      <c r="L214" s="368">
        <v>37</v>
      </c>
    </row>
    <row r="215" spans="1:15" ht="25.5">
      <c r="A215" s="281" t="s">
        <v>673</v>
      </c>
      <c r="B215" s="340" t="s">
        <v>174</v>
      </c>
      <c r="C215" s="351"/>
      <c r="D215" s="347">
        <v>90</v>
      </c>
      <c r="E215" s="347">
        <v>81</v>
      </c>
      <c r="F215" s="350"/>
      <c r="G215" s="350"/>
      <c r="H215" s="347">
        <v>75</v>
      </c>
      <c r="I215" s="347">
        <v>68</v>
      </c>
      <c r="J215" s="347">
        <v>54</v>
      </c>
      <c r="N215" s="281">
        <v>28</v>
      </c>
    </row>
    <row r="216" spans="1:15" ht="38.25">
      <c r="A216" s="281" t="s">
        <v>673</v>
      </c>
      <c r="B216" s="340" t="s">
        <v>180</v>
      </c>
      <c r="C216" s="351"/>
      <c r="D216" s="347">
        <v>125</v>
      </c>
      <c r="E216" s="347">
        <v>115</v>
      </c>
      <c r="F216" s="350"/>
      <c r="G216" s="350"/>
      <c r="H216" s="347">
        <v>109</v>
      </c>
      <c r="I216" s="347">
        <v>99</v>
      </c>
      <c r="J216" s="347">
        <v>84</v>
      </c>
      <c r="N216" s="281">
        <v>49</v>
      </c>
    </row>
    <row r="217" spans="1:15" ht="26.25" thickBot="1">
      <c r="A217" s="281" t="s">
        <v>673</v>
      </c>
      <c r="B217" s="369" t="s">
        <v>185</v>
      </c>
      <c r="C217" s="370"/>
      <c r="D217" s="371"/>
      <c r="E217" s="372">
        <v>133</v>
      </c>
      <c r="F217" s="371"/>
      <c r="G217" s="371"/>
      <c r="H217" s="372">
        <v>117</v>
      </c>
      <c r="I217" s="372">
        <v>107</v>
      </c>
      <c r="J217" s="372">
        <v>92</v>
      </c>
      <c r="K217" s="370"/>
      <c r="L217" s="370"/>
      <c r="M217" s="370"/>
      <c r="N217" s="370"/>
      <c r="O217" s="373"/>
    </row>
    <row r="218" spans="1:15" ht="25.5">
      <c r="A218" s="281" t="s">
        <v>675</v>
      </c>
      <c r="B218" s="340" t="s">
        <v>145</v>
      </c>
      <c r="C218" s="281">
        <v>66</v>
      </c>
      <c r="D218" s="374">
        <v>76</v>
      </c>
      <c r="E218" s="374">
        <v>71</v>
      </c>
      <c r="F218" s="281">
        <v>66</v>
      </c>
      <c r="G218" s="281">
        <v>58</v>
      </c>
      <c r="H218" s="374">
        <v>64</v>
      </c>
      <c r="I218" s="374">
        <v>72</v>
      </c>
      <c r="J218" s="374">
        <v>46</v>
      </c>
      <c r="K218" s="368">
        <v>54</v>
      </c>
      <c r="L218" s="368">
        <v>62</v>
      </c>
      <c r="M218" s="368">
        <v>63</v>
      </c>
      <c r="N218" s="368">
        <v>31</v>
      </c>
      <c r="O218" s="368">
        <v>64</v>
      </c>
    </row>
    <row r="219" spans="1:15" ht="25.5">
      <c r="A219" s="281" t="s">
        <v>676</v>
      </c>
      <c r="B219" s="340" t="s">
        <v>162</v>
      </c>
      <c r="C219" s="281">
        <v>78</v>
      </c>
      <c r="D219" s="374">
        <v>89</v>
      </c>
      <c r="E219" s="374">
        <v>82</v>
      </c>
      <c r="G219" s="281">
        <v>70</v>
      </c>
      <c r="H219" s="374">
        <v>74</v>
      </c>
      <c r="I219" s="374">
        <v>76</v>
      </c>
      <c r="J219" s="374">
        <v>51</v>
      </c>
      <c r="K219" s="368">
        <v>33</v>
      </c>
      <c r="L219" s="368">
        <v>43</v>
      </c>
      <c r="M219" s="368"/>
    </row>
    <row r="220" spans="1:15" ht="25.5">
      <c r="A220" s="281" t="s">
        <v>677</v>
      </c>
      <c r="B220" s="340" t="s">
        <v>174</v>
      </c>
      <c r="D220" s="374">
        <v>104</v>
      </c>
      <c r="E220" s="374">
        <v>93</v>
      </c>
      <c r="H220" s="374">
        <v>86</v>
      </c>
      <c r="I220" s="374">
        <v>78</v>
      </c>
      <c r="J220" s="374">
        <v>62</v>
      </c>
    </row>
    <row r="221" spans="1:15" ht="38.25">
      <c r="A221" s="281" t="s">
        <v>678</v>
      </c>
      <c r="B221" s="340" t="s">
        <v>180</v>
      </c>
      <c r="D221" s="374">
        <v>144</v>
      </c>
      <c r="E221" s="374">
        <v>132</v>
      </c>
      <c r="H221" s="374">
        <v>125</v>
      </c>
      <c r="I221" s="374">
        <v>114</v>
      </c>
      <c r="J221" s="374">
        <v>97</v>
      </c>
      <c r="N221" s="281">
        <v>32</v>
      </c>
    </row>
    <row r="222" spans="1:15" ht="26.25" thickBot="1">
      <c r="A222" s="281" t="s">
        <v>679</v>
      </c>
      <c r="B222" s="369" t="s">
        <v>185</v>
      </c>
      <c r="E222" s="374">
        <v>153</v>
      </c>
      <c r="H222" s="374">
        <v>135</v>
      </c>
      <c r="I222" s="374">
        <v>123</v>
      </c>
      <c r="J222" s="374">
        <v>106</v>
      </c>
      <c r="N222" s="281">
        <v>56</v>
      </c>
    </row>
    <row r="223" spans="1:15" ht="25.5">
      <c r="A223" s="281" t="s">
        <v>684</v>
      </c>
      <c r="B223" s="340" t="s">
        <v>145</v>
      </c>
      <c r="C223" s="281">
        <v>66</v>
      </c>
      <c r="D223" s="374">
        <v>76</v>
      </c>
      <c r="E223" s="374">
        <v>71</v>
      </c>
      <c r="F223" s="281">
        <v>66</v>
      </c>
      <c r="G223" s="281">
        <v>58</v>
      </c>
      <c r="H223" s="374">
        <v>64</v>
      </c>
      <c r="I223" s="374">
        <v>72</v>
      </c>
      <c r="J223" s="374">
        <v>46</v>
      </c>
      <c r="K223" s="368">
        <v>54</v>
      </c>
      <c r="L223" s="368">
        <v>62</v>
      </c>
      <c r="M223" s="368">
        <v>63</v>
      </c>
      <c r="N223" s="368">
        <v>31</v>
      </c>
      <c r="O223" s="368">
        <v>64</v>
      </c>
    </row>
    <row r="224" spans="1:15" ht="25.5">
      <c r="A224" s="281" t="s">
        <v>684</v>
      </c>
      <c r="B224" s="340" t="s">
        <v>162</v>
      </c>
      <c r="C224" s="281">
        <v>78</v>
      </c>
      <c r="D224" s="374">
        <v>89</v>
      </c>
      <c r="E224" s="374">
        <v>82</v>
      </c>
      <c r="G224" s="281">
        <v>70</v>
      </c>
      <c r="H224" s="374">
        <v>74</v>
      </c>
      <c r="I224" s="374">
        <v>76</v>
      </c>
      <c r="J224" s="374">
        <v>51</v>
      </c>
      <c r="K224" s="368">
        <v>33</v>
      </c>
      <c r="L224" s="368">
        <v>43</v>
      </c>
      <c r="M224" s="368"/>
    </row>
    <row r="225" spans="1:15" ht="25.5">
      <c r="A225" s="281" t="s">
        <v>684</v>
      </c>
      <c r="B225" s="340" t="s">
        <v>174</v>
      </c>
      <c r="D225" s="374">
        <v>104</v>
      </c>
      <c r="E225" s="374">
        <v>93</v>
      </c>
      <c r="H225" s="374">
        <v>86</v>
      </c>
      <c r="I225" s="374">
        <v>78</v>
      </c>
      <c r="J225" s="374">
        <v>62</v>
      </c>
    </row>
    <row r="226" spans="1:15" ht="38.25">
      <c r="A226" s="281" t="s">
        <v>684</v>
      </c>
      <c r="B226" s="340" t="s">
        <v>180</v>
      </c>
      <c r="D226" s="374">
        <v>144</v>
      </c>
      <c r="E226" s="374">
        <v>132</v>
      </c>
      <c r="H226" s="374">
        <v>125</v>
      </c>
      <c r="I226" s="374">
        <v>114</v>
      </c>
      <c r="J226" s="374">
        <v>97</v>
      </c>
      <c r="N226" s="281">
        <v>32</v>
      </c>
    </row>
    <row r="227" spans="1:15" ht="26.25" thickBot="1">
      <c r="A227" s="281" t="s">
        <v>684</v>
      </c>
      <c r="B227" s="369" t="s">
        <v>185</v>
      </c>
      <c r="E227" s="374">
        <v>153</v>
      </c>
      <c r="H227" s="374">
        <v>135</v>
      </c>
      <c r="I227" s="374">
        <v>123</v>
      </c>
      <c r="J227" s="374">
        <v>106</v>
      </c>
      <c r="N227" s="281">
        <v>56</v>
      </c>
    </row>
    <row r="228" spans="1:15" ht="25.5">
      <c r="A228" s="281" t="s">
        <v>685</v>
      </c>
      <c r="B228" s="340" t="s">
        <v>145</v>
      </c>
      <c r="C228" s="281">
        <v>57</v>
      </c>
      <c r="D228" s="375">
        <v>66</v>
      </c>
      <c r="E228" s="374">
        <v>62</v>
      </c>
      <c r="F228" s="281">
        <v>57</v>
      </c>
      <c r="G228" s="281">
        <v>50</v>
      </c>
      <c r="H228" s="374">
        <v>56</v>
      </c>
      <c r="I228" s="374">
        <v>63</v>
      </c>
      <c r="J228" s="374">
        <v>40</v>
      </c>
      <c r="K228" s="368">
        <v>47</v>
      </c>
      <c r="L228" s="368">
        <v>54</v>
      </c>
      <c r="M228" s="368">
        <v>55</v>
      </c>
      <c r="N228" s="368">
        <v>27</v>
      </c>
      <c r="O228" s="368">
        <v>56</v>
      </c>
    </row>
    <row r="229" spans="1:15" ht="25.5">
      <c r="A229" s="281" t="s">
        <v>685</v>
      </c>
      <c r="B229" s="340" t="s">
        <v>162</v>
      </c>
      <c r="C229" s="281">
        <v>68</v>
      </c>
      <c r="D229" s="375">
        <v>77</v>
      </c>
      <c r="E229" s="374">
        <v>71</v>
      </c>
      <c r="G229" s="281">
        <v>61</v>
      </c>
      <c r="H229" s="374">
        <v>64</v>
      </c>
      <c r="I229" s="374">
        <v>66</v>
      </c>
      <c r="J229" s="374">
        <v>44</v>
      </c>
      <c r="K229" s="368">
        <v>29</v>
      </c>
      <c r="L229" s="368">
        <v>37</v>
      </c>
    </row>
    <row r="230" spans="1:15" ht="25.5">
      <c r="A230" s="281" t="s">
        <v>685</v>
      </c>
      <c r="B230" s="340" t="s">
        <v>174</v>
      </c>
      <c r="D230" s="375">
        <v>90</v>
      </c>
      <c r="E230" s="374">
        <v>81</v>
      </c>
      <c r="H230" s="374">
        <v>75</v>
      </c>
      <c r="I230" s="374">
        <v>68</v>
      </c>
      <c r="J230" s="374">
        <v>54</v>
      </c>
      <c r="N230" s="281">
        <v>28</v>
      </c>
    </row>
    <row r="231" spans="1:15" ht="38.25">
      <c r="A231" s="281" t="s">
        <v>685</v>
      </c>
      <c r="B231" s="340" t="s">
        <v>180</v>
      </c>
      <c r="D231" s="375">
        <v>125</v>
      </c>
      <c r="E231" s="374">
        <v>115</v>
      </c>
      <c r="H231" s="374">
        <v>109</v>
      </c>
      <c r="I231" s="374">
        <v>99</v>
      </c>
      <c r="J231" s="374">
        <v>84</v>
      </c>
      <c r="N231" s="281">
        <v>49</v>
      </c>
    </row>
    <row r="232" spans="1:15" ht="26.25" thickBot="1">
      <c r="A232" s="281" t="s">
        <v>685</v>
      </c>
      <c r="B232" s="369" t="s">
        <v>185</v>
      </c>
      <c r="E232" s="374">
        <v>133</v>
      </c>
      <c r="H232" s="374">
        <v>117</v>
      </c>
      <c r="I232" s="374">
        <v>107</v>
      </c>
      <c r="J232" s="374">
        <v>92</v>
      </c>
    </row>
    <row r="233" spans="1:15" ht="25.5">
      <c r="A233" s="281" t="s">
        <v>688</v>
      </c>
      <c r="B233" s="340" t="s">
        <v>145</v>
      </c>
      <c r="C233" s="281">
        <v>57</v>
      </c>
      <c r="D233" s="375">
        <v>66</v>
      </c>
      <c r="E233" s="374">
        <v>62</v>
      </c>
      <c r="F233" s="281">
        <v>57</v>
      </c>
      <c r="G233" s="281">
        <v>50</v>
      </c>
      <c r="H233" s="374">
        <v>56</v>
      </c>
      <c r="I233" s="374">
        <v>63</v>
      </c>
      <c r="J233" s="374">
        <v>40</v>
      </c>
      <c r="K233" s="368">
        <v>47</v>
      </c>
      <c r="L233" s="368">
        <v>54</v>
      </c>
      <c r="M233" s="368">
        <v>55</v>
      </c>
      <c r="N233" s="368">
        <v>27</v>
      </c>
      <c r="O233" s="368">
        <v>56</v>
      </c>
    </row>
    <row r="234" spans="1:15" ht="25.5">
      <c r="A234" s="281" t="s">
        <v>688</v>
      </c>
      <c r="B234" s="340" t="s">
        <v>162</v>
      </c>
      <c r="C234" s="281">
        <v>68</v>
      </c>
      <c r="D234" s="375">
        <v>77</v>
      </c>
      <c r="E234" s="374">
        <v>71</v>
      </c>
      <c r="G234" s="281">
        <v>61</v>
      </c>
      <c r="H234" s="374">
        <v>64</v>
      </c>
      <c r="I234" s="374">
        <v>66</v>
      </c>
      <c r="J234" s="374">
        <v>44</v>
      </c>
      <c r="K234" s="368">
        <v>29</v>
      </c>
      <c r="L234" s="368">
        <v>37</v>
      </c>
    </row>
    <row r="235" spans="1:15" ht="25.5">
      <c r="A235" s="281" t="s">
        <v>688</v>
      </c>
      <c r="B235" s="340" t="s">
        <v>174</v>
      </c>
      <c r="D235" s="375">
        <v>90</v>
      </c>
      <c r="E235" s="374">
        <v>81</v>
      </c>
      <c r="H235" s="374">
        <v>75</v>
      </c>
      <c r="I235" s="374">
        <v>68</v>
      </c>
      <c r="J235" s="374">
        <v>54</v>
      </c>
      <c r="N235" s="281">
        <v>28</v>
      </c>
    </row>
    <row r="236" spans="1:15" ht="38.25">
      <c r="A236" s="281" t="s">
        <v>688</v>
      </c>
      <c r="B236" s="340" t="s">
        <v>180</v>
      </c>
      <c r="D236" s="375">
        <v>125</v>
      </c>
      <c r="E236" s="374">
        <v>115</v>
      </c>
      <c r="H236" s="374">
        <v>109</v>
      </c>
      <c r="I236" s="374">
        <v>99</v>
      </c>
      <c r="J236" s="374">
        <v>84</v>
      </c>
      <c r="N236" s="281">
        <v>49</v>
      </c>
    </row>
    <row r="237" spans="1:15" ht="26.25" thickBot="1">
      <c r="A237" s="281" t="s">
        <v>688</v>
      </c>
      <c r="B237" s="369" t="s">
        <v>185</v>
      </c>
      <c r="E237" s="374">
        <v>133</v>
      </c>
      <c r="H237" s="374">
        <v>117</v>
      </c>
      <c r="I237" s="374">
        <v>107</v>
      </c>
      <c r="J237" s="374">
        <v>92</v>
      </c>
    </row>
    <row r="238" spans="1:15" ht="25.5">
      <c r="A238" s="281" t="s">
        <v>689</v>
      </c>
      <c r="B238" s="340" t="s">
        <v>145</v>
      </c>
      <c r="C238" s="281">
        <v>70</v>
      </c>
      <c r="D238" s="375">
        <v>79</v>
      </c>
      <c r="E238" s="374">
        <v>72</v>
      </c>
      <c r="F238" s="281">
        <v>69</v>
      </c>
      <c r="G238" s="281">
        <v>60</v>
      </c>
      <c r="H238" s="281">
        <v>60</v>
      </c>
      <c r="I238" s="374">
        <v>66</v>
      </c>
      <c r="J238" s="374">
        <v>44</v>
      </c>
      <c r="K238" s="281">
        <v>8</v>
      </c>
      <c r="L238" s="281">
        <v>9</v>
      </c>
      <c r="M238" s="281">
        <v>10</v>
      </c>
      <c r="N238" s="281">
        <v>4</v>
      </c>
      <c r="O238" s="281">
        <v>10</v>
      </c>
    </row>
    <row r="239" spans="1:15" ht="25.5">
      <c r="A239" s="281" t="s">
        <v>689</v>
      </c>
      <c r="B239" s="340" t="s">
        <v>162</v>
      </c>
      <c r="C239" s="281">
        <v>88</v>
      </c>
      <c r="D239" s="375">
        <v>96</v>
      </c>
      <c r="E239" s="374">
        <v>87</v>
      </c>
      <c r="G239" s="281">
        <v>77</v>
      </c>
      <c r="H239" s="281">
        <v>79</v>
      </c>
      <c r="I239" s="374">
        <v>76</v>
      </c>
      <c r="J239" s="374">
        <v>54</v>
      </c>
      <c r="K239" s="281">
        <v>4</v>
      </c>
      <c r="L239" s="281">
        <v>6</v>
      </c>
    </row>
    <row r="240" spans="1:15" ht="25.5">
      <c r="A240" s="281" t="s">
        <v>689</v>
      </c>
      <c r="B240" s="340" t="s">
        <v>174</v>
      </c>
      <c r="D240" s="375">
        <v>115</v>
      </c>
      <c r="E240" s="374">
        <v>104</v>
      </c>
      <c r="H240" s="281">
        <v>96</v>
      </c>
      <c r="I240" s="374">
        <v>87</v>
      </c>
      <c r="J240" s="374">
        <v>59</v>
      </c>
      <c r="N240" s="281">
        <v>24</v>
      </c>
    </row>
    <row r="241" spans="1:15" ht="38.25">
      <c r="A241" s="281" t="s">
        <v>689</v>
      </c>
      <c r="B241" s="340" t="s">
        <v>180</v>
      </c>
      <c r="D241" s="375">
        <v>161</v>
      </c>
      <c r="E241" s="374">
        <v>148</v>
      </c>
      <c r="H241" s="281">
        <v>140</v>
      </c>
      <c r="I241" s="374">
        <v>128</v>
      </c>
      <c r="J241" s="374">
        <v>109</v>
      </c>
      <c r="N241" s="281">
        <v>47</v>
      </c>
    </row>
    <row r="242" spans="1:15" ht="26.25" thickBot="1">
      <c r="A242" s="281" t="s">
        <v>689</v>
      </c>
      <c r="B242" s="369" t="s">
        <v>185</v>
      </c>
      <c r="E242" s="374">
        <v>159</v>
      </c>
      <c r="H242" s="281">
        <v>152</v>
      </c>
      <c r="I242" s="374">
        <v>138</v>
      </c>
      <c r="J242" s="374">
        <v>119</v>
      </c>
    </row>
    <row r="243" spans="1:15" ht="25.5">
      <c r="A243" s="281" t="s">
        <v>690</v>
      </c>
      <c r="B243" s="340" t="s">
        <v>145</v>
      </c>
      <c r="C243" s="281">
        <v>70</v>
      </c>
      <c r="D243" s="375">
        <v>79</v>
      </c>
      <c r="E243" s="374">
        <v>72</v>
      </c>
      <c r="F243" s="281">
        <v>69</v>
      </c>
      <c r="G243" s="281">
        <v>60</v>
      </c>
      <c r="H243" s="281">
        <v>60</v>
      </c>
      <c r="I243" s="374">
        <v>66</v>
      </c>
      <c r="J243" s="374">
        <v>44</v>
      </c>
      <c r="K243" s="281">
        <v>8</v>
      </c>
      <c r="L243" s="281">
        <v>9</v>
      </c>
      <c r="M243" s="281">
        <v>10</v>
      </c>
      <c r="N243" s="281">
        <v>4</v>
      </c>
      <c r="O243" s="281">
        <v>10</v>
      </c>
    </row>
    <row r="244" spans="1:15" ht="25.5">
      <c r="A244" s="281" t="s">
        <v>690</v>
      </c>
      <c r="B244" s="340" t="s">
        <v>162</v>
      </c>
      <c r="C244" s="281">
        <v>88</v>
      </c>
      <c r="D244" s="375">
        <v>96</v>
      </c>
      <c r="E244" s="374">
        <v>87</v>
      </c>
      <c r="G244" s="281">
        <v>77</v>
      </c>
      <c r="H244" s="281">
        <v>79</v>
      </c>
      <c r="I244" s="374">
        <v>76</v>
      </c>
      <c r="J244" s="374">
        <v>54</v>
      </c>
      <c r="K244" s="281">
        <v>4</v>
      </c>
      <c r="L244" s="281">
        <v>6</v>
      </c>
    </row>
    <row r="245" spans="1:15" ht="25.5">
      <c r="A245" s="281" t="s">
        <v>690</v>
      </c>
      <c r="B245" s="340" t="s">
        <v>174</v>
      </c>
      <c r="D245" s="375">
        <v>115</v>
      </c>
      <c r="E245" s="374">
        <v>104</v>
      </c>
      <c r="H245" s="281">
        <v>96</v>
      </c>
      <c r="I245" s="374">
        <v>87</v>
      </c>
      <c r="J245" s="374">
        <v>59</v>
      </c>
      <c r="N245" s="281">
        <v>24</v>
      </c>
    </row>
    <row r="246" spans="1:15" ht="38.25">
      <c r="A246" s="281" t="s">
        <v>690</v>
      </c>
      <c r="B246" s="340" t="s">
        <v>180</v>
      </c>
      <c r="D246" s="375">
        <v>161</v>
      </c>
      <c r="E246" s="374">
        <v>148</v>
      </c>
      <c r="H246" s="281">
        <v>140</v>
      </c>
      <c r="I246" s="374">
        <v>128</v>
      </c>
      <c r="J246" s="374">
        <v>109</v>
      </c>
      <c r="N246" s="281">
        <v>47</v>
      </c>
    </row>
    <row r="247" spans="1:15" ht="26.25" thickBot="1">
      <c r="A247" s="281" t="s">
        <v>690</v>
      </c>
      <c r="B247" s="369" t="s">
        <v>185</v>
      </c>
      <c r="E247" s="374">
        <v>159</v>
      </c>
      <c r="H247" s="281">
        <v>152</v>
      </c>
      <c r="I247" s="374">
        <v>138</v>
      </c>
      <c r="J247" s="374">
        <v>119</v>
      </c>
    </row>
  </sheetData>
  <mergeCells count="1">
    <mergeCell ref="C1:O1"/>
  </mergeCells>
  <conditionalFormatting sqref="C3:O212 C213:J216 C217:O217 N218:O218 K218:M219 D218:E221 E222">
    <cfRule type="cellIs" dxfId="62" priority="5" operator="equal">
      <formula>C3="&lt;&gt;"</formula>
    </cfRule>
  </conditionalFormatting>
  <conditionalFormatting sqref="H218:J237 M233:O233 K233:L234 D233:D236 D238:D241 E227:E242 I238:J242">
    <cfRule type="cellIs" dxfId="61" priority="3" operator="equal">
      <formula>D218="&lt;&gt;"</formula>
    </cfRule>
  </conditionalFormatting>
  <conditionalFormatting sqref="M213:O213 K213:L214">
    <cfRule type="cellIs" dxfId="60" priority="2" operator="equal">
      <formula>K213="&lt;&gt;"</formula>
    </cfRule>
  </conditionalFormatting>
  <conditionalFormatting sqref="N223:O223 K223:M224 D223:E226 M228:O228 K228:L229 D228:D231">
    <cfRule type="cellIs" dxfId="59" priority="4" operator="equal">
      <formula>D223="&lt;&gt;"</formula>
    </cfRule>
  </conditionalFormatting>
  <conditionalFormatting sqref="D243:D246 E243:E247 I243:J247">
    <cfRule type="cellIs" dxfId="58" priority="1" operator="equal">
      <formula>D243="&lt;&gt;"</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5">
    <tabColor rgb="FFFFC000"/>
  </sheetPr>
  <dimension ref="A1:N41"/>
  <sheetViews>
    <sheetView workbookViewId="0">
      <selection activeCell="D7" sqref="D7"/>
    </sheetView>
  </sheetViews>
  <sheetFormatPr baseColWidth="10" defaultColWidth="0" defaultRowHeight="15" customHeight="1" zeroHeight="1"/>
  <cols>
    <col min="1" max="11" width="11.42578125" style="38" customWidth="1"/>
    <col min="12" max="16384" width="11.42578125" hidden="1"/>
  </cols>
  <sheetData>
    <row r="1" spans="2:5"/>
    <row r="2" spans="2:5">
      <c r="B2" s="106" t="s">
        <v>0</v>
      </c>
      <c r="C2" s="588">
        <f>Site!C2</f>
        <v>0</v>
      </c>
      <c r="D2" s="588"/>
      <c r="E2" s="588"/>
    </row>
    <row r="3" spans="2:5"/>
    <row r="4" spans="2:5"/>
    <row r="5" spans="2:5"/>
    <row r="6" spans="2:5"/>
    <row r="7" spans="2:5"/>
    <row r="8" spans="2:5"/>
    <row r="9" spans="2:5"/>
    <row r="10" spans="2:5"/>
    <row r="11" spans="2:5"/>
    <row r="12" spans="2:5"/>
    <row r="13" spans="2:5"/>
    <row r="14" spans="2:5"/>
    <row r="15" spans="2:5"/>
    <row r="16" spans="2:5"/>
    <row r="17" spans="9:14"/>
    <row r="18" spans="9:14"/>
    <row r="19" spans="9:14"/>
    <row r="20" spans="9:14">
      <c r="I20" s="118" t="s">
        <v>97</v>
      </c>
    </row>
    <row r="21" spans="9:14">
      <c r="I21" s="108"/>
    </row>
    <row r="22" spans="9:14">
      <c r="I22" s="108"/>
    </row>
    <row r="23" spans="9:14">
      <c r="I23" s="108"/>
    </row>
    <row r="24" spans="9:14">
      <c r="I24" s="108"/>
    </row>
    <row r="25" spans="9:14">
      <c r="I25" s="108"/>
    </row>
    <row r="26" spans="9:14">
      <c r="I26" s="108"/>
      <c r="K26" s="117"/>
      <c r="L26" s="117"/>
      <c r="M26" s="117"/>
      <c r="N26" s="117"/>
    </row>
    <row r="27" spans="9:14">
      <c r="K27" s="117"/>
      <c r="L27" s="117"/>
      <c r="M27" s="117"/>
      <c r="N27" s="117"/>
    </row>
    <row r="28" spans="9:14">
      <c r="I28" s="117"/>
      <c r="J28" s="117"/>
      <c r="K28" s="117"/>
      <c r="L28" s="117"/>
      <c r="M28" s="117"/>
      <c r="N28" s="117"/>
    </row>
    <row r="29" spans="9:14">
      <c r="I29" s="117"/>
      <c r="J29" s="117"/>
      <c r="K29" s="117"/>
      <c r="L29" s="117"/>
      <c r="M29" s="117"/>
      <c r="N29" s="117"/>
    </row>
    <row r="30" spans="9:14">
      <c r="I30" s="117"/>
      <c r="J30" s="117"/>
      <c r="K30" s="117"/>
      <c r="L30" s="117"/>
      <c r="M30" s="117"/>
      <c r="N30" s="117"/>
    </row>
    <row r="31" spans="9:14">
      <c r="I31" s="117"/>
      <c r="J31" s="117"/>
      <c r="K31" s="117"/>
      <c r="L31" s="117"/>
      <c r="M31" s="117"/>
      <c r="N31" s="117"/>
    </row>
    <row r="32" spans="9:14">
      <c r="I32" s="117"/>
      <c r="J32" s="117"/>
      <c r="K32" s="117"/>
      <c r="L32" s="117"/>
      <c r="M32" s="117"/>
      <c r="N32" s="117"/>
    </row>
    <row r="33" spans="9:14">
      <c r="I33" s="117"/>
      <c r="J33" s="117"/>
      <c r="K33" s="117"/>
      <c r="L33" s="117"/>
      <c r="M33" s="117"/>
      <c r="N33" s="117"/>
    </row>
    <row r="34" spans="9:14" ht="15" hidden="1" customHeight="1">
      <c r="I34" s="117"/>
      <c r="J34" s="117"/>
      <c r="K34" s="117"/>
      <c r="L34" s="117"/>
      <c r="M34" s="117"/>
      <c r="N34" s="117"/>
    </row>
    <row r="35" spans="9:14" ht="15" hidden="1" customHeight="1">
      <c r="I35" s="117"/>
      <c r="J35" s="117"/>
      <c r="K35" s="117"/>
      <c r="L35" s="117"/>
      <c r="M35" s="117"/>
      <c r="N35" s="117"/>
    </row>
    <row r="36" spans="9:14" ht="15" hidden="1" customHeight="1">
      <c r="I36" s="117"/>
      <c r="J36" s="117"/>
      <c r="K36" s="117"/>
      <c r="L36" s="117"/>
      <c r="M36" s="117"/>
      <c r="N36" s="117"/>
    </row>
    <row r="37" spans="9:14" ht="15" hidden="1" customHeight="1">
      <c r="I37" s="117"/>
      <c r="J37" s="117"/>
      <c r="K37" s="117"/>
      <c r="L37" s="117"/>
      <c r="M37" s="117"/>
      <c r="N37" s="117"/>
    </row>
    <row r="38" spans="9:14" ht="15" hidden="1" customHeight="1">
      <c r="I38" s="117"/>
      <c r="J38" s="117"/>
      <c r="K38" s="117"/>
      <c r="L38" s="117"/>
      <c r="M38" s="117"/>
      <c r="N38" s="117"/>
    </row>
    <row r="39" spans="9:14" ht="15" hidden="1" customHeight="1">
      <c r="I39" s="117"/>
      <c r="J39" s="117"/>
      <c r="K39" s="117"/>
      <c r="L39" s="117"/>
      <c r="M39" s="117"/>
      <c r="N39" s="117"/>
    </row>
    <row r="40" spans="9:14" ht="15" hidden="1" customHeight="1">
      <c r="I40" s="117"/>
      <c r="J40" s="117"/>
      <c r="K40" s="117"/>
      <c r="L40" s="117"/>
      <c r="M40" s="117"/>
      <c r="N40" s="117"/>
    </row>
    <row r="41" spans="9:14" ht="15" hidden="1" customHeight="1">
      <c r="I41" s="117"/>
      <c r="J41" s="117"/>
      <c r="K41" s="117"/>
      <c r="L41" s="117"/>
      <c r="M41" s="117"/>
      <c r="N41" s="117"/>
    </row>
  </sheetData>
  <sheetProtection pivotTables="0"/>
  <protectedRanges>
    <protectedRange sqref="C2:E2" name="Plage1"/>
  </protectedRanges>
  <mergeCells count="1">
    <mergeCell ref="C2:E2"/>
  </mergeCells>
  <pageMargins left="0.7" right="0.7" top="0.75" bottom="0.75" header="0.3"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9"/>
  <dimension ref="A4:J45"/>
  <sheetViews>
    <sheetView workbookViewId="0">
      <selection activeCell="B9" sqref="B9"/>
    </sheetView>
  </sheetViews>
  <sheetFormatPr baseColWidth="10" defaultColWidth="11.42578125" defaultRowHeight="15"/>
  <cols>
    <col min="1" max="1" width="23" customWidth="1"/>
    <col min="2" max="2" width="20.42578125" customWidth="1"/>
    <col min="3" max="3" width="21.7109375" customWidth="1"/>
    <col min="4" max="5" width="23.7109375" customWidth="1"/>
    <col min="6" max="6" width="12.42578125" customWidth="1"/>
  </cols>
  <sheetData>
    <row r="4" spans="1:10">
      <c r="A4" t="s">
        <v>284</v>
      </c>
    </row>
    <row r="5" spans="1:10" ht="15.75" thickBot="1">
      <c r="A5" t="s">
        <v>284</v>
      </c>
    </row>
    <row r="6" spans="1:10">
      <c r="B6" s="33" t="s">
        <v>285</v>
      </c>
      <c r="C6" s="34" t="s">
        <v>20</v>
      </c>
      <c r="D6" s="35" t="s">
        <v>21</v>
      </c>
      <c r="E6" s="35" t="s">
        <v>22</v>
      </c>
      <c r="F6" s="36" t="s">
        <v>93</v>
      </c>
      <c r="G6" s="46" t="s">
        <v>156</v>
      </c>
      <c r="H6" s="46" t="s">
        <v>157</v>
      </c>
      <c r="I6" s="46" t="s">
        <v>19</v>
      </c>
      <c r="J6" s="46" t="s">
        <v>844</v>
      </c>
    </row>
    <row r="7" spans="1:10">
      <c r="B7" s="45" t="s">
        <v>286</v>
      </c>
      <c r="C7" t="str">
        <f>Site!D38</f>
        <v>Consommation</v>
      </c>
      <c r="D7" t="str">
        <f>Site!E38</f>
        <v>Electricité</v>
      </c>
      <c r="E7" t="str">
        <f>Site!F38</f>
        <v>Elec_Général</v>
      </c>
      <c r="F7" t="str">
        <f>Site!G38</f>
        <v>Electricité (kWh)</v>
      </c>
      <c r="G7">
        <f>IFERROR(VLOOKUP(F7,Liste!$A$5:$H$19,2,FALSE),0)</f>
        <v>1</v>
      </c>
      <c r="H7">
        <f>IFERROR(VLOOKUP(F7,Liste!$A$5:$H$19,3,FALSE),0)</f>
        <v>1</v>
      </c>
      <c r="I7" s="45" t="str">
        <f>Site!C38</f>
        <v>Elec Générale (Factures)</v>
      </c>
      <c r="J7">
        <f>IFERROR(VLOOKUP(F7,Liste!$A$5:$H$19,7,FALSE),0)</f>
        <v>1.9</v>
      </c>
    </row>
    <row r="8" spans="1:10">
      <c r="B8" s="45" t="s">
        <v>287</v>
      </c>
      <c r="C8" t="str">
        <f>Site!D39</f>
        <v>Consommation</v>
      </c>
      <c r="D8" t="str">
        <f>Site!E39</f>
        <v>Chaleur</v>
      </c>
      <c r="E8" t="str">
        <f>Site!F39</f>
        <v>ECS, Chauffage et Cuisson</v>
      </c>
      <c r="F8" t="str">
        <f>Site!G39</f>
        <v>Gaz naturel (kWh)</v>
      </c>
      <c r="G8">
        <f>IFERROR(VLOOKUP(F8,Liste!$A$5:$H$19,2,FALSE),0)</f>
        <v>0.90090090090090102</v>
      </c>
      <c r="H8">
        <f>IFERROR(VLOOKUP(F8,Liste!$A$5:$H$19,3,FALSE),0)</f>
        <v>0.9009009009009008</v>
      </c>
      <c r="I8" s="45" t="str">
        <f>Site!C39</f>
        <v>Chaleur Générale (factures)</v>
      </c>
      <c r="J8">
        <f>IFERROR(VLOOKUP(F8,Liste!$A$5:$H$19,7,FALSE),0)</f>
        <v>1.1100000000000001</v>
      </c>
    </row>
    <row r="9" spans="1:10">
      <c r="B9" s="45" t="s">
        <v>288</v>
      </c>
      <c r="C9" t="str">
        <f>Site!D40</f>
        <v>Consommation</v>
      </c>
      <c r="D9" t="str">
        <f>Site!E40</f>
        <v>Eau</v>
      </c>
      <c r="E9" t="str">
        <f>Site!F40</f>
        <v>General EF</v>
      </c>
      <c r="F9" t="str">
        <f>Site!G40</f>
        <v>Eau (m3)</v>
      </c>
      <c r="G9">
        <f>IFERROR(VLOOKUP(F9,Liste!$A$5:$H$19,2,FALSE),0)</f>
        <v>0</v>
      </c>
      <c r="H9">
        <f>IFERROR(VLOOKUP(F9,Liste!$A$5:$H$19,3,FALSE),0)</f>
        <v>0</v>
      </c>
      <c r="I9" s="45" t="str">
        <f>Site!C40</f>
        <v>Eau Générale (factures)</v>
      </c>
      <c r="J9">
        <f>IFERROR(VLOOKUP(F9,Liste!$A$5:$H$19,7,FALSE),0)</f>
        <v>0</v>
      </c>
    </row>
    <row r="10" spans="1:10">
      <c r="B10" s="45" t="s">
        <v>289</v>
      </c>
      <c r="C10">
        <f>Site!D41</f>
        <v>0</v>
      </c>
      <c r="D10">
        <f>Site!E41</f>
        <v>0</v>
      </c>
      <c r="E10">
        <f>Site!F41</f>
        <v>0</v>
      </c>
      <c r="F10">
        <f>Site!G41</f>
        <v>0</v>
      </c>
      <c r="G10">
        <f>IFERROR(VLOOKUP(F10,Liste!$A$5:$H$19,2,FALSE),0)</f>
        <v>0</v>
      </c>
      <c r="H10">
        <f>IFERROR(VLOOKUP(F10,Liste!$A$5:$H$19,3,FALSE),0)</f>
        <v>0</v>
      </c>
      <c r="I10" s="45">
        <f>Site!C41</f>
        <v>0</v>
      </c>
      <c r="J10">
        <f>IFERROR(VLOOKUP(F10,Liste!$A$5:$H$19,7,FALSE),0)</f>
        <v>0</v>
      </c>
    </row>
    <row r="11" spans="1:10">
      <c r="B11" s="45" t="s">
        <v>290</v>
      </c>
      <c r="C11">
        <f>Site!D42</f>
        <v>0</v>
      </c>
      <c r="D11">
        <f>Site!E42</f>
        <v>0</v>
      </c>
      <c r="E11">
        <f>Site!F42</f>
        <v>0</v>
      </c>
      <c r="F11">
        <f>Site!G42</f>
        <v>0</v>
      </c>
      <c r="G11">
        <f>IFERROR(VLOOKUP(F11,Liste!$A$5:$H$19,2,FALSE),0)</f>
        <v>0</v>
      </c>
      <c r="H11">
        <f>IFERROR(VLOOKUP(F11,Liste!$A$5:$H$19,3,FALSE),0)</f>
        <v>0</v>
      </c>
      <c r="I11" s="45">
        <f>Site!C42</f>
        <v>0</v>
      </c>
      <c r="J11">
        <f>IFERROR(VLOOKUP(F11,Liste!$A$5:$H$19,7,FALSE),0)</f>
        <v>0</v>
      </c>
    </row>
    <row r="12" spans="1:10">
      <c r="B12" s="45" t="s">
        <v>291</v>
      </c>
      <c r="C12">
        <f>Site!D43</f>
        <v>0</v>
      </c>
      <c r="D12">
        <f>Site!E43</f>
        <v>0</v>
      </c>
      <c r="E12">
        <f>Site!F43</f>
        <v>0</v>
      </c>
      <c r="F12">
        <f>Site!G43</f>
        <v>0</v>
      </c>
      <c r="G12">
        <f>IFERROR(VLOOKUP(F12,Liste!$A$5:$H$19,2,FALSE),0)</f>
        <v>0</v>
      </c>
      <c r="H12">
        <f>IFERROR(VLOOKUP(F12,Liste!$A$5:$H$19,3,FALSE),0)</f>
        <v>0</v>
      </c>
      <c r="I12" s="45">
        <f>Site!C43</f>
        <v>0</v>
      </c>
      <c r="J12">
        <f>IFERROR(VLOOKUP(F12,Liste!$A$5:$H$19,7,FALSE),0)</f>
        <v>0</v>
      </c>
    </row>
    <row r="13" spans="1:10">
      <c r="B13" s="45" t="s">
        <v>292</v>
      </c>
      <c r="C13">
        <f>Site!D44</f>
        <v>0</v>
      </c>
      <c r="D13">
        <f>Site!E44</f>
        <v>0</v>
      </c>
      <c r="E13">
        <f>Site!F44</f>
        <v>0</v>
      </c>
      <c r="F13">
        <f>Site!G44</f>
        <v>0</v>
      </c>
      <c r="G13">
        <f>IFERROR(VLOOKUP(F13,Liste!$A$5:$H$19,2,FALSE),0)</f>
        <v>0</v>
      </c>
      <c r="H13">
        <f>IFERROR(VLOOKUP(F13,Liste!$A$5:$H$19,3,FALSE),0)</f>
        <v>0</v>
      </c>
      <c r="I13" s="45">
        <f>Site!C44</f>
        <v>0</v>
      </c>
      <c r="J13">
        <f>IFERROR(VLOOKUP(F13,Liste!$A$5:$H$19,7,FALSE),0)</f>
        <v>0</v>
      </c>
    </row>
    <row r="14" spans="1:10">
      <c r="B14" s="45" t="s">
        <v>293</v>
      </c>
      <c r="C14">
        <f>Site!D45</f>
        <v>0</v>
      </c>
      <c r="D14">
        <f>Site!E45</f>
        <v>0</v>
      </c>
      <c r="E14">
        <f>Site!F45</f>
        <v>0</v>
      </c>
      <c r="F14">
        <f>Site!G45</f>
        <v>0</v>
      </c>
      <c r="G14">
        <f>IFERROR(VLOOKUP(F14,Liste!$A$5:$H$19,2,FALSE),0)</f>
        <v>0</v>
      </c>
      <c r="H14">
        <f>IFERROR(VLOOKUP(F14,Liste!$A$5:$H$19,3,FALSE),0)</f>
        <v>0</v>
      </c>
      <c r="I14" s="45">
        <f>Site!C45</f>
        <v>0</v>
      </c>
      <c r="J14">
        <f>IFERROR(VLOOKUP(F14,Liste!$A$5:$H$19,7,FALSE),0)</f>
        <v>0</v>
      </c>
    </row>
    <row r="15" spans="1:10">
      <c r="A15" t="s">
        <v>294</v>
      </c>
    </row>
    <row r="16" spans="1:10">
      <c r="A16" t="s">
        <v>295</v>
      </c>
      <c r="B16">
        <v>3</v>
      </c>
    </row>
    <row r="17" spans="1:2">
      <c r="A17" t="str">
        <f>INDEX(Liste!$B$24:$H$31,1,ROW(Controle_des_données!$B17)-ROW($B$16))</f>
        <v>Type d'étblissement</v>
      </c>
      <c r="B17" t="str">
        <f>INDEX(Liste!$B$24:$H$31,Controle_des_données!$B$16+1,ROW(Controle_des_données!$B17)-ROW($B$16))</f>
        <v>EHPAD</v>
      </c>
    </row>
    <row r="18" spans="1:2">
      <c r="A18" t="str">
        <f>INDEX(Liste!$B$24:$H$31,1,ROW(Controle_des_données!$B18)-ROW($B$16))</f>
        <v>Thermique - kWh/m²</v>
      </c>
      <c r="B18" s="52">
        <f>INDEX(Liste!$B$25:$H$31,Controle_des_données!$B$16,ROW(Controle_des_données!A18)-ROW($B$16))</f>
        <v>134.37719550799881</v>
      </c>
    </row>
    <row r="19" spans="1:2">
      <c r="A19" t="str">
        <f>INDEX(Liste!$B$24:$H$31,1,ROW(Controle_des_données!$B19)-ROW($B$16))</f>
        <v>Electrique - kWh/m²</v>
      </c>
      <c r="B19" s="52">
        <f>INDEX(Liste!$B$25:$H$31,Controle_des_données!$B$16,ROW(Controle_des_données!A19)-ROW($B$16))</f>
        <v>53.407224193411814</v>
      </c>
    </row>
    <row r="20" spans="1:2">
      <c r="A20" t="str">
        <f>INDEX(Liste!$B$24:$H$31,1,ROW(Controle_des_données!$B20)-ROW($B$16))</f>
        <v>Totale - kWh/m²</v>
      </c>
      <c r="B20" s="52">
        <f>INDEX(Liste!$B$25:$H$31,Controle_des_données!$B$16,ROW(Controle_des_données!A20)-ROW($B$16))</f>
        <v>187.784419701411</v>
      </c>
    </row>
    <row r="21" spans="1:2">
      <c r="A21" t="str">
        <f>INDEX(Liste!$B$24:$H$31,1,ROW(Controle_des_données!$B21)-ROW($B$16))</f>
        <v>CHAUFFAGE - (CH/DJU/m²)x1000</v>
      </c>
      <c r="B21" s="52">
        <f>INDEX(Liste!$B$25:$H$31,Controle_des_données!$B$16,ROW(Controle_des_données!A21)-ROW($B$16))</f>
        <v>43.015283576240691</v>
      </c>
    </row>
    <row r="22" spans="1:2">
      <c r="A22" t="str">
        <f>INDEX(Liste!$B$24:$H$31,1,ROW(Controle_des_données!$B22)-ROW($B$16))</f>
        <v>ECS - kWh/m²</v>
      </c>
      <c r="B22" s="52">
        <f>INDEX(Liste!$B$25:$H$31,Controle_des_données!$B$16,ROW(Controle_des_données!A22)-ROW($B$16))</f>
        <v>49.783917823165922</v>
      </c>
    </row>
    <row r="23" spans="1:2">
      <c r="A23" t="str">
        <f>INDEX(Liste!$B$24:$H$31,1,ROW(Controle_des_données!$B23)-ROW($B$16))</f>
        <v>Eau - L/j/Usager</v>
      </c>
      <c r="B23" s="226">
        <f>INDEX(Liste!$B$25:$H$31,Controle_des_données!$B$16,ROW(Controle_des_données!A23)-ROW($B$16))</f>
        <v>144.16961746331364</v>
      </c>
    </row>
    <row r="24" spans="1:2">
      <c r="A24" t="s">
        <v>296</v>
      </c>
      <c r="B24" s="52">
        <f>B25</f>
        <v>82</v>
      </c>
    </row>
    <row r="25" spans="1:2">
      <c r="A25" t="s">
        <v>297</v>
      </c>
      <c r="B25">
        <f>INDEX(Liste!$B$25:$I$31,Controle_des_données!$B$16,ROW(Controle_des_données!A24)-ROW($B$16))</f>
        <v>82</v>
      </c>
    </row>
    <row r="26" spans="1:2">
      <c r="A26" t="s">
        <v>298</v>
      </c>
      <c r="B26" t="e">
        <f>INDEX(Liste!#REF!,MATCH(Controle_des_données!B33,Liste!#REF!,0),MATCH(Controle_des_données!B32,Liste!#REF!,0))</f>
        <v>#REF!</v>
      </c>
    </row>
    <row r="27" spans="1:2">
      <c r="A27" t="s">
        <v>299</v>
      </c>
      <c r="B27" s="171">
        <f>INDEX(Liste!$B$25:$K$31,Controle_des_données!$B$16,10)</f>
        <v>58</v>
      </c>
    </row>
    <row r="28" spans="1:2" s="450" customFormat="1">
      <c r="A28" s="450" t="s">
        <v>868</v>
      </c>
      <c r="B28" s="451">
        <f>INDEX(Liste!$B$25:$M$31,Controle_des_données!$B$16,11)</f>
        <v>3.7</v>
      </c>
    </row>
    <row r="29" spans="1:2" s="450" customFormat="1">
      <c r="A29" s="450" t="s">
        <v>865</v>
      </c>
      <c r="B29" s="473">
        <f>INDEX(Liste!$B$25:$M$31,Controle_des_données!$B$16,12)</f>
        <v>3.6199999999999997</v>
      </c>
    </row>
    <row r="31" spans="1:2">
      <c r="A31" t="s">
        <v>249</v>
      </c>
    </row>
    <row r="32" spans="1:2">
      <c r="A32" t="s">
        <v>135</v>
      </c>
      <c r="B32" t="str">
        <f>Site!C51</f>
        <v>H2b</v>
      </c>
    </row>
    <row r="33" spans="1:3">
      <c r="A33" t="s">
        <v>136</v>
      </c>
      <c r="B33" t="str">
        <f>INDEX(Liste!$P$3:$P$7,Controle_des_données!C33,1)</f>
        <v>Altitude &lt; 400 m</v>
      </c>
      <c r="C33">
        <v>1</v>
      </c>
    </row>
    <row r="34" spans="1:3">
      <c r="A34" t="s">
        <v>300</v>
      </c>
      <c r="B34">
        <v>2.4699999999999999E-4</v>
      </c>
    </row>
    <row r="35" spans="1:3">
      <c r="A35" t="s">
        <v>301</v>
      </c>
      <c r="B35">
        <v>5.3499999999999999E-5</v>
      </c>
    </row>
    <row r="39" spans="1:3">
      <c r="A39" s="32" t="s">
        <v>53</v>
      </c>
    </row>
    <row r="40" spans="1:3">
      <c r="A40" t="str">
        <f>INDEX(Liste!Q15:Q17,Controle_des_données!B40,1)</f>
        <v>TTC</v>
      </c>
      <c r="B40">
        <v>3</v>
      </c>
    </row>
    <row r="41" spans="1:3">
      <c r="A41" s="32" t="s">
        <v>302</v>
      </c>
    </row>
    <row r="42" spans="1:3">
      <c r="A42" t="str">
        <f>INDEX(Liste!R15:R19,Controle_des_données!B42,1)</f>
        <v>Continu</v>
      </c>
      <c r="B42">
        <v>2</v>
      </c>
    </row>
    <row r="43" spans="1:3">
      <c r="A43" t="s">
        <v>303</v>
      </c>
      <c r="B43" t="str">
        <f>INDEX(Liste!S15:S18,Controle_des_données!C43,1)</f>
        <v>Oui</v>
      </c>
      <c r="C43">
        <v>2</v>
      </c>
    </row>
    <row r="44" spans="1:3">
      <c r="A44" t="s">
        <v>304</v>
      </c>
      <c r="B44" t="str">
        <f>INDEX(Liste!S15:S18,Controle_des_données!C44,1)</f>
        <v>Non</v>
      </c>
      <c r="C44">
        <v>3</v>
      </c>
    </row>
    <row r="45" spans="1:3">
      <c r="A45" t="s">
        <v>305</v>
      </c>
      <c r="B45">
        <f>Site!H73</f>
        <v>70</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7"/>
  <dimension ref="A2:AE98"/>
  <sheetViews>
    <sheetView workbookViewId="0">
      <selection activeCell="I15" sqref="I15"/>
    </sheetView>
  </sheetViews>
  <sheetFormatPr baseColWidth="10" defaultColWidth="11.42578125" defaultRowHeight="15"/>
  <cols>
    <col min="1" max="1" width="47" bestFit="1" customWidth="1"/>
    <col min="2" max="2" width="27.7109375" customWidth="1"/>
    <col min="9" max="9" width="21.5703125" customWidth="1"/>
    <col min="10" max="10" width="24.7109375" customWidth="1"/>
    <col min="11" max="11" width="20.85546875" customWidth="1"/>
    <col min="12" max="13" width="20.85546875" style="450" customWidth="1"/>
    <col min="15" max="15" width="26.85546875" customWidth="1"/>
    <col min="16" max="16" width="24.7109375" customWidth="1"/>
    <col min="18" max="18" width="11.85546875" customWidth="1"/>
    <col min="23" max="23" width="22.85546875" customWidth="1"/>
    <col min="24" max="24" width="22.5703125" customWidth="1"/>
    <col min="26" max="26" width="24.5703125" customWidth="1"/>
    <col min="28" max="29" width="23" bestFit="1" customWidth="1"/>
    <col min="30" max="30" width="27.140625" bestFit="1" customWidth="1"/>
  </cols>
  <sheetData>
    <row r="2" spans="1:31">
      <c r="O2" t="s">
        <v>135</v>
      </c>
      <c r="P2" t="s">
        <v>136</v>
      </c>
      <c r="Q2" t="s">
        <v>137</v>
      </c>
      <c r="R2" t="s">
        <v>26</v>
      </c>
      <c r="S2" t="s">
        <v>138</v>
      </c>
      <c r="T2" t="s">
        <v>27</v>
      </c>
      <c r="U2" t="s">
        <v>31</v>
      </c>
      <c r="V2" t="s">
        <v>139</v>
      </c>
      <c r="W2" t="s">
        <v>90</v>
      </c>
      <c r="X2" t="s">
        <v>35</v>
      </c>
      <c r="Y2" t="s">
        <v>140</v>
      </c>
      <c r="Z2" t="s">
        <v>141</v>
      </c>
      <c r="AA2" t="s">
        <v>142</v>
      </c>
      <c r="AB2" t="s">
        <v>91</v>
      </c>
      <c r="AC2" t="s">
        <v>94</v>
      </c>
      <c r="AD2" t="s">
        <v>95</v>
      </c>
      <c r="AE2" t="s">
        <v>96</v>
      </c>
    </row>
    <row r="3" spans="1:31" ht="15.75" thickBot="1">
      <c r="A3" t="s">
        <v>143</v>
      </c>
      <c r="O3" s="90" t="s">
        <v>144</v>
      </c>
      <c r="P3" s="91" t="s">
        <v>145</v>
      </c>
      <c r="Q3" t="s">
        <v>26</v>
      </c>
      <c r="R3" t="s">
        <v>35</v>
      </c>
      <c r="S3" t="s">
        <v>140</v>
      </c>
      <c r="T3" t="s">
        <v>28</v>
      </c>
      <c r="U3" t="s">
        <v>146</v>
      </c>
      <c r="V3" t="s">
        <v>147</v>
      </c>
      <c r="W3" t="s">
        <v>148</v>
      </c>
      <c r="X3" t="s">
        <v>36</v>
      </c>
      <c r="Y3" t="s">
        <v>149</v>
      </c>
      <c r="Z3" t="s">
        <v>150</v>
      </c>
      <c r="AA3" t="s">
        <v>151</v>
      </c>
      <c r="AB3" t="s">
        <v>94</v>
      </c>
      <c r="AC3" t="s">
        <v>152</v>
      </c>
      <c r="AD3" t="s">
        <v>153</v>
      </c>
      <c r="AE3" t="s">
        <v>154</v>
      </c>
    </row>
    <row r="4" spans="1:31" ht="39" thickBot="1">
      <c r="A4" s="4" t="s">
        <v>155</v>
      </c>
      <c r="B4" s="102" t="s">
        <v>156</v>
      </c>
      <c r="C4" t="s">
        <v>157</v>
      </c>
      <c r="D4" s="103"/>
      <c r="E4" s="5" t="s">
        <v>158</v>
      </c>
      <c r="F4" s="6" t="s">
        <v>159</v>
      </c>
      <c r="G4" t="s">
        <v>845</v>
      </c>
      <c r="H4" s="7" t="s">
        <v>160</v>
      </c>
      <c r="O4" s="90" t="s">
        <v>161</v>
      </c>
      <c r="P4" s="91" t="s">
        <v>162</v>
      </c>
      <c r="Q4" t="s">
        <v>138</v>
      </c>
      <c r="R4" t="s">
        <v>27</v>
      </c>
      <c r="S4" t="s">
        <v>141</v>
      </c>
      <c r="U4" t="s">
        <v>163</v>
      </c>
      <c r="V4" t="s">
        <v>164</v>
      </c>
      <c r="W4" t="s">
        <v>165</v>
      </c>
      <c r="X4" t="s">
        <v>166</v>
      </c>
      <c r="Y4" t="s">
        <v>167</v>
      </c>
      <c r="Z4" t="s">
        <v>168</v>
      </c>
      <c r="AB4" t="s">
        <v>95</v>
      </c>
      <c r="AC4" t="s">
        <v>169</v>
      </c>
      <c r="AD4" t="s">
        <v>170</v>
      </c>
      <c r="AE4" t="s">
        <v>171</v>
      </c>
    </row>
    <row r="5" spans="1:31">
      <c r="A5" s="8" t="s">
        <v>148</v>
      </c>
      <c r="B5" s="9">
        <v>2700</v>
      </c>
      <c r="C5" s="9">
        <v>2700</v>
      </c>
      <c r="D5" s="10" t="s">
        <v>172</v>
      </c>
      <c r="E5" s="11">
        <v>2.4E-2</v>
      </c>
      <c r="F5" s="12">
        <v>1.1100000000000001</v>
      </c>
      <c r="G5">
        <f>F5</f>
        <v>1.1100000000000001</v>
      </c>
      <c r="H5" s="13">
        <v>0.01</v>
      </c>
      <c r="O5" s="90" t="s">
        <v>173</v>
      </c>
      <c r="P5" s="91" t="s">
        <v>174</v>
      </c>
      <c r="Q5" t="s">
        <v>91</v>
      </c>
      <c r="R5" t="s">
        <v>31</v>
      </c>
      <c r="S5" t="s">
        <v>142</v>
      </c>
      <c r="U5" t="s">
        <v>32</v>
      </c>
      <c r="W5" t="s">
        <v>175</v>
      </c>
      <c r="Z5" t="s">
        <v>176</v>
      </c>
      <c r="AB5" t="s">
        <v>96</v>
      </c>
      <c r="AC5" t="s">
        <v>147</v>
      </c>
      <c r="AD5" t="s">
        <v>177</v>
      </c>
      <c r="AE5" t="s">
        <v>178</v>
      </c>
    </row>
    <row r="6" spans="1:31">
      <c r="A6" s="8" t="s">
        <v>165</v>
      </c>
      <c r="B6" s="9">
        <v>4600</v>
      </c>
      <c r="C6" s="9">
        <v>4600</v>
      </c>
      <c r="D6" s="10" t="s">
        <v>172</v>
      </c>
      <c r="E6" s="11">
        <v>0.03</v>
      </c>
      <c r="F6" s="12">
        <v>1.1100000000000001</v>
      </c>
      <c r="G6" s="436">
        <f t="shared" ref="G6:G18" si="0">F6</f>
        <v>1.1100000000000001</v>
      </c>
      <c r="H6" s="13">
        <v>0.01</v>
      </c>
      <c r="O6" s="90" t="s">
        <v>179</v>
      </c>
      <c r="P6" s="91" t="s">
        <v>180</v>
      </c>
      <c r="U6" t="s">
        <v>181</v>
      </c>
      <c r="W6" t="s">
        <v>182</v>
      </c>
    </row>
    <row r="7" spans="1:31">
      <c r="A7" s="8" t="s">
        <v>175</v>
      </c>
      <c r="B7" s="9">
        <v>1680</v>
      </c>
      <c r="C7" s="9">
        <v>1680</v>
      </c>
      <c r="D7" s="10" t="s">
        <v>183</v>
      </c>
      <c r="E7" s="11">
        <v>0.03</v>
      </c>
      <c r="F7" s="12">
        <v>1.1100000000000001</v>
      </c>
      <c r="G7" s="436">
        <f t="shared" si="0"/>
        <v>1.1100000000000001</v>
      </c>
      <c r="H7" s="13">
        <v>0.01</v>
      </c>
      <c r="O7" s="90" t="s">
        <v>184</v>
      </c>
      <c r="P7" s="91" t="s">
        <v>185</v>
      </c>
      <c r="U7" t="s">
        <v>186</v>
      </c>
      <c r="W7" t="s">
        <v>187</v>
      </c>
    </row>
    <row r="8" spans="1:31">
      <c r="A8" s="8" t="s">
        <v>182</v>
      </c>
      <c r="B8" s="14">
        <v>0.90090090090090102</v>
      </c>
      <c r="C8" s="14">
        <v>0.9009009009009008</v>
      </c>
      <c r="D8" s="10" t="s">
        <v>188</v>
      </c>
      <c r="E8" s="11">
        <v>0.22700000000000001</v>
      </c>
      <c r="F8" s="12">
        <v>1.1100000000000001</v>
      </c>
      <c r="G8" s="436">
        <f t="shared" si="0"/>
        <v>1.1100000000000001</v>
      </c>
      <c r="H8" s="13">
        <v>0.04</v>
      </c>
      <c r="O8" s="90" t="s">
        <v>189</v>
      </c>
      <c r="W8" t="s">
        <v>190</v>
      </c>
    </row>
    <row r="9" spans="1:31">
      <c r="A9" s="8" t="s">
        <v>187</v>
      </c>
      <c r="B9" s="15">
        <v>11.628</v>
      </c>
      <c r="C9" s="15">
        <v>11.628</v>
      </c>
      <c r="D9" s="10" t="s">
        <v>191</v>
      </c>
      <c r="E9" s="11">
        <v>0.22700000000000001</v>
      </c>
      <c r="F9" s="12">
        <v>1.1100000000000001</v>
      </c>
      <c r="G9" s="436">
        <f t="shared" si="0"/>
        <v>1.1100000000000001</v>
      </c>
      <c r="H9" s="13">
        <v>0.04</v>
      </c>
      <c r="O9" s="90" t="s">
        <v>192</v>
      </c>
      <c r="W9" t="s">
        <v>193</v>
      </c>
    </row>
    <row r="10" spans="1:31">
      <c r="A10" s="8" t="s">
        <v>190</v>
      </c>
      <c r="B10" s="9">
        <v>12660</v>
      </c>
      <c r="C10" s="9">
        <v>12660</v>
      </c>
      <c r="D10" s="10" t="s">
        <v>172</v>
      </c>
      <c r="E10" s="11">
        <v>0.27200000000000002</v>
      </c>
      <c r="F10" s="12">
        <v>1.0900000000000001</v>
      </c>
      <c r="G10" s="436">
        <f t="shared" si="0"/>
        <v>1.0900000000000001</v>
      </c>
      <c r="H10" s="16">
        <v>0.02</v>
      </c>
      <c r="O10" s="90" t="s">
        <v>194</v>
      </c>
      <c r="W10" t="s">
        <v>195</v>
      </c>
    </row>
    <row r="11" spans="1:31">
      <c r="A11" s="8" t="s">
        <v>193</v>
      </c>
      <c r="B11" s="14">
        <v>23.7</v>
      </c>
      <c r="C11" s="14">
        <v>23.7</v>
      </c>
      <c r="D11" s="10" t="s">
        <v>191</v>
      </c>
      <c r="E11" s="11">
        <v>0.27200000000000002</v>
      </c>
      <c r="F11" s="12">
        <v>1.0900000000000001</v>
      </c>
      <c r="G11" s="436">
        <f t="shared" si="0"/>
        <v>1.0900000000000001</v>
      </c>
      <c r="H11" s="13">
        <v>0.02</v>
      </c>
      <c r="W11" t="s">
        <v>196</v>
      </c>
    </row>
    <row r="12" spans="1:31">
      <c r="A12" s="8" t="s">
        <v>195</v>
      </c>
      <c r="B12" s="9">
        <v>12570</v>
      </c>
      <c r="C12" s="9">
        <v>12570</v>
      </c>
      <c r="D12" s="10" t="s">
        <v>172</v>
      </c>
      <c r="E12" s="11">
        <v>0.27200000000000002</v>
      </c>
      <c r="F12" s="12">
        <v>1.0900000000000001</v>
      </c>
      <c r="G12" s="436">
        <f t="shared" si="0"/>
        <v>1.0900000000000001</v>
      </c>
      <c r="H12" s="13">
        <v>0.02</v>
      </c>
      <c r="W12" t="s">
        <v>197</v>
      </c>
    </row>
    <row r="13" spans="1:31">
      <c r="A13" s="8" t="s">
        <v>196</v>
      </c>
      <c r="B13" s="15">
        <v>6.9</v>
      </c>
      <c r="C13" s="15">
        <v>6.9</v>
      </c>
      <c r="D13" s="10" t="s">
        <v>198</v>
      </c>
      <c r="E13" s="11">
        <v>0.27200000000000002</v>
      </c>
      <c r="F13" s="12">
        <v>1.0900000000000001</v>
      </c>
      <c r="G13" s="436">
        <f t="shared" si="0"/>
        <v>1.0900000000000001</v>
      </c>
      <c r="H13" s="16">
        <v>0.03</v>
      </c>
      <c r="W13" t="s">
        <v>33</v>
      </c>
    </row>
    <row r="14" spans="1:31">
      <c r="A14" s="8" t="s">
        <v>197</v>
      </c>
      <c r="B14" s="14">
        <v>30.45</v>
      </c>
      <c r="C14" s="14">
        <v>30.45</v>
      </c>
      <c r="D14" s="10" t="s">
        <v>191</v>
      </c>
      <c r="E14" s="11">
        <v>0.27200000000000002</v>
      </c>
      <c r="F14" s="12">
        <v>1.0900000000000001</v>
      </c>
      <c r="G14" s="436">
        <f t="shared" si="0"/>
        <v>1.0900000000000001</v>
      </c>
      <c r="H14" s="16">
        <v>0.03</v>
      </c>
      <c r="O14" t="s">
        <v>199</v>
      </c>
      <c r="Q14" s="32" t="s">
        <v>200</v>
      </c>
      <c r="R14" t="s">
        <v>201</v>
      </c>
      <c r="S14" t="s">
        <v>202</v>
      </c>
      <c r="T14" t="s">
        <v>203</v>
      </c>
      <c r="W14" t="s">
        <v>204</v>
      </c>
    </row>
    <row r="15" spans="1:31">
      <c r="A15" s="8" t="s">
        <v>33</v>
      </c>
      <c r="B15" s="14">
        <v>9.9700000000000006</v>
      </c>
      <c r="C15" s="14">
        <v>9.9700000000000006</v>
      </c>
      <c r="D15" s="10" t="s">
        <v>198</v>
      </c>
      <c r="E15" s="11">
        <v>0.32400000000000001</v>
      </c>
      <c r="F15" s="12">
        <v>1.07</v>
      </c>
      <c r="G15" s="436">
        <f t="shared" si="0"/>
        <v>1.07</v>
      </c>
      <c r="H15" s="16">
        <v>0.05</v>
      </c>
      <c r="O15" s="93" t="s">
        <v>205</v>
      </c>
      <c r="P15" t="s">
        <v>179</v>
      </c>
      <c r="W15" t="s">
        <v>206</v>
      </c>
    </row>
    <row r="16" spans="1:31">
      <c r="A16" s="17" t="s">
        <v>204</v>
      </c>
      <c r="B16" s="9">
        <v>1</v>
      </c>
      <c r="C16" s="9">
        <v>1</v>
      </c>
      <c r="D16" s="10" t="s">
        <v>188</v>
      </c>
      <c r="E16" s="11">
        <v>6.4000000000000001E-2</v>
      </c>
      <c r="F16" s="18">
        <v>1</v>
      </c>
      <c r="G16" s="436">
        <f t="shared" si="0"/>
        <v>1</v>
      </c>
      <c r="H16" s="16">
        <v>0.05</v>
      </c>
      <c r="O16" s="94" t="s">
        <v>207</v>
      </c>
      <c r="P16" t="s">
        <v>179</v>
      </c>
      <c r="Q16" t="s">
        <v>208</v>
      </c>
      <c r="R16" t="s">
        <v>209</v>
      </c>
      <c r="S16" t="s">
        <v>210</v>
      </c>
      <c r="T16" t="s">
        <v>26</v>
      </c>
      <c r="W16" t="s">
        <v>29</v>
      </c>
    </row>
    <row r="17" spans="1:23">
      <c r="A17" s="19" t="s">
        <v>206</v>
      </c>
      <c r="B17" s="9">
        <v>1</v>
      </c>
      <c r="C17" s="14">
        <v>0.77</v>
      </c>
      <c r="D17" s="10" t="s">
        <v>188</v>
      </c>
      <c r="E17" s="20">
        <v>0.1</v>
      </c>
      <c r="F17" s="18">
        <v>1</v>
      </c>
      <c r="G17" s="436">
        <f t="shared" si="0"/>
        <v>1</v>
      </c>
      <c r="H17" s="16">
        <v>0.05</v>
      </c>
      <c r="O17" s="93" t="s">
        <v>211</v>
      </c>
      <c r="P17" t="s">
        <v>179</v>
      </c>
      <c r="Q17" t="s">
        <v>212</v>
      </c>
      <c r="R17" t="s">
        <v>213</v>
      </c>
      <c r="S17" t="s">
        <v>214</v>
      </c>
      <c r="T17" t="s">
        <v>215</v>
      </c>
      <c r="W17" t="s">
        <v>37</v>
      </c>
    </row>
    <row r="18" spans="1:23">
      <c r="A18" t="s">
        <v>37</v>
      </c>
      <c r="B18" s="22">
        <v>0</v>
      </c>
      <c r="C18" s="22">
        <v>0</v>
      </c>
      <c r="D18" s="23"/>
      <c r="E18" s="82"/>
      <c r="F18" s="25"/>
      <c r="G18" s="436">
        <f t="shared" si="0"/>
        <v>0</v>
      </c>
      <c r="H18" s="26"/>
      <c r="O18" s="94" t="s">
        <v>216</v>
      </c>
      <c r="P18" t="s">
        <v>179</v>
      </c>
      <c r="R18" t="s">
        <v>217</v>
      </c>
      <c r="S18" t="s">
        <v>218</v>
      </c>
    </row>
    <row r="19" spans="1:23">
      <c r="A19" s="21" t="s">
        <v>29</v>
      </c>
      <c r="B19" s="22">
        <v>1</v>
      </c>
      <c r="C19" s="22">
        <v>1</v>
      </c>
      <c r="D19" s="23" t="s">
        <v>188</v>
      </c>
      <c r="E19" s="24">
        <v>6.4000000000000001E-2</v>
      </c>
      <c r="F19" s="25">
        <v>1</v>
      </c>
      <c r="G19" s="436">
        <v>1.9</v>
      </c>
      <c r="H19" s="26">
        <v>0.05</v>
      </c>
      <c r="O19" s="93" t="s">
        <v>219</v>
      </c>
      <c r="P19" t="s">
        <v>179</v>
      </c>
    </row>
    <row r="20" spans="1:23">
      <c r="O20" s="94" t="s">
        <v>220</v>
      </c>
      <c r="P20" t="s">
        <v>179</v>
      </c>
    </row>
    <row r="21" spans="1:23">
      <c r="O21" s="93" t="s">
        <v>221</v>
      </c>
      <c r="P21" t="s">
        <v>179</v>
      </c>
    </row>
    <row r="22" spans="1:23">
      <c r="O22" s="94" t="s">
        <v>222</v>
      </c>
      <c r="P22" t="s">
        <v>184</v>
      </c>
    </row>
    <row r="23" spans="1:23">
      <c r="O23" s="95" t="s">
        <v>223</v>
      </c>
      <c r="P23" t="s">
        <v>184</v>
      </c>
    </row>
    <row r="24" spans="1:23">
      <c r="A24" s="65" t="s">
        <v>224</v>
      </c>
      <c r="B24" s="65" t="s">
        <v>225</v>
      </c>
      <c r="C24" s="63" t="s">
        <v>226</v>
      </c>
      <c r="D24" s="63" t="s">
        <v>227</v>
      </c>
      <c r="E24" s="63" t="s">
        <v>228</v>
      </c>
      <c r="F24" s="63" t="s">
        <v>229</v>
      </c>
      <c r="G24" s="63" t="s">
        <v>230</v>
      </c>
      <c r="H24" s="66" t="s">
        <v>432</v>
      </c>
      <c r="I24" s="66" t="s">
        <v>231</v>
      </c>
      <c r="J24" s="223" t="s">
        <v>430</v>
      </c>
      <c r="K24" s="204" t="s">
        <v>232</v>
      </c>
      <c r="L24" s="204" t="s">
        <v>866</v>
      </c>
      <c r="M24" s="452" t="s">
        <v>867</v>
      </c>
      <c r="O24" s="94" t="s">
        <v>233</v>
      </c>
      <c r="P24" t="s">
        <v>184</v>
      </c>
    </row>
    <row r="25" spans="1:23">
      <c r="A25" s="592" t="s">
        <v>234</v>
      </c>
      <c r="B25" s="60" t="s">
        <v>235</v>
      </c>
      <c r="C25" s="61" t="s">
        <v>236</v>
      </c>
      <c r="D25" s="61" t="s">
        <v>236</v>
      </c>
      <c r="E25" s="61" t="s">
        <v>236</v>
      </c>
      <c r="F25" s="61" t="s">
        <v>236</v>
      </c>
      <c r="G25" s="61" t="s">
        <v>236</v>
      </c>
      <c r="H25" s="67" t="s">
        <v>236</v>
      </c>
      <c r="I25" s="89">
        <v>151</v>
      </c>
      <c r="J25" s="89"/>
      <c r="L25" s="275">
        <v>3.7</v>
      </c>
      <c r="M25" s="471">
        <f>43.44/12</f>
        <v>3.6199999999999997</v>
      </c>
      <c r="O25" s="93" t="s">
        <v>237</v>
      </c>
      <c r="P25" t="s">
        <v>144</v>
      </c>
    </row>
    <row r="26" spans="1:23">
      <c r="A26" s="593"/>
      <c r="B26" s="60" t="s">
        <v>238</v>
      </c>
      <c r="C26" s="64">
        <v>162.96440616262723</v>
      </c>
      <c r="D26" s="64">
        <v>78.388576324684351</v>
      </c>
      <c r="E26" s="64">
        <v>241.35298248731158</v>
      </c>
      <c r="F26" s="64">
        <v>45.971020654622961</v>
      </c>
      <c r="G26" s="64">
        <v>71.775598070944156</v>
      </c>
      <c r="H26" s="68">
        <v>232.92148528584556</v>
      </c>
      <c r="I26" s="89">
        <v>151</v>
      </c>
      <c r="J26" s="89"/>
      <c r="L26" s="275">
        <v>3.7</v>
      </c>
      <c r="M26" s="471">
        <f t="shared" ref="M26:M31" si="1">43.44/12</f>
        <v>3.6199999999999997</v>
      </c>
      <c r="O26" s="96" t="s">
        <v>239</v>
      </c>
      <c r="P26" t="s">
        <v>194</v>
      </c>
    </row>
    <row r="27" spans="1:23">
      <c r="A27" s="593"/>
      <c r="B27" s="60" t="s">
        <v>240</v>
      </c>
      <c r="C27" s="64">
        <v>134.37719550799881</v>
      </c>
      <c r="D27" s="64">
        <v>53.407224193411814</v>
      </c>
      <c r="E27" s="64">
        <v>187.784419701411</v>
      </c>
      <c r="F27" s="64">
        <v>43.015283576240691</v>
      </c>
      <c r="G27" s="64">
        <v>49.783917823165922</v>
      </c>
      <c r="H27" s="68">
        <v>144.16961746331364</v>
      </c>
      <c r="I27" s="89">
        <v>82</v>
      </c>
      <c r="J27" s="89">
        <v>138</v>
      </c>
      <c r="K27" s="205">
        <v>58</v>
      </c>
      <c r="L27" s="275">
        <v>3.7</v>
      </c>
      <c r="M27" s="471">
        <f t="shared" si="1"/>
        <v>3.6199999999999997</v>
      </c>
      <c r="O27" s="123" t="s">
        <v>241</v>
      </c>
      <c r="P27" t="s">
        <v>184</v>
      </c>
    </row>
    <row r="28" spans="1:23">
      <c r="A28" s="593"/>
      <c r="B28" s="60" t="s">
        <v>242</v>
      </c>
      <c r="C28" s="62" t="s">
        <v>236</v>
      </c>
      <c r="D28" s="62" t="s">
        <v>236</v>
      </c>
      <c r="E28" s="62" t="s">
        <v>236</v>
      </c>
      <c r="F28" s="62" t="s">
        <v>236</v>
      </c>
      <c r="G28" s="62" t="s">
        <v>236</v>
      </c>
      <c r="H28" s="69" t="s">
        <v>236</v>
      </c>
      <c r="I28" s="225" t="s">
        <v>243</v>
      </c>
      <c r="J28" s="224"/>
      <c r="K28" s="32"/>
      <c r="L28" s="275">
        <v>3.7</v>
      </c>
      <c r="M28" s="471">
        <f t="shared" si="1"/>
        <v>3.6199999999999997</v>
      </c>
      <c r="O28" s="93" t="s">
        <v>75</v>
      </c>
      <c r="P28" t="s">
        <v>184</v>
      </c>
    </row>
    <row r="29" spans="1:23">
      <c r="A29" s="593"/>
      <c r="B29" s="60" t="s">
        <v>244</v>
      </c>
      <c r="C29" s="62" t="s">
        <v>236</v>
      </c>
      <c r="D29" s="62" t="s">
        <v>236</v>
      </c>
      <c r="E29" s="62" t="s">
        <v>236</v>
      </c>
      <c r="F29" s="62" t="s">
        <v>236</v>
      </c>
      <c r="G29" s="62" t="s">
        <v>236</v>
      </c>
      <c r="H29" s="69" t="s">
        <v>236</v>
      </c>
      <c r="I29" s="89">
        <v>82</v>
      </c>
      <c r="J29" s="89">
        <v>141</v>
      </c>
      <c r="L29" s="275">
        <v>3.7</v>
      </c>
      <c r="M29" s="471">
        <f t="shared" si="1"/>
        <v>3.6199999999999997</v>
      </c>
      <c r="O29" s="96" t="s">
        <v>245</v>
      </c>
      <c r="P29" t="s">
        <v>184</v>
      </c>
    </row>
    <row r="30" spans="1:23">
      <c r="A30" s="593"/>
      <c r="B30" s="60" t="s">
        <v>246</v>
      </c>
      <c r="C30" s="64">
        <v>155.48546305598433</v>
      </c>
      <c r="D30" s="64">
        <v>47.577767163363731</v>
      </c>
      <c r="E30" s="64">
        <v>203.06323021934804</v>
      </c>
      <c r="F30" s="64">
        <v>39.677263033881395</v>
      </c>
      <c r="G30" s="64">
        <v>46.0000695027232</v>
      </c>
      <c r="H30" s="68">
        <v>247.85173430102637</v>
      </c>
      <c r="I30" s="89">
        <v>82</v>
      </c>
      <c r="J30" s="89">
        <v>146</v>
      </c>
      <c r="K30" s="32"/>
      <c r="L30" s="275">
        <v>3.7</v>
      </c>
      <c r="M30" s="471">
        <f t="shared" si="1"/>
        <v>3.6199999999999997</v>
      </c>
      <c r="O30" s="157" t="s">
        <v>247</v>
      </c>
      <c r="P30" t="s">
        <v>144</v>
      </c>
    </row>
    <row r="31" spans="1:23">
      <c r="A31" s="593"/>
      <c r="B31" s="60" t="s">
        <v>248</v>
      </c>
      <c r="C31" s="62" t="s">
        <v>236</v>
      </c>
      <c r="D31" s="62" t="s">
        <v>236</v>
      </c>
      <c r="E31" s="62" t="s">
        <v>236</v>
      </c>
      <c r="F31" s="62" t="s">
        <v>236</v>
      </c>
      <c r="G31" s="62" t="s">
        <v>236</v>
      </c>
      <c r="H31" s="69" t="s">
        <v>236</v>
      </c>
      <c r="I31" s="89">
        <v>82</v>
      </c>
      <c r="J31" s="89">
        <v>82</v>
      </c>
      <c r="K31" s="32"/>
      <c r="L31" s="275">
        <v>3.7</v>
      </c>
      <c r="M31" s="471">
        <f t="shared" si="1"/>
        <v>3.6199999999999997</v>
      </c>
    </row>
    <row r="32" spans="1:23">
      <c r="A32" s="593"/>
    </row>
    <row r="33" spans="1:3">
      <c r="A33" s="594"/>
    </row>
    <row r="41" spans="1:3">
      <c r="A41" t="s">
        <v>250</v>
      </c>
    </row>
    <row r="43" spans="1:3">
      <c r="A43" t="s">
        <v>251</v>
      </c>
      <c r="B43" t="s">
        <v>252</v>
      </c>
      <c r="C43" t="s">
        <v>253</v>
      </c>
    </row>
    <row r="44" spans="1:3">
      <c r="B44" t="s">
        <v>254</v>
      </c>
      <c r="C44" t="s">
        <v>255</v>
      </c>
    </row>
    <row r="45" spans="1:3">
      <c r="A45" t="s">
        <v>256</v>
      </c>
      <c r="B45">
        <v>100</v>
      </c>
      <c r="C45">
        <v>50</v>
      </c>
    </row>
    <row r="46" spans="1:3">
      <c r="A46" t="s">
        <v>257</v>
      </c>
      <c r="B46">
        <v>210</v>
      </c>
      <c r="C46">
        <v>110</v>
      </c>
    </row>
    <row r="47" spans="1:3">
      <c r="A47" t="s">
        <v>258</v>
      </c>
      <c r="B47">
        <v>370</v>
      </c>
      <c r="C47">
        <v>210</v>
      </c>
    </row>
    <row r="48" spans="1:3">
      <c r="A48" t="s">
        <v>259</v>
      </c>
      <c r="B48">
        <v>580</v>
      </c>
      <c r="C48">
        <v>350</v>
      </c>
    </row>
    <row r="49" spans="1:3">
      <c r="A49" t="s">
        <v>260</v>
      </c>
      <c r="B49">
        <v>830</v>
      </c>
      <c r="C49">
        <v>540</v>
      </c>
    </row>
    <row r="53" spans="1:3">
      <c r="A53" s="32" t="s">
        <v>838</v>
      </c>
    </row>
    <row r="54" spans="1:3">
      <c r="A54">
        <v>2010</v>
      </c>
    </row>
    <row r="55" spans="1:3">
      <c r="A55" s="401">
        <v>2011</v>
      </c>
    </row>
    <row r="56" spans="1:3">
      <c r="A56" s="401">
        <v>2012</v>
      </c>
    </row>
    <row r="57" spans="1:3">
      <c r="A57" s="401">
        <v>2013</v>
      </c>
    </row>
    <row r="58" spans="1:3">
      <c r="A58" s="401">
        <v>2014</v>
      </c>
    </row>
    <row r="59" spans="1:3">
      <c r="A59" s="401">
        <v>2015</v>
      </c>
    </row>
    <row r="60" spans="1:3">
      <c r="A60" s="401">
        <v>2016</v>
      </c>
    </row>
    <row r="61" spans="1:3">
      <c r="A61" s="401">
        <v>2017</v>
      </c>
    </row>
    <row r="62" spans="1:3">
      <c r="A62" s="401">
        <v>2018</v>
      </c>
    </row>
    <row r="63" spans="1:3">
      <c r="A63" s="401">
        <v>2019</v>
      </c>
    </row>
    <row r="64" spans="1:3">
      <c r="A64" s="401">
        <v>2020</v>
      </c>
    </row>
    <row r="65" spans="1:1">
      <c r="A65" s="401">
        <v>2021</v>
      </c>
    </row>
    <row r="66" spans="1:1">
      <c r="A66" s="401">
        <v>2022</v>
      </c>
    </row>
    <row r="67" spans="1:1">
      <c r="A67" s="401">
        <v>2023</v>
      </c>
    </row>
    <row r="68" spans="1:1">
      <c r="A68" s="401">
        <v>2024</v>
      </c>
    </row>
    <row r="69" spans="1:1">
      <c r="A69" s="401">
        <v>2025</v>
      </c>
    </row>
    <row r="70" spans="1:1">
      <c r="A70" s="401">
        <v>2026</v>
      </c>
    </row>
    <row r="71" spans="1:1">
      <c r="A71" s="401">
        <v>2027</v>
      </c>
    </row>
    <row r="72" spans="1:1">
      <c r="A72" s="401">
        <v>2028</v>
      </c>
    </row>
    <row r="73" spans="1:1">
      <c r="A73" s="401">
        <v>2029</v>
      </c>
    </row>
    <row r="74" spans="1:1">
      <c r="A74" s="401">
        <v>2030</v>
      </c>
    </row>
    <row r="75" spans="1:1">
      <c r="A75" s="401"/>
    </row>
    <row r="76" spans="1:1">
      <c r="A76" s="401"/>
    </row>
    <row r="77" spans="1:1">
      <c r="A77" s="401"/>
    </row>
    <row r="78" spans="1:1">
      <c r="A78" s="401"/>
    </row>
    <row r="79" spans="1:1">
      <c r="A79" s="401"/>
    </row>
    <row r="80" spans="1:1">
      <c r="A80" s="401"/>
    </row>
    <row r="81" spans="1:1">
      <c r="A81" s="401"/>
    </row>
    <row r="82" spans="1:1">
      <c r="A82" s="401"/>
    </row>
    <row r="83" spans="1:1">
      <c r="A83" s="401"/>
    </row>
    <row r="84" spans="1:1">
      <c r="A84" s="401"/>
    </row>
    <row r="85" spans="1:1">
      <c r="A85" s="401"/>
    </row>
    <row r="86" spans="1:1">
      <c r="A86" s="401"/>
    </row>
    <row r="87" spans="1:1">
      <c r="A87" s="401"/>
    </row>
    <row r="88" spans="1:1">
      <c r="A88" s="401"/>
    </row>
    <row r="89" spans="1:1">
      <c r="A89" s="401"/>
    </row>
    <row r="90" spans="1:1">
      <c r="A90" s="401"/>
    </row>
    <row r="91" spans="1:1">
      <c r="A91" s="401"/>
    </row>
    <row r="92" spans="1:1">
      <c r="A92" s="401"/>
    </row>
    <row r="93" spans="1:1">
      <c r="A93" s="401"/>
    </row>
    <row r="94" spans="1:1">
      <c r="A94" s="401"/>
    </row>
    <row r="95" spans="1:1">
      <c r="A95" s="401"/>
    </row>
    <row r="96" spans="1:1">
      <c r="A96" s="401"/>
    </row>
    <row r="97" spans="1:1">
      <c r="A97" s="401"/>
    </row>
    <row r="98" spans="1:1">
      <c r="A98" s="401"/>
    </row>
  </sheetData>
  <mergeCells count="1">
    <mergeCell ref="A25:A33"/>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F33D7-B5EC-40D6-B8AC-2D43794AED5E}">
  <sheetPr codeName="Feuil35"/>
  <dimension ref="B3:J8"/>
  <sheetViews>
    <sheetView topLeftCell="B1" workbookViewId="0">
      <selection activeCell="K33" sqref="K33"/>
    </sheetView>
  </sheetViews>
  <sheetFormatPr baseColWidth="10" defaultRowHeight="15"/>
  <cols>
    <col min="2" max="2" width="20.140625" bestFit="1" customWidth="1"/>
    <col min="3" max="3" width="23.140625" bestFit="1" customWidth="1"/>
    <col min="4" max="4" width="24.42578125" bestFit="1" customWidth="1"/>
    <col min="5" max="5" width="25.85546875" bestFit="1" customWidth="1"/>
    <col min="6" max="6" width="22.7109375" bestFit="1" customWidth="1"/>
    <col min="7" max="7" width="27.85546875" bestFit="1" customWidth="1"/>
    <col min="8" max="8" width="29.140625" bestFit="1" customWidth="1"/>
    <col min="9" max="9" width="30.5703125" bestFit="1" customWidth="1"/>
    <col min="10" max="10" width="27.5703125" bestFit="1" customWidth="1"/>
    <col min="11" max="11" width="23.140625" bestFit="1" customWidth="1"/>
    <col min="12" max="12" width="24.42578125" bestFit="1" customWidth="1"/>
    <col min="13" max="13" width="25.85546875" bestFit="1" customWidth="1"/>
    <col min="14" max="14" width="22.7109375" bestFit="1" customWidth="1"/>
    <col min="15" max="15" width="27.85546875" bestFit="1" customWidth="1"/>
    <col min="16" max="16" width="29.140625" bestFit="1" customWidth="1"/>
    <col min="17" max="17" width="30.5703125" bestFit="1" customWidth="1"/>
    <col min="18" max="18" width="27.5703125" bestFit="1" customWidth="1"/>
    <col min="19" max="19" width="23.140625" bestFit="1" customWidth="1"/>
    <col min="20" max="20" width="24.42578125" bestFit="1" customWidth="1"/>
    <col min="21" max="21" width="25.85546875" bestFit="1" customWidth="1"/>
    <col min="22" max="22" width="22.7109375" bestFit="1" customWidth="1"/>
    <col min="23" max="23" width="23.140625" bestFit="1" customWidth="1"/>
    <col min="24" max="24" width="24.42578125" bestFit="1" customWidth="1"/>
    <col min="25" max="25" width="25.85546875" bestFit="1" customWidth="1"/>
    <col min="26" max="26" width="22.7109375" bestFit="1" customWidth="1"/>
    <col min="27" max="27" width="27.85546875" bestFit="1" customWidth="1"/>
    <col min="28" max="28" width="29.140625" bestFit="1" customWidth="1"/>
    <col min="29" max="29" width="30.5703125" bestFit="1" customWidth="1"/>
    <col min="30" max="30" width="27.5703125" bestFit="1" customWidth="1"/>
    <col min="31" max="31" width="27.85546875" bestFit="1" customWidth="1"/>
    <col min="32" max="32" width="29.140625" bestFit="1" customWidth="1"/>
    <col min="33" max="33" width="30.5703125" bestFit="1" customWidth="1"/>
    <col min="34" max="34" width="27.5703125" bestFit="1" customWidth="1"/>
  </cols>
  <sheetData>
    <row r="3" spans="2:10">
      <c r="C3" s="174" t="s">
        <v>74</v>
      </c>
    </row>
    <row r="4" spans="2:10">
      <c r="C4" s="522" t="s">
        <v>26</v>
      </c>
      <c r="G4" s="522" t="s">
        <v>906</v>
      </c>
      <c r="H4" s="522" t="s">
        <v>907</v>
      </c>
      <c r="I4" s="522" t="s">
        <v>908</v>
      </c>
      <c r="J4" s="522" t="s">
        <v>909</v>
      </c>
    </row>
    <row r="5" spans="2:10">
      <c r="C5" s="522" t="s">
        <v>28</v>
      </c>
    </row>
    <row r="6" spans="2:10">
      <c r="B6" s="174" t="s">
        <v>64</v>
      </c>
      <c r="C6" s="522" t="s">
        <v>848</v>
      </c>
      <c r="D6" s="522" t="s">
        <v>843</v>
      </c>
      <c r="E6" s="522" t="s">
        <v>910</v>
      </c>
      <c r="F6" s="522" t="s">
        <v>911</v>
      </c>
    </row>
    <row r="7" spans="2:10">
      <c r="B7" s="88">
        <v>2012</v>
      </c>
      <c r="C7" s="233">
        <v>0</v>
      </c>
      <c r="D7" s="233">
        <v>0</v>
      </c>
      <c r="E7" s="233">
        <v>0</v>
      </c>
      <c r="F7" s="233">
        <v>0</v>
      </c>
      <c r="G7" s="233">
        <v>0</v>
      </c>
      <c r="H7" s="233">
        <v>0</v>
      </c>
      <c r="I7" s="233">
        <v>0</v>
      </c>
      <c r="J7" s="233">
        <v>0</v>
      </c>
    </row>
    <row r="8" spans="2:10">
      <c r="B8" s="88" t="s">
        <v>86</v>
      </c>
      <c r="C8" s="233">
        <v>0</v>
      </c>
      <c r="D8" s="233">
        <v>0</v>
      </c>
      <c r="E8" s="233">
        <v>0</v>
      </c>
      <c r="F8" s="233">
        <v>0</v>
      </c>
      <c r="G8" s="233">
        <v>0</v>
      </c>
      <c r="H8" s="233">
        <v>0</v>
      </c>
      <c r="I8" s="233">
        <v>0</v>
      </c>
      <c r="J8" s="233">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6"/>
  <dimension ref="A2:BJ240"/>
  <sheetViews>
    <sheetView topLeftCell="A7" zoomScale="55" zoomScaleNormal="55" workbookViewId="0">
      <selection activeCell="AW10" sqref="AW10"/>
    </sheetView>
  </sheetViews>
  <sheetFormatPr baseColWidth="10" defaultColWidth="11.42578125" defaultRowHeight="15"/>
  <cols>
    <col min="1" max="1" width="16.140625" customWidth="1"/>
    <col min="2" max="2" width="9.5703125" customWidth="1"/>
    <col min="3" max="43" width="13.28515625" customWidth="1"/>
  </cols>
  <sheetData>
    <row r="2" spans="1:62" ht="18.75">
      <c r="C2" s="596" t="s">
        <v>98</v>
      </c>
      <c r="D2" s="597"/>
      <c r="E2" s="597"/>
      <c r="F2" s="597"/>
      <c r="G2" s="597"/>
      <c r="H2" s="597"/>
      <c r="I2" s="597"/>
      <c r="J2" s="597"/>
      <c r="K2" s="598"/>
    </row>
    <row r="3" spans="1:62" ht="15.75" thickBot="1">
      <c r="H3" s="166" t="s">
        <v>99</v>
      </c>
      <c r="N3">
        <v>2021</v>
      </c>
      <c r="X3">
        <v>2022</v>
      </c>
      <c r="AH3">
        <v>2023</v>
      </c>
      <c r="AR3">
        <v>2024</v>
      </c>
      <c r="BB3">
        <v>2025</v>
      </c>
    </row>
    <row r="4" spans="1:62" ht="75.75" thickBot="1">
      <c r="A4" s="270" t="s">
        <v>507</v>
      </c>
      <c r="C4" s="130" t="s">
        <v>100</v>
      </c>
      <c r="D4" s="131" t="s">
        <v>101</v>
      </c>
      <c r="E4" s="132" t="s">
        <v>102</v>
      </c>
      <c r="F4" s="133" t="s">
        <v>103</v>
      </c>
      <c r="G4" s="134" t="s">
        <v>104</v>
      </c>
      <c r="H4" s="167" t="s">
        <v>105</v>
      </c>
      <c r="I4" s="135" t="s">
        <v>106</v>
      </c>
      <c r="J4" s="135" t="s">
        <v>107</v>
      </c>
      <c r="K4" s="168" t="s">
        <v>108</v>
      </c>
      <c r="L4" s="136" t="s">
        <v>109</v>
      </c>
      <c r="M4" s="137"/>
      <c r="N4" s="131" t="s">
        <v>110</v>
      </c>
      <c r="O4" s="132" t="s">
        <v>102</v>
      </c>
      <c r="P4" s="138" t="s">
        <v>103</v>
      </c>
      <c r="Q4" s="139" t="s">
        <v>104</v>
      </c>
      <c r="R4" s="167" t="s">
        <v>105</v>
      </c>
      <c r="S4" s="135" t="s">
        <v>106</v>
      </c>
      <c r="T4" s="135" t="s">
        <v>107</v>
      </c>
      <c r="U4" s="135" t="s">
        <v>108</v>
      </c>
      <c r="V4" s="136" t="s">
        <v>109</v>
      </c>
      <c r="W4" s="137"/>
      <c r="X4" s="130" t="s">
        <v>111</v>
      </c>
      <c r="Y4" s="132" t="s">
        <v>102</v>
      </c>
      <c r="Z4" s="133" t="s">
        <v>103</v>
      </c>
      <c r="AA4" s="134" t="s">
        <v>104</v>
      </c>
      <c r="AB4" s="167" t="s">
        <v>105</v>
      </c>
      <c r="AC4" s="135" t="s">
        <v>106</v>
      </c>
      <c r="AD4" s="135" t="s">
        <v>107</v>
      </c>
      <c r="AE4" s="135" t="s">
        <v>108</v>
      </c>
      <c r="AF4" s="136" t="s">
        <v>109</v>
      </c>
      <c r="AG4" s="137"/>
      <c r="AH4" s="130" t="s">
        <v>112</v>
      </c>
      <c r="AI4" s="132" t="s">
        <v>102</v>
      </c>
      <c r="AJ4" s="133" t="s">
        <v>103</v>
      </c>
      <c r="AK4" s="134" t="s">
        <v>104</v>
      </c>
      <c r="AL4" s="167" t="s">
        <v>105</v>
      </c>
      <c r="AM4" s="135" t="s">
        <v>106</v>
      </c>
      <c r="AN4" s="135" t="s">
        <v>107</v>
      </c>
      <c r="AO4" s="135" t="s">
        <v>108</v>
      </c>
      <c r="AP4" s="136" t="s">
        <v>109</v>
      </c>
      <c r="AQ4" s="137"/>
      <c r="AR4" s="130" t="s">
        <v>113</v>
      </c>
      <c r="AS4" s="132" t="s">
        <v>102</v>
      </c>
      <c r="AT4" s="133" t="s">
        <v>103</v>
      </c>
      <c r="AU4" s="134" t="s">
        <v>104</v>
      </c>
      <c r="AV4" s="167" t="s">
        <v>105</v>
      </c>
      <c r="AW4" s="135" t="s">
        <v>106</v>
      </c>
      <c r="AX4" s="135" t="s">
        <v>107</v>
      </c>
      <c r="AY4" s="135" t="s">
        <v>108</v>
      </c>
      <c r="AZ4" s="136" t="s">
        <v>109</v>
      </c>
      <c r="BB4" s="130" t="s">
        <v>113</v>
      </c>
      <c r="BC4" s="132" t="s">
        <v>102</v>
      </c>
      <c r="BD4" s="133" t="s">
        <v>103</v>
      </c>
      <c r="BE4" s="134" t="s">
        <v>104</v>
      </c>
      <c r="BF4" s="167" t="s">
        <v>105</v>
      </c>
      <c r="BG4" s="135" t="s">
        <v>106</v>
      </c>
      <c r="BH4" s="135" t="s">
        <v>107</v>
      </c>
      <c r="BI4" s="135" t="s">
        <v>108</v>
      </c>
      <c r="BJ4" s="136" t="s">
        <v>109</v>
      </c>
    </row>
    <row r="5" spans="1:62">
      <c r="C5" t="str">
        <f>'CALCUL DEET'!D11</f>
        <v>Année</v>
      </c>
      <c r="D5" s="128" t="e">
        <f>'CALCUL DEET'!D18</f>
        <v>#N/A</v>
      </c>
      <c r="E5" s="128">
        <f>'CALCUL DEET'!D30</f>
        <v>0</v>
      </c>
      <c r="F5" s="128">
        <f>'CALCUL DEET'!D14</f>
        <v>0</v>
      </c>
      <c r="G5" s="120" t="e">
        <f>GETPIVOTDATA("Somme de Conso_mois_U ",#REF!,"ANNEE",C5,"Type","Consommation","Detail usage","General EF")</f>
        <v>#REF!</v>
      </c>
      <c r="H5" s="169">
        <f>IF('CALCUL DEET'!D30=0,0,SUM('CALCUL DEET'!D36:'CALCUL DEET'!D38))</f>
        <v>0</v>
      </c>
      <c r="I5" s="169">
        <f>'CALCUL DEET'!D35</f>
        <v>0</v>
      </c>
      <c r="J5" s="169">
        <f>IF('CALCUL DEET'!D30=0,0,SUM('CALCUL DEET'!D35:'CALCUL DEET'!D38))</f>
        <v>0</v>
      </c>
      <c r="K5" s="169">
        <f>'CALCUL DEET'!D33</f>
        <v>0</v>
      </c>
      <c r="L5" s="169" t="e">
        <f>(G5/(VLOOKUP(C5,Site!$B$8:$G$23,5,FALSE)+VLOOKUP(C5,Site!$B$8:$G$23,6,FALSE))*1000/(DATE(C5,12,31)-DATE(C5,1,1)+1))</f>
        <v>#REF!</v>
      </c>
      <c r="N5" s="128">
        <f>'CALCUL DEET'!F18</f>
        <v>0</v>
      </c>
      <c r="O5" s="128">
        <f>'CALCUL DEET'!F30</f>
        <v>0</v>
      </c>
      <c r="P5" s="128">
        <f>'CALCUL DEET'!F14</f>
        <v>0</v>
      </c>
      <c r="Q5" s="120" t="e">
        <f>GETPIVOTDATA("Somme de Conso_mois_U ",#REF!,"ANNEE",N3,"Type","Consommation","Detail usage","General EF")</f>
        <v>#REF!</v>
      </c>
      <c r="R5" s="169">
        <f>IF('CALCUL DEET'!F30=0,0,SUM('CALCUL DEET'!F36:'CALCUL DEET'!F38))</f>
        <v>0</v>
      </c>
      <c r="S5" s="169" t="e">
        <f>'CALCUL DEET'!F35</f>
        <v>#DIV/0!</v>
      </c>
      <c r="T5" s="169">
        <f>IF('CALCUL DEET'!F30=0,0,SUM('CALCUL DEET'!F35:'CALCUL DEET'!F38))</f>
        <v>0</v>
      </c>
      <c r="U5" s="169" t="e">
        <f>'CALCUL DEET'!F33</f>
        <v>#DIV/0!</v>
      </c>
      <c r="V5" s="169" t="e">
        <f>(Q5/(VLOOKUP(N3,Site!$B$8:$G$23,5,FALSE)+VLOOKUP(N3,Site!$B$8:$G$23,6,FALSE)))*1000/(DATE(N3,12,31)-DATE(N3,1,1)+1)</f>
        <v>#REF!</v>
      </c>
      <c r="X5" s="128">
        <f>'CALCUL DEET'!G18</f>
        <v>0</v>
      </c>
      <c r="Y5" s="128">
        <f>'CALCUL DEET'!G30</f>
        <v>0</v>
      </c>
      <c r="Z5" s="128">
        <f>'CALCUL DEET'!G14</f>
        <v>0</v>
      </c>
      <c r="AA5" s="120" t="e">
        <f>GETPIVOTDATA("Somme de Conso_mois_U ",#REF!,"ANNEE",X3,"Type","Consommation","Detail usage","General EF")</f>
        <v>#REF!</v>
      </c>
      <c r="AB5" s="169">
        <f>IF('CALCUL DEET'!G30=0,0,SUM('CALCUL DEET'!G36:'CALCUL DEET'!G38))</f>
        <v>0</v>
      </c>
      <c r="AC5" s="169" t="e">
        <f>'CALCUL DEET'!G35</f>
        <v>#DIV/0!</v>
      </c>
      <c r="AD5" s="169">
        <f>IF('CALCUL DEET'!G30=0,0,SUM('CALCUL DEET'!G35:'CALCUL DEET'!G38))</f>
        <v>0</v>
      </c>
      <c r="AE5" s="169" t="e">
        <f>'CALCUL DEET'!G33</f>
        <v>#DIV/0!</v>
      </c>
      <c r="AF5" s="169" t="e">
        <f>(AA5/(VLOOKUP(X3,Site!$B$8:$G$23,5,FALSE)+VLOOKUP(X3,Site!$B$8:$G$23,6,FALSE)))*1000/(DATE(X3,12,31)-DATE(X3,1,1)+1)</f>
        <v>#REF!</v>
      </c>
      <c r="AH5" s="128">
        <f>'CALCUL DEET'!H18</f>
        <v>0</v>
      </c>
      <c r="AI5" s="128">
        <f>'CALCUL DEET'!H30</f>
        <v>0</v>
      </c>
      <c r="AJ5" s="128">
        <f>'CALCUL DEET'!H14</f>
        <v>0</v>
      </c>
      <c r="AK5" s="120" t="e">
        <f>GETPIVOTDATA("Somme de Conso_mois_U ",#REF!,"ANNEE",AH3,"Type","Consommation","Detail usage","General EF")</f>
        <v>#REF!</v>
      </c>
      <c r="AL5" s="169">
        <f>IF('CALCUL DEET'!H30=0,0,SUM('CALCUL DEET'!H36:'CALCUL DEET'!H38))</f>
        <v>0</v>
      </c>
      <c r="AM5" s="169" t="e">
        <f>'CALCUL DEET'!H35</f>
        <v>#DIV/0!</v>
      </c>
      <c r="AN5" s="169">
        <f>IF('CALCUL DEET'!H30=0,0,SUM('CALCUL DEET'!H35:'CALCUL DEET'!H38))</f>
        <v>0</v>
      </c>
      <c r="AO5" s="169" t="e">
        <f>'CALCUL DEET'!H33</f>
        <v>#DIV/0!</v>
      </c>
      <c r="AP5" s="169" t="e">
        <f>(AK5/(VLOOKUP(AH3,Site!$B$8:$G$23,5,FALSE)+VLOOKUP(AH3,Site!$B$8:$G$23,6,FALSE)))*1000/(DATE(AH3,12,31)-DATE(AH3,1,1)+1)</f>
        <v>#REF!</v>
      </c>
      <c r="AR5" s="128">
        <f>'CALCUL DEET'!I18</f>
        <v>0</v>
      </c>
      <c r="AS5" s="128">
        <f>'CALCUL DEET'!I30</f>
        <v>0</v>
      </c>
      <c r="AT5" s="128">
        <f>'CALCUL DEET'!I14</f>
        <v>0</v>
      </c>
      <c r="AU5" s="120" t="e">
        <f>GETPIVOTDATA("Somme de Conso_mois_U ",#REF!,"ANNEE",AR3,"Type","Consommation","Detail usage","General EF")</f>
        <v>#REF!</v>
      </c>
      <c r="AV5" s="169">
        <f>IF('CALCUL DEET'!I30=0,0,SUM('CALCUL DEET'!I36:'CALCUL DEET'!I38))</f>
        <v>0</v>
      </c>
      <c r="AW5" s="169" t="e">
        <f>'CALCUL DEET'!I35</f>
        <v>#DIV/0!</v>
      </c>
      <c r="AX5" s="169">
        <f>IF('CALCUL DEET'!I30=0,0,SUM('CALCUL DEET'!I35:'CALCUL DEET'!I38))</f>
        <v>0</v>
      </c>
      <c r="AY5" s="169" t="e">
        <f>'CALCUL DEET'!I33</f>
        <v>#DIV/0!</v>
      </c>
      <c r="AZ5" s="169" t="e">
        <f>(AU5/(VLOOKUP(AR3,Site!$B$8:$G$23,5,FALSE)+VLOOKUP(AR3,Site!$B$8:$G$23,6,FALSE)))*1000/(DATE(AR3,12,31)-DATE(AR3,1,1)+1)</f>
        <v>#REF!</v>
      </c>
      <c r="BB5" s="128">
        <f>'CALCUL DEET'!J18</f>
        <v>0</v>
      </c>
      <c r="BC5" s="128">
        <f>'CALCUL DEET'!J30</f>
        <v>0</v>
      </c>
      <c r="BD5" s="128">
        <f>'CALCUL DEET'!J14</f>
        <v>0</v>
      </c>
      <c r="BE5" s="120" t="e">
        <f>GETPIVOTDATA("Somme de Conso_mois_U ",#REF!,"ANNEE",BB3,"Type","Consommation","Detail usage","General EF")</f>
        <v>#REF!</v>
      </c>
      <c r="BF5" s="169">
        <f>IF('CALCUL DEET'!J30=0,0,SUM('CALCUL DEET'!J36:'CALCUL DEET'!J38))</f>
        <v>0</v>
      </c>
      <c r="BG5" s="169" t="e">
        <f>'CALCUL DEET'!J35</f>
        <v>#DIV/0!</v>
      </c>
      <c r="BH5" s="169">
        <f>IF('CALCUL DEET'!J30=0,0,SUM('CALCUL DEET'!J35:'CALCUL DEET'!J38))</f>
        <v>0</v>
      </c>
      <c r="BI5" s="169" t="e">
        <f>'CALCUL DEET'!J33</f>
        <v>#DIV/0!</v>
      </c>
      <c r="BJ5" s="169" t="e">
        <f>(BE5/(VLOOKUP(BB3,Site!$B$8:$G$23,5,FALSE)+VLOOKUP(BB3,Site!$B$8:$G$23,6,FALSE)))*1000/(DATE(BB3,12,31)-DATE(BB3,1,1)+1)</f>
        <v>#REF!</v>
      </c>
    </row>
    <row r="6" spans="1:62">
      <c r="K6" s="170" t="s">
        <v>114</v>
      </c>
    </row>
    <row r="7" spans="1:62" s="255" customFormat="1">
      <c r="F7" s="255">
        <v>2021</v>
      </c>
      <c r="G7" s="255">
        <v>2022</v>
      </c>
      <c r="H7" s="255">
        <v>2023</v>
      </c>
      <c r="I7" s="255">
        <v>2024</v>
      </c>
      <c r="J7" s="255">
        <v>2025</v>
      </c>
      <c r="K7" s="255">
        <v>2026</v>
      </c>
      <c r="N7" s="255">
        <v>2021</v>
      </c>
      <c r="O7" s="255">
        <v>2022</v>
      </c>
      <c r="P7" s="255">
        <v>2023</v>
      </c>
      <c r="Q7" s="255">
        <v>2024</v>
      </c>
      <c r="R7" s="255">
        <v>2025</v>
      </c>
      <c r="S7" s="255">
        <v>2026</v>
      </c>
      <c r="U7" s="255" t="str">
        <f>C10</f>
        <v>Année</v>
      </c>
      <c r="V7" s="255">
        <v>2021</v>
      </c>
      <c r="W7" s="255">
        <v>2022</v>
      </c>
      <c r="X7" s="255">
        <v>2023</v>
      </c>
      <c r="Y7" s="255">
        <v>2024</v>
      </c>
      <c r="Z7" s="255">
        <v>2025</v>
      </c>
      <c r="AA7" s="255">
        <v>2026</v>
      </c>
      <c r="AD7" s="255">
        <v>2021</v>
      </c>
      <c r="AE7" s="255">
        <v>2022</v>
      </c>
      <c r="AF7" s="255">
        <v>2023</v>
      </c>
      <c r="AG7" s="255">
        <v>2024</v>
      </c>
      <c r="AH7" s="255">
        <v>2025</v>
      </c>
      <c r="AI7" s="255">
        <v>2026</v>
      </c>
      <c r="AL7" s="255">
        <v>2021</v>
      </c>
      <c r="AM7" s="255">
        <v>2022</v>
      </c>
      <c r="AN7" s="255">
        <v>2023</v>
      </c>
      <c r="AO7" s="255">
        <v>2024</v>
      </c>
      <c r="AP7" s="255">
        <v>2025</v>
      </c>
      <c r="AQ7" s="255">
        <v>2026</v>
      </c>
    </row>
    <row r="8" spans="1:62" ht="75">
      <c r="A8" s="270" t="s">
        <v>506</v>
      </c>
      <c r="C8" s="269" t="s">
        <v>100</v>
      </c>
      <c r="D8" s="268"/>
      <c r="E8" s="525" t="s">
        <v>471</v>
      </c>
      <c r="F8" s="525" t="s">
        <v>472</v>
      </c>
      <c r="G8" s="525" t="s">
        <v>473</v>
      </c>
      <c r="H8" s="525" t="s">
        <v>474</v>
      </c>
      <c r="I8" s="525" t="s">
        <v>475</v>
      </c>
      <c r="J8" s="525" t="s">
        <v>476</v>
      </c>
      <c r="K8" s="525" t="s">
        <v>477</v>
      </c>
      <c r="L8" s="268"/>
      <c r="M8" s="527" t="s">
        <v>478</v>
      </c>
      <c r="N8" s="527" t="s">
        <v>479</v>
      </c>
      <c r="O8" s="527" t="s">
        <v>480</v>
      </c>
      <c r="P8" s="527" t="s">
        <v>481</v>
      </c>
      <c r="Q8" s="527" t="s">
        <v>482</v>
      </c>
      <c r="R8" s="527" t="s">
        <v>483</v>
      </c>
      <c r="S8" s="527" t="s">
        <v>484</v>
      </c>
      <c r="T8" s="268"/>
      <c r="U8" s="529" t="s">
        <v>485</v>
      </c>
      <c r="V8" s="529" t="s">
        <v>486</v>
      </c>
      <c r="W8" s="529" t="s">
        <v>487</v>
      </c>
      <c r="X8" s="529" t="s">
        <v>488</v>
      </c>
      <c r="Y8" s="529" t="s">
        <v>489</v>
      </c>
      <c r="Z8" s="529" t="s">
        <v>490</v>
      </c>
      <c r="AA8" s="529" t="s">
        <v>491</v>
      </c>
      <c r="AB8" s="268"/>
      <c r="AC8" s="530" t="s">
        <v>492</v>
      </c>
      <c r="AD8" s="530" t="s">
        <v>493</v>
      </c>
      <c r="AE8" s="530" t="s">
        <v>494</v>
      </c>
      <c r="AF8" s="530" t="s">
        <v>495</v>
      </c>
      <c r="AG8" s="530" t="s">
        <v>496</v>
      </c>
      <c r="AH8" s="530" t="s">
        <v>497</v>
      </c>
      <c r="AI8" s="530" t="s">
        <v>498</v>
      </c>
      <c r="AJ8" s="268"/>
      <c r="AK8" s="530" t="s">
        <v>499</v>
      </c>
      <c r="AL8" s="530" t="s">
        <v>500</v>
      </c>
      <c r="AM8" s="530" t="s">
        <v>501</v>
      </c>
      <c r="AN8" s="530" t="s">
        <v>502</v>
      </c>
      <c r="AO8" s="530" t="s">
        <v>503</v>
      </c>
      <c r="AP8" s="530" t="s">
        <v>504</v>
      </c>
      <c r="AQ8" s="530" t="s">
        <v>505</v>
      </c>
    </row>
    <row r="9" spans="1:62" s="255" customFormat="1">
      <c r="C9" s="269"/>
      <c r="D9" s="268"/>
      <c r="E9" s="526">
        <f>'CALCUL DEET'!D30</f>
        <v>0</v>
      </c>
      <c r="F9" s="526">
        <f>'CALCUL DEET'!F30</f>
        <v>0</v>
      </c>
      <c r="G9" s="526">
        <f>'CALCUL DEET'!G30</f>
        <v>0</v>
      </c>
      <c r="H9" s="526">
        <f>'CALCUL DEET'!H30</f>
        <v>0</v>
      </c>
      <c r="I9" s="526">
        <f>'CALCUL DEET'!I30</f>
        <v>0</v>
      </c>
      <c r="J9" s="526">
        <f>'CALCUL DEET'!J30</f>
        <v>0</v>
      </c>
      <c r="K9" s="526">
        <f>'CALCUL DEET'!K30</f>
        <v>0</v>
      </c>
      <c r="L9" s="268"/>
      <c r="M9" s="527">
        <f>'CALCUL DEET'!D14</f>
        <v>0</v>
      </c>
      <c r="N9" s="528">
        <f>'CALCUL DEET'!F14</f>
        <v>0</v>
      </c>
      <c r="O9" s="528">
        <f>'CALCUL DEET'!G14</f>
        <v>0</v>
      </c>
      <c r="P9" s="528">
        <f>'CALCUL DEET'!H14</f>
        <v>0</v>
      </c>
      <c r="Q9" s="528">
        <f>'CALCUL DEET'!I14</f>
        <v>0</v>
      </c>
      <c r="R9" s="528">
        <f>'CALCUL DEET'!J14</f>
        <v>0</v>
      </c>
      <c r="S9" s="528">
        <f>'CALCUL DEET'!K14</f>
        <v>0</v>
      </c>
      <c r="T9" s="268"/>
      <c r="U9" s="529">
        <f>HLOOKUP(U7,'CALCUL DEET'!C11:N40,30,0)</f>
        <v>0</v>
      </c>
      <c r="V9" s="529">
        <f>HLOOKUP(V7,'CALCUL DEET'!D11:O40,30,0)</f>
        <v>0</v>
      </c>
      <c r="W9" s="529">
        <f>HLOOKUP(W7,'CALCUL DEET'!E11:P40,30,0)</f>
        <v>0</v>
      </c>
      <c r="X9" s="529">
        <f>HLOOKUP(X7,'CALCUL DEET'!F11:Q40,30,0)</f>
        <v>0</v>
      </c>
      <c r="Y9" s="529">
        <f>HLOOKUP(Y7,'CALCUL DEET'!G11:R40,30,0)</f>
        <v>0</v>
      </c>
      <c r="Z9" s="529">
        <f>HLOOKUP(Z7,'CALCUL DEET'!H11:S40,30,0)</f>
        <v>0</v>
      </c>
      <c r="AA9" s="529">
        <f>HLOOKUP(AA7,'CALCUL DEET'!I11:T40,30,0)</f>
        <v>0</v>
      </c>
      <c r="AB9" s="268"/>
      <c r="AC9" s="530">
        <f>IF('CALCUL DEET'!D30=0,0,SUM('CALCUL DEET'!D36:'CALCUL DEET'!D38))</f>
        <v>0</v>
      </c>
      <c r="AD9" s="530">
        <f>IF('CALCUL DEET'!F30=0,0,SUM('CALCUL DEET'!F36:'CALCUL DEET'!F38))</f>
        <v>0</v>
      </c>
      <c r="AE9" s="530">
        <f>IF('CALCUL DEET'!G30=0,0,SUM('CALCUL DEET'!G36:'CALCUL DEET'!G38))</f>
        <v>0</v>
      </c>
      <c r="AF9" s="530">
        <f>IF('CALCUL DEET'!H30=0,0,SUM('CALCUL DEET'!H36:'CALCUL DEET'!H38))</f>
        <v>0</v>
      </c>
      <c r="AG9" s="530">
        <f>IF('CALCUL DEET'!I30=0,0,SUM('CALCUL DEET'!I36:'CALCUL DEET'!I38))</f>
        <v>0</v>
      </c>
      <c r="AH9" s="530">
        <f>IF('CALCUL DEET'!J30=0,0,SUM('CALCUL DEET'!J36:'CALCUL DEET'!J38))</f>
        <v>0</v>
      </c>
      <c r="AI9" s="530">
        <f>IF('CALCUL DEET'!K30=0,0,SUM('CALCUL DEET'!K36:'CALCUL DEET'!K38))</f>
        <v>0</v>
      </c>
      <c r="AJ9" s="268"/>
      <c r="AK9" s="530">
        <f>'CALCUL DEET'!D35</f>
        <v>0</v>
      </c>
      <c r="AL9" s="530" t="e">
        <f>'CALCUL DEET'!F35</f>
        <v>#DIV/0!</v>
      </c>
      <c r="AM9" s="530" t="e">
        <f>'CALCUL DEET'!G35</f>
        <v>#DIV/0!</v>
      </c>
      <c r="AN9" s="530" t="e">
        <f>'CALCUL DEET'!H35</f>
        <v>#DIV/0!</v>
      </c>
      <c r="AO9" s="530" t="e">
        <f>'CALCUL DEET'!I35</f>
        <v>#DIV/0!</v>
      </c>
      <c r="AP9" s="530" t="e">
        <f>'CALCUL DEET'!J35</f>
        <v>#DIV/0!</v>
      </c>
      <c r="AQ9" s="530">
        <f>'CALCUL DEET'!K35</f>
        <v>0</v>
      </c>
    </row>
    <row r="10" spans="1:62" s="255" customFormat="1" ht="30">
      <c r="A10" s="272" t="s">
        <v>508</v>
      </c>
      <c r="C10" s="481" t="str">
        <f>'CALCUL DEET'!D11</f>
        <v>Année</v>
      </c>
      <c r="D10" s="483">
        <f ca="1">TODAY()</f>
        <v>46113</v>
      </c>
      <c r="E10" s="482" t="str">
        <f t="shared" ref="E10:K10" si="0">IF($A$12&lt;E7,"",IF(E9=0,"",E9))</f>
        <v/>
      </c>
      <c r="F10" s="482" t="str">
        <f t="shared" si="0"/>
        <v/>
      </c>
      <c r="G10" s="482" t="str">
        <f t="shared" si="0"/>
        <v/>
      </c>
      <c r="H10" s="482" t="str">
        <f t="shared" si="0"/>
        <v/>
      </c>
      <c r="I10" s="482" t="str">
        <f t="shared" si="0"/>
        <v/>
      </c>
      <c r="J10" s="482" t="str">
        <f t="shared" si="0"/>
        <v/>
      </c>
      <c r="K10" s="482" t="str">
        <f t="shared" si="0"/>
        <v/>
      </c>
      <c r="L10" s="483">
        <f ca="1">TODAY()</f>
        <v>46113</v>
      </c>
      <c r="M10" s="482" t="str">
        <f t="shared" ref="M10:S10" si="1">IF($A$12&lt;M7,"",IF(M9=0,"",M9))</f>
        <v/>
      </c>
      <c r="N10" s="482" t="str">
        <f t="shared" si="1"/>
        <v/>
      </c>
      <c r="O10" s="482" t="str">
        <f t="shared" si="1"/>
        <v/>
      </c>
      <c r="P10" s="482" t="str">
        <f t="shared" si="1"/>
        <v/>
      </c>
      <c r="Q10" s="482" t="str">
        <f t="shared" si="1"/>
        <v/>
      </c>
      <c r="R10" s="482" t="str">
        <f t="shared" si="1"/>
        <v/>
      </c>
      <c r="S10" s="482" t="str">
        <f t="shared" si="1"/>
        <v/>
      </c>
      <c r="T10" s="483">
        <f ca="1">TODAY()</f>
        <v>46113</v>
      </c>
      <c r="U10" s="482" t="str">
        <f>IF($A$12&lt;U7,"",IF(U9=0,"",U9))</f>
        <v/>
      </c>
      <c r="V10" s="482" t="str">
        <f t="shared" ref="V10:AA10" si="2">IF($A$12&lt;V7,"",IF(V9=0,"",V9))</f>
        <v/>
      </c>
      <c r="W10" s="482" t="str">
        <f t="shared" si="2"/>
        <v/>
      </c>
      <c r="X10" s="482" t="str">
        <f t="shared" si="2"/>
        <v/>
      </c>
      <c r="Y10" s="482" t="str">
        <f t="shared" si="2"/>
        <v/>
      </c>
      <c r="Z10" s="482" t="str">
        <f t="shared" si="2"/>
        <v/>
      </c>
      <c r="AA10" s="482" t="str">
        <f t="shared" si="2"/>
        <v/>
      </c>
      <c r="AB10" s="483">
        <f ca="1">TODAY()</f>
        <v>46113</v>
      </c>
      <c r="AC10" s="482" t="str">
        <f t="shared" ref="AC10:AI10" si="3">IF($A$12&lt;AC7,"",IF(AC9=0,"",AC9))</f>
        <v/>
      </c>
      <c r="AD10" s="482" t="str">
        <f t="shared" si="3"/>
        <v/>
      </c>
      <c r="AE10" s="482" t="str">
        <f t="shared" si="3"/>
        <v/>
      </c>
      <c r="AF10" s="482" t="str">
        <f t="shared" si="3"/>
        <v/>
      </c>
      <c r="AG10" s="482" t="str">
        <f t="shared" si="3"/>
        <v/>
      </c>
      <c r="AH10" s="482" t="str">
        <f t="shared" si="3"/>
        <v/>
      </c>
      <c r="AI10" s="482" t="str">
        <f t="shared" si="3"/>
        <v/>
      </c>
      <c r="AJ10" s="483">
        <f ca="1">TODAY()</f>
        <v>46113</v>
      </c>
      <c r="AK10" s="482" t="str">
        <f t="shared" ref="AK10:AQ10" si="4">IF($A$12&lt;AK7,"",IF(AK9=0,"0",AK9))</f>
        <v>0</v>
      </c>
      <c r="AL10" s="482" t="e">
        <f t="shared" si="4"/>
        <v>#DIV/0!</v>
      </c>
      <c r="AM10" s="482" t="e">
        <f t="shared" si="4"/>
        <v>#DIV/0!</v>
      </c>
      <c r="AN10" s="482" t="e">
        <f t="shared" si="4"/>
        <v>#DIV/0!</v>
      </c>
      <c r="AO10" s="482" t="e">
        <f t="shared" si="4"/>
        <v>#DIV/0!</v>
      </c>
      <c r="AP10" s="482" t="e">
        <f t="shared" si="4"/>
        <v>#DIV/0!</v>
      </c>
      <c r="AQ10" s="482" t="str">
        <f t="shared" si="4"/>
        <v/>
      </c>
      <c r="AR10" s="276"/>
    </row>
    <row r="11" spans="1:62">
      <c r="A11" s="272"/>
    </row>
    <row r="12" spans="1:62">
      <c r="A12" s="271">
        <f>'CALCUL DEET'!$R$14</f>
        <v>2025</v>
      </c>
      <c r="R12" s="267"/>
      <c r="S12" s="267"/>
      <c r="T12" s="267"/>
      <c r="U12" s="267"/>
      <c r="V12" s="267"/>
      <c r="W12" s="267"/>
      <c r="X12" s="267"/>
      <c r="Y12" s="267"/>
      <c r="Z12" s="267"/>
      <c r="AA12" s="267"/>
      <c r="AP12" s="215"/>
    </row>
    <row r="13" spans="1:62" s="267" customFormat="1" ht="18.75">
      <c r="A13" s="275"/>
      <c r="C13" s="274"/>
      <c r="D13" s="274"/>
      <c r="E13" s="274"/>
      <c r="F13" s="274"/>
      <c r="G13" s="274"/>
      <c r="H13" s="274"/>
      <c r="I13" s="274"/>
      <c r="J13" s="274"/>
      <c r="K13" s="274"/>
    </row>
    <row r="14" spans="1:62" s="267" customFormat="1" ht="18.75">
      <c r="A14" s="275"/>
      <c r="C14" s="596" t="s">
        <v>115</v>
      </c>
      <c r="D14" s="597"/>
      <c r="E14" s="597"/>
      <c r="F14" s="597"/>
      <c r="G14" s="597"/>
      <c r="H14" s="597"/>
      <c r="I14" s="597"/>
      <c r="J14" s="597"/>
      <c r="K14" s="598"/>
    </row>
    <row r="15" spans="1:62">
      <c r="R15" s="267"/>
      <c r="S15" s="267"/>
      <c r="T15" s="267"/>
      <c r="U15" s="267"/>
      <c r="V15" s="267"/>
      <c r="W15" s="267"/>
      <c r="X15" s="267"/>
      <c r="Y15" s="267"/>
      <c r="Z15" s="267"/>
      <c r="AA15" s="267"/>
    </row>
    <row r="16" spans="1:62">
      <c r="C16" t="s">
        <v>116</v>
      </c>
      <c r="R16" s="267"/>
      <c r="S16" s="267"/>
      <c r="T16" s="267"/>
      <c r="U16" s="267"/>
      <c r="V16" s="267"/>
      <c r="W16" s="267"/>
      <c r="X16" s="267"/>
      <c r="Y16" s="267"/>
      <c r="Z16" s="267"/>
      <c r="AA16" s="267"/>
    </row>
    <row r="17" spans="1:41">
      <c r="R17" s="267"/>
      <c r="S17" s="267"/>
      <c r="T17" s="267"/>
      <c r="U17" s="487"/>
      <c r="V17" s="267"/>
      <c r="W17" s="267"/>
      <c r="X17" s="267"/>
      <c r="Y17" s="267"/>
      <c r="Z17" s="267"/>
      <c r="AA17" s="267"/>
    </row>
    <row r="18" spans="1:41">
      <c r="C18" t="s">
        <v>117</v>
      </c>
      <c r="R18" s="267"/>
      <c r="S18" s="267"/>
      <c r="T18" s="267"/>
      <c r="U18" s="267"/>
      <c r="V18" s="267"/>
      <c r="W18" s="267"/>
      <c r="X18" s="267"/>
      <c r="Y18" s="267"/>
      <c r="Z18" s="267"/>
      <c r="AA18" s="267"/>
    </row>
    <row r="19" spans="1:41">
      <c r="C19" t="s">
        <v>118</v>
      </c>
      <c r="R19" s="267"/>
      <c r="S19" s="267"/>
      <c r="T19" s="267"/>
      <c r="U19" s="267"/>
      <c r="V19" s="267"/>
      <c r="W19" s="267"/>
      <c r="X19" s="267"/>
      <c r="Y19" s="267"/>
      <c r="Z19" s="267"/>
      <c r="AA19" s="267"/>
    </row>
    <row r="20" spans="1:41">
      <c r="C20" t="s">
        <v>119</v>
      </c>
      <c r="R20" s="267"/>
      <c r="S20" s="267"/>
      <c r="T20" s="267"/>
      <c r="U20" s="267"/>
      <c r="V20" s="267"/>
      <c r="W20" s="267"/>
      <c r="X20" s="267"/>
      <c r="Y20" s="267"/>
      <c r="Z20" s="267"/>
      <c r="AA20" s="267"/>
    </row>
    <row r="21" spans="1:41" s="92" customForma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row>
    <row r="22" spans="1:41" ht="25.5" customHeight="1" thickBot="1">
      <c r="A22" s="92"/>
      <c r="B22" s="92">
        <v>2010</v>
      </c>
      <c r="C22" s="92">
        <v>2011</v>
      </c>
      <c r="D22" s="92">
        <v>2012</v>
      </c>
      <c r="E22" s="92">
        <v>2013</v>
      </c>
      <c r="F22" s="92">
        <v>2014</v>
      </c>
      <c r="G22" s="92">
        <v>2015</v>
      </c>
      <c r="H22" s="92">
        <v>2016</v>
      </c>
      <c r="I22" s="92">
        <v>2017</v>
      </c>
      <c r="J22" s="92">
        <v>2018</v>
      </c>
      <c r="K22" s="92">
        <v>2019</v>
      </c>
      <c r="L22" s="92">
        <v>2020</v>
      </c>
      <c r="M22" s="92">
        <v>2021</v>
      </c>
      <c r="N22" s="92">
        <v>2022</v>
      </c>
      <c r="O22" s="92">
        <v>2023</v>
      </c>
      <c r="P22" s="92">
        <v>2024</v>
      </c>
      <c r="Q22" s="92">
        <v>2025</v>
      </c>
      <c r="R22" s="92">
        <v>2026</v>
      </c>
      <c r="S22" s="92"/>
      <c r="T22" s="92"/>
      <c r="U22" s="92"/>
      <c r="V22" s="92"/>
      <c r="W22" s="92"/>
      <c r="X22" s="92"/>
      <c r="Y22" s="92"/>
      <c r="Z22" s="92"/>
      <c r="AA22" s="92"/>
      <c r="AB22" s="92"/>
      <c r="AC22" s="92"/>
      <c r="AD22" s="92"/>
      <c r="AE22" s="92"/>
      <c r="AF22" s="92"/>
      <c r="AG22" s="92"/>
      <c r="AH22" s="92"/>
      <c r="AI22" s="92"/>
      <c r="AJ22" s="92"/>
      <c r="AK22" s="92"/>
      <c r="AL22" s="92"/>
      <c r="AM22" s="92"/>
      <c r="AN22" s="92"/>
      <c r="AO22" s="92"/>
    </row>
    <row r="23" spans="1:41" ht="36.75">
      <c r="A23" s="163" t="s">
        <v>120</v>
      </c>
      <c r="B23" s="110"/>
      <c r="C23" s="111"/>
      <c r="D23" s="111"/>
      <c r="E23" s="111"/>
      <c r="F23" s="111"/>
      <c r="G23" s="111"/>
      <c r="H23" s="111"/>
      <c r="I23" s="111"/>
      <c r="J23" s="111"/>
      <c r="K23" s="111"/>
      <c r="L23" s="111"/>
      <c r="M23" s="111"/>
      <c r="N23" s="111"/>
      <c r="O23" s="111"/>
      <c r="P23" s="111"/>
      <c r="Q23" s="111"/>
      <c r="R23" s="111"/>
    </row>
    <row r="24" spans="1:41">
      <c r="A24" t="s">
        <v>121</v>
      </c>
      <c r="B24" s="112"/>
      <c r="C24" s="113"/>
      <c r="D24" s="113"/>
      <c r="E24" s="113"/>
      <c r="F24" s="113"/>
      <c r="G24" s="113"/>
      <c r="H24" s="113"/>
      <c r="I24" s="113"/>
      <c r="J24" s="113"/>
      <c r="K24" s="113"/>
      <c r="L24" s="113"/>
      <c r="M24" s="113"/>
      <c r="N24" s="113"/>
      <c r="O24" s="113"/>
      <c r="P24" s="113"/>
      <c r="Q24" s="113"/>
      <c r="R24" s="113"/>
    </row>
    <row r="25" spans="1:41">
      <c r="A25" t="s">
        <v>122</v>
      </c>
      <c r="B25" s="112"/>
      <c r="C25" s="113"/>
      <c r="D25" s="113"/>
      <c r="E25" s="113"/>
      <c r="F25" s="113"/>
      <c r="G25" s="113"/>
      <c r="H25" s="113"/>
      <c r="I25" s="113"/>
      <c r="J25" s="113"/>
      <c r="K25" s="113"/>
      <c r="L25" s="113"/>
      <c r="M25" s="113"/>
      <c r="N25" s="113"/>
      <c r="O25" s="113"/>
      <c r="P25" s="113"/>
      <c r="Q25" s="113"/>
      <c r="R25" s="113"/>
    </row>
    <row r="26" spans="1:41">
      <c r="A26" t="s">
        <v>123</v>
      </c>
      <c r="B26" s="112"/>
      <c r="C26" s="113"/>
      <c r="D26" s="113"/>
      <c r="E26" s="113"/>
      <c r="F26" s="113"/>
      <c r="G26" s="113"/>
      <c r="H26" s="113"/>
      <c r="I26" s="113"/>
      <c r="J26" s="113"/>
      <c r="K26" s="113"/>
      <c r="L26" s="113"/>
      <c r="M26" s="113"/>
      <c r="N26" s="113"/>
      <c r="O26" s="113"/>
      <c r="P26" s="113"/>
      <c r="Q26" s="113"/>
      <c r="R26" s="113"/>
    </row>
    <row r="27" spans="1:41">
      <c r="A27" t="s">
        <v>124</v>
      </c>
      <c r="B27" s="112"/>
      <c r="C27" s="113"/>
      <c r="D27" s="113"/>
      <c r="E27" s="113"/>
      <c r="F27" s="113"/>
      <c r="G27" s="113"/>
      <c r="H27" s="113"/>
      <c r="I27" s="113"/>
      <c r="J27" s="113"/>
      <c r="K27" s="113"/>
      <c r="L27" s="113"/>
      <c r="M27" s="113"/>
      <c r="N27" s="113"/>
      <c r="O27" s="113"/>
      <c r="P27" s="113"/>
      <c r="Q27" s="113"/>
      <c r="R27" s="113"/>
    </row>
    <row r="28" spans="1:41">
      <c r="A28" t="s">
        <v>125</v>
      </c>
      <c r="B28" s="112"/>
      <c r="C28" s="113"/>
      <c r="D28" s="113"/>
      <c r="E28" s="113"/>
      <c r="F28" s="113"/>
      <c r="G28" s="113"/>
      <c r="H28" s="113"/>
      <c r="I28" s="113"/>
      <c r="J28" s="113"/>
      <c r="K28" s="113"/>
      <c r="L28" s="113"/>
      <c r="M28" s="113"/>
      <c r="N28" s="113"/>
      <c r="O28" s="113"/>
      <c r="P28" s="113"/>
      <c r="Q28" s="113"/>
      <c r="R28" s="113"/>
    </row>
    <row r="29" spans="1:41">
      <c r="A29" t="s">
        <v>126</v>
      </c>
      <c r="B29" s="112"/>
      <c r="C29" s="113"/>
      <c r="D29" s="113"/>
      <c r="E29" s="113"/>
      <c r="F29" s="113"/>
      <c r="G29" s="113"/>
      <c r="H29" s="113"/>
      <c r="I29" s="113"/>
      <c r="J29" s="113"/>
      <c r="K29" s="113"/>
      <c r="L29" s="113"/>
      <c r="M29" s="113"/>
      <c r="N29" s="113"/>
      <c r="O29" s="113"/>
      <c r="P29" s="113"/>
      <c r="Q29" s="113"/>
      <c r="R29" s="113"/>
    </row>
    <row r="30" spans="1:41">
      <c r="A30" t="s">
        <v>127</v>
      </c>
      <c r="B30" s="112"/>
      <c r="C30" s="113"/>
      <c r="D30" s="113"/>
      <c r="E30" s="113"/>
      <c r="F30" s="113"/>
      <c r="G30" s="113"/>
      <c r="H30" s="113"/>
      <c r="I30" s="113"/>
      <c r="J30" s="113"/>
      <c r="K30" s="113"/>
      <c r="L30" s="113"/>
      <c r="M30" s="113"/>
      <c r="N30" s="113"/>
      <c r="O30" s="113"/>
      <c r="P30" s="113"/>
      <c r="Q30" s="113"/>
      <c r="R30" s="113"/>
    </row>
    <row r="31" spans="1:41">
      <c r="A31" t="s">
        <v>128</v>
      </c>
      <c r="B31" s="112"/>
      <c r="C31" s="113"/>
      <c r="D31" s="113"/>
      <c r="E31" s="113"/>
      <c r="F31" s="113"/>
      <c r="G31" s="113"/>
      <c r="H31" s="113"/>
      <c r="I31" s="113"/>
      <c r="J31" s="113"/>
      <c r="K31" s="113"/>
      <c r="L31" s="113"/>
      <c r="M31" s="113"/>
      <c r="N31" s="113"/>
      <c r="O31" s="113"/>
      <c r="P31" s="113"/>
      <c r="Q31" s="113"/>
      <c r="R31" s="113"/>
    </row>
    <row r="32" spans="1:41">
      <c r="A32" t="s">
        <v>129</v>
      </c>
      <c r="B32" s="112"/>
      <c r="C32" s="113"/>
      <c r="D32" s="113"/>
      <c r="E32" s="113"/>
      <c r="F32" s="113"/>
      <c r="G32" s="113"/>
      <c r="H32" s="113"/>
      <c r="I32" s="113"/>
      <c r="J32" s="113"/>
      <c r="K32" s="113"/>
      <c r="L32" s="113"/>
      <c r="M32" s="113"/>
      <c r="N32" s="113"/>
      <c r="O32" s="113"/>
      <c r="P32" s="113"/>
      <c r="Q32" s="113"/>
      <c r="R32" s="113"/>
    </row>
    <row r="33" spans="1:18">
      <c r="A33" t="s">
        <v>130</v>
      </c>
      <c r="B33" s="112"/>
      <c r="C33" s="113"/>
      <c r="D33" s="113"/>
      <c r="E33" s="113"/>
      <c r="F33" s="113"/>
      <c r="G33" s="113"/>
      <c r="H33" s="113"/>
      <c r="I33" s="113"/>
      <c r="J33" s="113"/>
      <c r="K33" s="113"/>
      <c r="L33" s="113"/>
      <c r="M33" s="113"/>
      <c r="N33" s="113"/>
      <c r="O33" s="113"/>
      <c r="P33" s="113"/>
      <c r="Q33" s="113"/>
      <c r="R33" s="113"/>
    </row>
    <row r="34" spans="1:18" ht="15.75" thickBot="1">
      <c r="A34" t="s">
        <v>131</v>
      </c>
      <c r="B34" s="112"/>
      <c r="C34" s="114"/>
      <c r="D34" s="114"/>
      <c r="E34" s="114"/>
      <c r="F34" s="114"/>
      <c r="G34" s="114"/>
      <c r="H34" s="114"/>
      <c r="I34" s="114"/>
      <c r="J34" s="114"/>
      <c r="K34" s="114"/>
      <c r="L34" s="114"/>
      <c r="M34" s="114"/>
      <c r="N34" s="114"/>
      <c r="O34" s="114"/>
      <c r="P34" s="114"/>
      <c r="Q34" s="114"/>
      <c r="R34" s="114"/>
    </row>
    <row r="36" spans="1:18">
      <c r="B36" t="s">
        <v>132</v>
      </c>
      <c r="F36" t="s">
        <v>133</v>
      </c>
      <c r="I36" t="s">
        <v>134</v>
      </c>
    </row>
    <row r="37" spans="1:18">
      <c r="B37" s="164">
        <f>B23</f>
        <v>0</v>
      </c>
      <c r="C37" s="115">
        <v>1</v>
      </c>
      <c r="D37" s="595">
        <f>B22</f>
        <v>2010</v>
      </c>
      <c r="F37" s="164">
        <f>B23/12</f>
        <v>0</v>
      </c>
      <c r="I37">
        <v>2010</v>
      </c>
      <c r="J37" s="164">
        <f>B23</f>
        <v>0</v>
      </c>
    </row>
    <row r="38" spans="1:18">
      <c r="B38" s="164">
        <f t="shared" ref="B38:B48" si="5">B24</f>
        <v>0</v>
      </c>
      <c r="C38" s="115">
        <v>2</v>
      </c>
      <c r="D38" s="595"/>
      <c r="F38" s="164">
        <f>F37</f>
        <v>0</v>
      </c>
      <c r="J38" s="164">
        <f>B24</f>
        <v>0</v>
      </c>
    </row>
    <row r="39" spans="1:18">
      <c r="B39" s="164">
        <f t="shared" si="5"/>
        <v>0</v>
      </c>
      <c r="C39" s="115">
        <v>3</v>
      </c>
      <c r="D39" s="595"/>
      <c r="F39" s="164">
        <f>F38</f>
        <v>0</v>
      </c>
      <c r="I39">
        <v>2011</v>
      </c>
      <c r="J39" s="164">
        <f>C23</f>
        <v>0</v>
      </c>
    </row>
    <row r="40" spans="1:18">
      <c r="B40" s="164">
        <f t="shared" si="5"/>
        <v>0</v>
      </c>
      <c r="C40" s="115">
        <v>4</v>
      </c>
      <c r="D40" s="595"/>
      <c r="F40" s="164">
        <f t="shared" ref="F40:F48" si="6">F39</f>
        <v>0</v>
      </c>
      <c r="J40" s="164">
        <f>C24</f>
        <v>0</v>
      </c>
    </row>
    <row r="41" spans="1:18">
      <c r="B41" s="164">
        <f t="shared" si="5"/>
        <v>0</v>
      </c>
      <c r="C41" s="115">
        <v>5</v>
      </c>
      <c r="D41" s="595"/>
      <c r="F41" s="164">
        <f t="shared" si="6"/>
        <v>0</v>
      </c>
      <c r="I41">
        <v>2012</v>
      </c>
      <c r="J41" s="164">
        <f>D23</f>
        <v>0</v>
      </c>
    </row>
    <row r="42" spans="1:18">
      <c r="B42" s="164">
        <f t="shared" si="5"/>
        <v>0</v>
      </c>
      <c r="C42" s="115">
        <v>6</v>
      </c>
      <c r="D42" s="595"/>
      <c r="F42" s="164">
        <f t="shared" si="6"/>
        <v>0</v>
      </c>
      <c r="J42" s="164">
        <f>D24</f>
        <v>0</v>
      </c>
    </row>
    <row r="43" spans="1:18">
      <c r="B43" s="164">
        <f t="shared" si="5"/>
        <v>0</v>
      </c>
      <c r="C43" s="115">
        <v>7</v>
      </c>
      <c r="D43" s="595"/>
      <c r="F43" s="164">
        <f t="shared" si="6"/>
        <v>0</v>
      </c>
      <c r="I43">
        <v>2013</v>
      </c>
      <c r="J43" s="164">
        <f>E23</f>
        <v>0</v>
      </c>
    </row>
    <row r="44" spans="1:18">
      <c r="B44" s="164">
        <f t="shared" si="5"/>
        <v>0</v>
      </c>
      <c r="C44" s="115">
        <v>8</v>
      </c>
      <c r="D44" s="595"/>
      <c r="F44" s="164">
        <f t="shared" si="6"/>
        <v>0</v>
      </c>
      <c r="J44" s="164">
        <f>E24</f>
        <v>0</v>
      </c>
    </row>
    <row r="45" spans="1:18">
      <c r="B45" s="164">
        <f t="shared" si="5"/>
        <v>0</v>
      </c>
      <c r="C45" s="115">
        <v>9</v>
      </c>
      <c r="D45" s="595"/>
      <c r="F45" s="164">
        <f t="shared" si="6"/>
        <v>0</v>
      </c>
      <c r="I45">
        <v>2014</v>
      </c>
      <c r="J45" s="164">
        <f>F23</f>
        <v>0</v>
      </c>
    </row>
    <row r="46" spans="1:18">
      <c r="B46" s="164">
        <f t="shared" si="5"/>
        <v>0</v>
      </c>
      <c r="C46" s="115">
        <v>10</v>
      </c>
      <c r="D46" s="595"/>
      <c r="F46" s="164">
        <f t="shared" si="6"/>
        <v>0</v>
      </c>
      <c r="J46" s="164">
        <f>F24</f>
        <v>0</v>
      </c>
    </row>
    <row r="47" spans="1:18">
      <c r="B47" s="164">
        <f t="shared" si="5"/>
        <v>0</v>
      </c>
      <c r="C47" s="115">
        <v>11</v>
      </c>
      <c r="D47" s="595"/>
      <c r="F47" s="164">
        <f t="shared" si="6"/>
        <v>0</v>
      </c>
      <c r="I47">
        <v>2015</v>
      </c>
      <c r="J47" s="164">
        <f>G23</f>
        <v>0</v>
      </c>
    </row>
    <row r="48" spans="1:18">
      <c r="B48" s="164">
        <f t="shared" si="5"/>
        <v>0</v>
      </c>
      <c r="C48" s="115">
        <v>12</v>
      </c>
      <c r="D48" s="595"/>
      <c r="F48" s="164">
        <f t="shared" si="6"/>
        <v>0</v>
      </c>
      <c r="J48" s="164">
        <f>G24</f>
        <v>0</v>
      </c>
    </row>
    <row r="49" spans="2:10">
      <c r="B49" s="164">
        <f>C23</f>
        <v>0</v>
      </c>
      <c r="C49" s="115">
        <v>1</v>
      </c>
      <c r="D49" s="595">
        <f>C22</f>
        <v>2011</v>
      </c>
      <c r="F49" s="164">
        <f>C23/12</f>
        <v>0</v>
      </c>
      <c r="I49">
        <v>2016</v>
      </c>
      <c r="J49" s="164">
        <f>H23</f>
        <v>0</v>
      </c>
    </row>
    <row r="50" spans="2:10">
      <c r="B50" s="164">
        <f t="shared" ref="B50:B60" si="7">C24</f>
        <v>0</v>
      </c>
      <c r="C50" s="115">
        <v>2</v>
      </c>
      <c r="D50" s="595"/>
      <c r="F50" s="164">
        <f t="shared" ref="F50:F113" si="8">F49</f>
        <v>0</v>
      </c>
      <c r="J50" s="164">
        <f>H24</f>
        <v>0</v>
      </c>
    </row>
    <row r="51" spans="2:10">
      <c r="B51" s="164">
        <f t="shared" si="7"/>
        <v>0</v>
      </c>
      <c r="C51" s="115">
        <v>3</v>
      </c>
      <c r="D51" s="595"/>
      <c r="F51" s="164">
        <f t="shared" si="8"/>
        <v>0</v>
      </c>
      <c r="I51">
        <v>2017</v>
      </c>
      <c r="J51" s="164">
        <f>I23</f>
        <v>0</v>
      </c>
    </row>
    <row r="52" spans="2:10">
      <c r="B52" s="164">
        <f t="shared" si="7"/>
        <v>0</v>
      </c>
      <c r="C52" s="115">
        <v>4</v>
      </c>
      <c r="D52" s="595"/>
      <c r="F52" s="164">
        <f t="shared" si="8"/>
        <v>0</v>
      </c>
      <c r="J52" s="164">
        <f>I24</f>
        <v>0</v>
      </c>
    </row>
    <row r="53" spans="2:10">
      <c r="B53" s="164">
        <f t="shared" si="7"/>
        <v>0</v>
      </c>
      <c r="C53" s="115">
        <v>5</v>
      </c>
      <c r="D53" s="595"/>
      <c r="F53" s="164">
        <f t="shared" si="8"/>
        <v>0</v>
      </c>
      <c r="I53">
        <v>2018</v>
      </c>
      <c r="J53" s="164">
        <f>J23</f>
        <v>0</v>
      </c>
    </row>
    <row r="54" spans="2:10">
      <c r="B54" s="164">
        <f t="shared" si="7"/>
        <v>0</v>
      </c>
      <c r="C54" s="115">
        <v>6</v>
      </c>
      <c r="D54" s="595"/>
      <c r="F54" s="164">
        <f t="shared" si="8"/>
        <v>0</v>
      </c>
      <c r="J54" s="164">
        <f>J24</f>
        <v>0</v>
      </c>
    </row>
    <row r="55" spans="2:10">
      <c r="B55" s="164">
        <f t="shared" si="7"/>
        <v>0</v>
      </c>
      <c r="C55" s="115">
        <v>7</v>
      </c>
      <c r="D55" s="595"/>
      <c r="F55" s="164">
        <f t="shared" si="8"/>
        <v>0</v>
      </c>
      <c r="I55">
        <v>2019</v>
      </c>
      <c r="J55" s="164">
        <f>K23</f>
        <v>0</v>
      </c>
    </row>
    <row r="56" spans="2:10">
      <c r="B56" s="164">
        <f t="shared" si="7"/>
        <v>0</v>
      </c>
      <c r="C56" s="115">
        <v>8</v>
      </c>
      <c r="D56" s="595"/>
      <c r="F56" s="164">
        <f t="shared" si="8"/>
        <v>0</v>
      </c>
      <c r="J56" s="164">
        <f>K24</f>
        <v>0</v>
      </c>
    </row>
    <row r="57" spans="2:10">
      <c r="B57" s="164">
        <f t="shared" si="7"/>
        <v>0</v>
      </c>
      <c r="C57" s="115">
        <v>9</v>
      </c>
      <c r="D57" s="595"/>
      <c r="F57" s="164">
        <f t="shared" si="8"/>
        <v>0</v>
      </c>
      <c r="I57">
        <v>2020</v>
      </c>
      <c r="J57" s="164">
        <f>L23</f>
        <v>0</v>
      </c>
    </row>
    <row r="58" spans="2:10">
      <c r="B58" s="164">
        <f t="shared" si="7"/>
        <v>0</v>
      </c>
      <c r="C58" s="115">
        <v>10</v>
      </c>
      <c r="D58" s="595"/>
      <c r="F58" s="164">
        <f t="shared" si="8"/>
        <v>0</v>
      </c>
      <c r="J58" s="164">
        <f>L24</f>
        <v>0</v>
      </c>
    </row>
    <row r="59" spans="2:10">
      <c r="B59" s="164">
        <f t="shared" si="7"/>
        <v>0</v>
      </c>
      <c r="C59" s="115">
        <v>11</v>
      </c>
      <c r="D59" s="595"/>
      <c r="F59" s="164">
        <f t="shared" si="8"/>
        <v>0</v>
      </c>
      <c r="I59">
        <v>2021</v>
      </c>
      <c r="J59" s="164">
        <f>M23</f>
        <v>0</v>
      </c>
    </row>
    <row r="60" spans="2:10">
      <c r="B60" s="164">
        <f t="shared" si="7"/>
        <v>0</v>
      </c>
      <c r="C60" s="115">
        <v>12</v>
      </c>
      <c r="D60" s="595"/>
      <c r="F60" s="164">
        <f t="shared" si="8"/>
        <v>0</v>
      </c>
      <c r="J60" s="164">
        <f>M24</f>
        <v>0</v>
      </c>
    </row>
    <row r="61" spans="2:10">
      <c r="B61" s="164">
        <f>D23</f>
        <v>0</v>
      </c>
      <c r="C61" s="115">
        <v>1</v>
      </c>
      <c r="D61" s="595">
        <f>D22</f>
        <v>2012</v>
      </c>
      <c r="F61" s="164">
        <f>D23/12</f>
        <v>0</v>
      </c>
      <c r="I61">
        <v>2022</v>
      </c>
      <c r="J61" s="164">
        <f>N23</f>
        <v>0</v>
      </c>
    </row>
    <row r="62" spans="2:10">
      <c r="B62" s="164">
        <f t="shared" ref="B62:B72" si="9">D24</f>
        <v>0</v>
      </c>
      <c r="C62" s="115">
        <v>2</v>
      </c>
      <c r="D62" s="595"/>
      <c r="F62" s="164">
        <f>F61</f>
        <v>0</v>
      </c>
      <c r="J62" s="164">
        <f>N24</f>
        <v>0</v>
      </c>
    </row>
    <row r="63" spans="2:10">
      <c r="B63" s="164">
        <f t="shared" si="9"/>
        <v>0</v>
      </c>
      <c r="C63" s="115">
        <v>3</v>
      </c>
      <c r="D63" s="595"/>
      <c r="F63" s="164">
        <f>F62</f>
        <v>0</v>
      </c>
      <c r="I63">
        <v>2023</v>
      </c>
      <c r="J63" s="164">
        <f>O23</f>
        <v>0</v>
      </c>
    </row>
    <row r="64" spans="2:10">
      <c r="B64" s="164">
        <f t="shared" si="9"/>
        <v>0</v>
      </c>
      <c r="C64" s="115">
        <v>4</v>
      </c>
      <c r="D64" s="595"/>
      <c r="F64" s="164">
        <f t="shared" si="8"/>
        <v>0</v>
      </c>
      <c r="J64" s="164">
        <f>O24</f>
        <v>0</v>
      </c>
    </row>
    <row r="65" spans="2:10">
      <c r="B65" s="164">
        <f t="shared" si="9"/>
        <v>0</v>
      </c>
      <c r="C65" s="115">
        <v>5</v>
      </c>
      <c r="D65" s="595"/>
      <c r="F65" s="164">
        <f t="shared" si="8"/>
        <v>0</v>
      </c>
      <c r="I65">
        <v>2024</v>
      </c>
      <c r="J65" s="164">
        <f>P23</f>
        <v>0</v>
      </c>
    </row>
    <row r="66" spans="2:10">
      <c r="B66" s="164">
        <f t="shared" si="9"/>
        <v>0</v>
      </c>
      <c r="C66" s="115">
        <v>6</v>
      </c>
      <c r="D66" s="595"/>
      <c r="F66" s="164">
        <f t="shared" si="8"/>
        <v>0</v>
      </c>
      <c r="J66" s="164">
        <f>P24</f>
        <v>0</v>
      </c>
    </row>
    <row r="67" spans="2:10">
      <c r="B67" s="164">
        <f t="shared" si="9"/>
        <v>0</v>
      </c>
      <c r="C67" s="115">
        <v>7</v>
      </c>
      <c r="D67" s="595"/>
      <c r="F67" s="164">
        <f t="shared" si="8"/>
        <v>0</v>
      </c>
    </row>
    <row r="68" spans="2:10">
      <c r="B68" s="164">
        <f t="shared" si="9"/>
        <v>0</v>
      </c>
      <c r="C68" s="115">
        <v>8</v>
      </c>
      <c r="D68" s="595"/>
      <c r="F68" s="164">
        <f t="shared" si="8"/>
        <v>0</v>
      </c>
    </row>
    <row r="69" spans="2:10">
      <c r="B69" s="164">
        <f t="shared" si="9"/>
        <v>0</v>
      </c>
      <c r="C69" s="115">
        <v>9</v>
      </c>
      <c r="D69" s="595"/>
      <c r="F69" s="164">
        <f t="shared" si="8"/>
        <v>0</v>
      </c>
    </row>
    <row r="70" spans="2:10">
      <c r="B70" s="164">
        <f t="shared" si="9"/>
        <v>0</v>
      </c>
      <c r="C70" s="115">
        <v>10</v>
      </c>
      <c r="D70" s="595"/>
      <c r="F70" s="164">
        <f t="shared" si="8"/>
        <v>0</v>
      </c>
    </row>
    <row r="71" spans="2:10">
      <c r="B71" s="164">
        <f t="shared" si="9"/>
        <v>0</v>
      </c>
      <c r="C71" s="115">
        <v>11</v>
      </c>
      <c r="D71" s="595"/>
      <c r="F71" s="164">
        <f t="shared" si="8"/>
        <v>0</v>
      </c>
    </row>
    <row r="72" spans="2:10">
      <c r="B72" s="164">
        <f t="shared" si="9"/>
        <v>0</v>
      </c>
      <c r="C72" s="115">
        <v>12</v>
      </c>
      <c r="D72" s="595"/>
      <c r="F72" s="164">
        <f t="shared" si="8"/>
        <v>0</v>
      </c>
    </row>
    <row r="73" spans="2:10">
      <c r="B73" s="164">
        <f>E23</f>
        <v>0</v>
      </c>
      <c r="C73" s="115">
        <v>1</v>
      </c>
      <c r="D73" s="595">
        <f>E22</f>
        <v>2013</v>
      </c>
      <c r="F73" s="164">
        <f>E23/12</f>
        <v>0</v>
      </c>
    </row>
    <row r="74" spans="2:10">
      <c r="B74" s="164">
        <f t="shared" ref="B74:B84" si="10">E24</f>
        <v>0</v>
      </c>
      <c r="C74" s="115">
        <v>2</v>
      </c>
      <c r="D74" s="595"/>
      <c r="F74" s="164">
        <f>F73</f>
        <v>0</v>
      </c>
    </row>
    <row r="75" spans="2:10">
      <c r="B75" s="164">
        <f t="shared" si="10"/>
        <v>0</v>
      </c>
      <c r="C75" s="115">
        <v>3</v>
      </c>
      <c r="D75" s="595"/>
      <c r="F75" s="164">
        <f>F74</f>
        <v>0</v>
      </c>
    </row>
    <row r="76" spans="2:10">
      <c r="B76" s="164">
        <f t="shared" si="10"/>
        <v>0</v>
      </c>
      <c r="C76" s="115">
        <v>4</v>
      </c>
      <c r="D76" s="595"/>
      <c r="F76" s="164">
        <f t="shared" si="8"/>
        <v>0</v>
      </c>
    </row>
    <row r="77" spans="2:10">
      <c r="B77" s="164">
        <f t="shared" si="10"/>
        <v>0</v>
      </c>
      <c r="C77" s="115">
        <v>5</v>
      </c>
      <c r="D77" s="595"/>
      <c r="F77" s="164">
        <f t="shared" si="8"/>
        <v>0</v>
      </c>
    </row>
    <row r="78" spans="2:10">
      <c r="B78" s="164">
        <f t="shared" si="10"/>
        <v>0</v>
      </c>
      <c r="C78" s="115">
        <v>6</v>
      </c>
      <c r="D78" s="595"/>
      <c r="F78" s="164">
        <f t="shared" si="8"/>
        <v>0</v>
      </c>
    </row>
    <row r="79" spans="2:10">
      <c r="B79" s="164">
        <f t="shared" si="10"/>
        <v>0</v>
      </c>
      <c r="C79" s="115">
        <v>7</v>
      </c>
      <c r="D79" s="595"/>
      <c r="F79" s="164">
        <f t="shared" si="8"/>
        <v>0</v>
      </c>
    </row>
    <row r="80" spans="2:10">
      <c r="B80" s="164">
        <f t="shared" si="10"/>
        <v>0</v>
      </c>
      <c r="C80" s="115">
        <v>8</v>
      </c>
      <c r="D80" s="595"/>
      <c r="F80" s="164">
        <f t="shared" si="8"/>
        <v>0</v>
      </c>
    </row>
    <row r="81" spans="2:6">
      <c r="B81" s="164">
        <f t="shared" si="10"/>
        <v>0</v>
      </c>
      <c r="C81" s="115">
        <v>9</v>
      </c>
      <c r="D81" s="595"/>
      <c r="F81" s="164">
        <f t="shared" si="8"/>
        <v>0</v>
      </c>
    </row>
    <row r="82" spans="2:6">
      <c r="B82" s="164">
        <f t="shared" si="10"/>
        <v>0</v>
      </c>
      <c r="C82" s="115">
        <v>10</v>
      </c>
      <c r="D82" s="595"/>
      <c r="F82" s="164">
        <f t="shared" si="8"/>
        <v>0</v>
      </c>
    </row>
    <row r="83" spans="2:6">
      <c r="B83" s="164">
        <f t="shared" si="10"/>
        <v>0</v>
      </c>
      <c r="C83" s="115">
        <v>11</v>
      </c>
      <c r="D83" s="595"/>
      <c r="F83" s="164">
        <f t="shared" si="8"/>
        <v>0</v>
      </c>
    </row>
    <row r="84" spans="2:6">
      <c r="B84" s="164">
        <f t="shared" si="10"/>
        <v>0</v>
      </c>
      <c r="C84" s="115">
        <v>12</v>
      </c>
      <c r="D84" s="595"/>
      <c r="F84" s="164">
        <f t="shared" si="8"/>
        <v>0</v>
      </c>
    </row>
    <row r="85" spans="2:6">
      <c r="B85" s="164">
        <f>F23</f>
        <v>0</v>
      </c>
      <c r="C85" s="115">
        <v>1</v>
      </c>
      <c r="D85" s="595">
        <f>F22</f>
        <v>2014</v>
      </c>
      <c r="F85" s="164">
        <f>F23/12</f>
        <v>0</v>
      </c>
    </row>
    <row r="86" spans="2:6">
      <c r="B86" s="164">
        <f t="shared" ref="B86:B96" si="11">F24</f>
        <v>0</v>
      </c>
      <c r="C86" s="115">
        <v>2</v>
      </c>
      <c r="D86" s="595"/>
      <c r="F86" s="164">
        <f>F85</f>
        <v>0</v>
      </c>
    </row>
    <row r="87" spans="2:6">
      <c r="B87" s="164">
        <f t="shared" si="11"/>
        <v>0</v>
      </c>
      <c r="C87" s="115">
        <v>3</v>
      </c>
      <c r="D87" s="595"/>
      <c r="F87" s="164">
        <f>F86</f>
        <v>0</v>
      </c>
    </row>
    <row r="88" spans="2:6">
      <c r="B88" s="164">
        <f t="shared" si="11"/>
        <v>0</v>
      </c>
      <c r="C88" s="115">
        <v>4</v>
      </c>
      <c r="D88" s="595"/>
      <c r="F88" s="164">
        <f t="shared" si="8"/>
        <v>0</v>
      </c>
    </row>
    <row r="89" spans="2:6">
      <c r="B89" s="164">
        <f t="shared" si="11"/>
        <v>0</v>
      </c>
      <c r="C89" s="115">
        <v>5</v>
      </c>
      <c r="D89" s="595"/>
      <c r="F89" s="164">
        <f t="shared" si="8"/>
        <v>0</v>
      </c>
    </row>
    <row r="90" spans="2:6">
      <c r="B90" s="164">
        <f t="shared" si="11"/>
        <v>0</v>
      </c>
      <c r="C90" s="115">
        <v>6</v>
      </c>
      <c r="D90" s="595"/>
      <c r="F90" s="164">
        <f t="shared" si="8"/>
        <v>0</v>
      </c>
    </row>
    <row r="91" spans="2:6">
      <c r="B91" s="164">
        <f t="shared" si="11"/>
        <v>0</v>
      </c>
      <c r="C91" s="115">
        <v>7</v>
      </c>
      <c r="D91" s="595"/>
      <c r="F91" s="164">
        <f t="shared" si="8"/>
        <v>0</v>
      </c>
    </row>
    <row r="92" spans="2:6">
      <c r="B92" s="164">
        <f t="shared" si="11"/>
        <v>0</v>
      </c>
      <c r="C92" s="115">
        <v>8</v>
      </c>
      <c r="D92" s="595"/>
      <c r="F92" s="164">
        <f t="shared" si="8"/>
        <v>0</v>
      </c>
    </row>
    <row r="93" spans="2:6">
      <c r="B93" s="164">
        <f t="shared" si="11"/>
        <v>0</v>
      </c>
      <c r="C93" s="115">
        <v>9</v>
      </c>
      <c r="D93" s="595"/>
      <c r="F93" s="164">
        <f t="shared" si="8"/>
        <v>0</v>
      </c>
    </row>
    <row r="94" spans="2:6">
      <c r="B94" s="164">
        <f t="shared" si="11"/>
        <v>0</v>
      </c>
      <c r="C94" s="115">
        <v>10</v>
      </c>
      <c r="D94" s="595"/>
      <c r="F94" s="164">
        <f t="shared" si="8"/>
        <v>0</v>
      </c>
    </row>
    <row r="95" spans="2:6">
      <c r="B95" s="164">
        <f t="shared" si="11"/>
        <v>0</v>
      </c>
      <c r="C95" s="115">
        <v>11</v>
      </c>
      <c r="D95" s="595"/>
      <c r="F95" s="164">
        <f t="shared" si="8"/>
        <v>0</v>
      </c>
    </row>
    <row r="96" spans="2:6">
      <c r="B96" s="164">
        <f t="shared" si="11"/>
        <v>0</v>
      </c>
      <c r="C96" s="115">
        <v>12</v>
      </c>
      <c r="D96" s="595"/>
      <c r="F96" s="164">
        <f t="shared" si="8"/>
        <v>0</v>
      </c>
    </row>
    <row r="97" spans="2:6">
      <c r="B97" s="164">
        <f>G23</f>
        <v>0</v>
      </c>
      <c r="C97" s="115">
        <v>1</v>
      </c>
      <c r="D97" s="595">
        <f>G22</f>
        <v>2015</v>
      </c>
      <c r="F97" s="164">
        <f>G23/12</f>
        <v>0</v>
      </c>
    </row>
    <row r="98" spans="2:6">
      <c r="B98" s="164">
        <f t="shared" ref="B98:B108" si="12">G24</f>
        <v>0</v>
      </c>
      <c r="C98" s="115">
        <v>2</v>
      </c>
      <c r="D98" s="595"/>
      <c r="F98" s="164">
        <f>F97</f>
        <v>0</v>
      </c>
    </row>
    <row r="99" spans="2:6">
      <c r="B99" s="164">
        <f t="shared" si="12"/>
        <v>0</v>
      </c>
      <c r="C99" s="115">
        <v>3</v>
      </c>
      <c r="D99" s="595"/>
      <c r="F99" s="164">
        <f>F98</f>
        <v>0</v>
      </c>
    </row>
    <row r="100" spans="2:6">
      <c r="B100" s="164">
        <f t="shared" si="12"/>
        <v>0</v>
      </c>
      <c r="C100" s="115">
        <v>4</v>
      </c>
      <c r="D100" s="595"/>
      <c r="F100" s="164">
        <f t="shared" si="8"/>
        <v>0</v>
      </c>
    </row>
    <row r="101" spans="2:6">
      <c r="B101" s="164">
        <f t="shared" si="12"/>
        <v>0</v>
      </c>
      <c r="C101" s="115">
        <v>5</v>
      </c>
      <c r="D101" s="595"/>
      <c r="F101" s="164">
        <f t="shared" si="8"/>
        <v>0</v>
      </c>
    </row>
    <row r="102" spans="2:6">
      <c r="B102" s="164">
        <f t="shared" si="12"/>
        <v>0</v>
      </c>
      <c r="C102" s="115">
        <v>6</v>
      </c>
      <c r="D102" s="595"/>
      <c r="F102" s="164">
        <f t="shared" si="8"/>
        <v>0</v>
      </c>
    </row>
    <row r="103" spans="2:6">
      <c r="B103" s="164">
        <f t="shared" si="12"/>
        <v>0</v>
      </c>
      <c r="C103" s="115">
        <v>7</v>
      </c>
      <c r="D103" s="595"/>
      <c r="F103" s="164">
        <f t="shared" si="8"/>
        <v>0</v>
      </c>
    </row>
    <row r="104" spans="2:6">
      <c r="B104" s="164">
        <f t="shared" si="12"/>
        <v>0</v>
      </c>
      <c r="C104" s="115">
        <v>8</v>
      </c>
      <c r="D104" s="595"/>
      <c r="F104" s="164">
        <f t="shared" si="8"/>
        <v>0</v>
      </c>
    </row>
    <row r="105" spans="2:6">
      <c r="B105" s="164">
        <f t="shared" si="12"/>
        <v>0</v>
      </c>
      <c r="C105" s="115">
        <v>9</v>
      </c>
      <c r="D105" s="595"/>
      <c r="F105" s="164">
        <f t="shared" si="8"/>
        <v>0</v>
      </c>
    </row>
    <row r="106" spans="2:6">
      <c r="B106" s="164">
        <f t="shared" si="12"/>
        <v>0</v>
      </c>
      <c r="C106" s="115">
        <v>10</v>
      </c>
      <c r="D106" s="595"/>
      <c r="F106" s="164">
        <f t="shared" si="8"/>
        <v>0</v>
      </c>
    </row>
    <row r="107" spans="2:6">
      <c r="B107" s="164">
        <f t="shared" si="12"/>
        <v>0</v>
      </c>
      <c r="C107" s="115">
        <v>11</v>
      </c>
      <c r="D107" s="595"/>
      <c r="F107" s="164">
        <f t="shared" si="8"/>
        <v>0</v>
      </c>
    </row>
    <row r="108" spans="2:6">
      <c r="B108" s="164">
        <f t="shared" si="12"/>
        <v>0</v>
      </c>
      <c r="C108" s="115">
        <v>12</v>
      </c>
      <c r="D108" s="595"/>
      <c r="F108" s="164">
        <f t="shared" si="8"/>
        <v>0</v>
      </c>
    </row>
    <row r="109" spans="2:6">
      <c r="B109" s="164">
        <f>H23</f>
        <v>0</v>
      </c>
      <c r="C109" s="115">
        <v>1</v>
      </c>
      <c r="D109" s="595">
        <f>H22</f>
        <v>2016</v>
      </c>
      <c r="F109" s="164">
        <f>H23/12</f>
        <v>0</v>
      </c>
    </row>
    <row r="110" spans="2:6">
      <c r="B110" s="164">
        <f t="shared" ref="B110:B120" si="13">H24</f>
        <v>0</v>
      </c>
      <c r="C110" s="115">
        <v>2</v>
      </c>
      <c r="D110" s="595"/>
      <c r="F110" s="164">
        <f>F109</f>
        <v>0</v>
      </c>
    </row>
    <row r="111" spans="2:6">
      <c r="B111" s="164">
        <f t="shared" si="13"/>
        <v>0</v>
      </c>
      <c r="C111" s="115">
        <v>3</v>
      </c>
      <c r="D111" s="595"/>
      <c r="F111" s="164">
        <f>F110</f>
        <v>0</v>
      </c>
    </row>
    <row r="112" spans="2:6">
      <c r="B112" s="164">
        <f t="shared" si="13"/>
        <v>0</v>
      </c>
      <c r="C112" s="115">
        <v>4</v>
      </c>
      <c r="D112" s="595"/>
      <c r="F112" s="164">
        <f t="shared" si="8"/>
        <v>0</v>
      </c>
    </row>
    <row r="113" spans="2:6">
      <c r="B113" s="164">
        <f t="shared" si="13"/>
        <v>0</v>
      </c>
      <c r="C113" s="115">
        <v>5</v>
      </c>
      <c r="D113" s="595"/>
      <c r="F113" s="164">
        <f t="shared" si="8"/>
        <v>0</v>
      </c>
    </row>
    <row r="114" spans="2:6">
      <c r="B114" s="164">
        <f t="shared" si="13"/>
        <v>0</v>
      </c>
      <c r="C114" s="115">
        <v>6</v>
      </c>
      <c r="D114" s="595"/>
      <c r="F114" s="164">
        <f t="shared" ref="F114:F177" si="14">F113</f>
        <v>0</v>
      </c>
    </row>
    <row r="115" spans="2:6">
      <c r="B115" s="164">
        <f t="shared" si="13"/>
        <v>0</v>
      </c>
      <c r="C115" s="115">
        <v>7</v>
      </c>
      <c r="D115" s="595"/>
      <c r="F115" s="164">
        <f t="shared" si="14"/>
        <v>0</v>
      </c>
    </row>
    <row r="116" spans="2:6">
      <c r="B116" s="164">
        <f t="shared" si="13"/>
        <v>0</v>
      </c>
      <c r="C116" s="115">
        <v>8</v>
      </c>
      <c r="D116" s="595"/>
      <c r="F116" s="164">
        <f t="shared" si="14"/>
        <v>0</v>
      </c>
    </row>
    <row r="117" spans="2:6">
      <c r="B117" s="164">
        <f t="shared" si="13"/>
        <v>0</v>
      </c>
      <c r="C117" s="115">
        <v>9</v>
      </c>
      <c r="D117" s="595"/>
      <c r="F117" s="164">
        <f t="shared" si="14"/>
        <v>0</v>
      </c>
    </row>
    <row r="118" spans="2:6">
      <c r="B118" s="164">
        <f t="shared" si="13"/>
        <v>0</v>
      </c>
      <c r="C118" s="115">
        <v>10</v>
      </c>
      <c r="D118" s="595"/>
      <c r="F118" s="164">
        <f t="shared" si="14"/>
        <v>0</v>
      </c>
    </row>
    <row r="119" spans="2:6">
      <c r="B119" s="164">
        <f t="shared" si="13"/>
        <v>0</v>
      </c>
      <c r="C119" s="115">
        <v>11</v>
      </c>
      <c r="D119" s="595"/>
      <c r="F119" s="164">
        <f t="shared" si="14"/>
        <v>0</v>
      </c>
    </row>
    <row r="120" spans="2:6">
      <c r="B120" s="164">
        <f t="shared" si="13"/>
        <v>0</v>
      </c>
      <c r="C120" s="115">
        <v>12</v>
      </c>
      <c r="D120" s="595"/>
      <c r="F120" s="164">
        <f t="shared" si="14"/>
        <v>0</v>
      </c>
    </row>
    <row r="121" spans="2:6">
      <c r="B121" s="164">
        <f>I23</f>
        <v>0</v>
      </c>
      <c r="C121" s="115">
        <v>1</v>
      </c>
      <c r="D121" s="595">
        <f>I22</f>
        <v>2017</v>
      </c>
      <c r="F121" s="164">
        <f>I23/12</f>
        <v>0</v>
      </c>
    </row>
    <row r="122" spans="2:6">
      <c r="B122" s="164">
        <f t="shared" ref="B122:B132" si="15">I24</f>
        <v>0</v>
      </c>
      <c r="C122" s="115">
        <v>2</v>
      </c>
      <c r="D122" s="595"/>
      <c r="F122" s="164">
        <f>F121</f>
        <v>0</v>
      </c>
    </row>
    <row r="123" spans="2:6">
      <c r="B123" s="164">
        <f t="shared" si="15"/>
        <v>0</v>
      </c>
      <c r="C123" s="115">
        <v>3</v>
      </c>
      <c r="D123" s="595"/>
      <c r="F123" s="164">
        <f>F122</f>
        <v>0</v>
      </c>
    </row>
    <row r="124" spans="2:6">
      <c r="B124" s="164">
        <f t="shared" si="15"/>
        <v>0</v>
      </c>
      <c r="C124" s="115">
        <v>4</v>
      </c>
      <c r="D124" s="595"/>
      <c r="F124" s="164">
        <f t="shared" si="14"/>
        <v>0</v>
      </c>
    </row>
    <row r="125" spans="2:6">
      <c r="B125" s="164">
        <f t="shared" si="15"/>
        <v>0</v>
      </c>
      <c r="C125" s="115">
        <v>5</v>
      </c>
      <c r="D125" s="595"/>
      <c r="F125" s="164">
        <f t="shared" si="14"/>
        <v>0</v>
      </c>
    </row>
    <row r="126" spans="2:6">
      <c r="B126" s="164">
        <f t="shared" si="15"/>
        <v>0</v>
      </c>
      <c r="C126" s="115">
        <v>6</v>
      </c>
      <c r="D126" s="595"/>
      <c r="F126" s="164">
        <f t="shared" si="14"/>
        <v>0</v>
      </c>
    </row>
    <row r="127" spans="2:6">
      <c r="B127" s="164">
        <f t="shared" si="15"/>
        <v>0</v>
      </c>
      <c r="C127" s="115">
        <v>7</v>
      </c>
      <c r="D127" s="595"/>
      <c r="F127" s="164">
        <f t="shared" si="14"/>
        <v>0</v>
      </c>
    </row>
    <row r="128" spans="2:6">
      <c r="B128" s="164">
        <f t="shared" si="15"/>
        <v>0</v>
      </c>
      <c r="C128" s="115">
        <v>8</v>
      </c>
      <c r="D128" s="595"/>
      <c r="F128" s="164">
        <f t="shared" si="14"/>
        <v>0</v>
      </c>
    </row>
    <row r="129" spans="2:6">
      <c r="B129" s="164">
        <f t="shared" si="15"/>
        <v>0</v>
      </c>
      <c r="C129" s="115">
        <v>9</v>
      </c>
      <c r="D129" s="595"/>
      <c r="F129" s="164">
        <f t="shared" si="14"/>
        <v>0</v>
      </c>
    </row>
    <row r="130" spans="2:6">
      <c r="B130" s="164">
        <f t="shared" si="15"/>
        <v>0</v>
      </c>
      <c r="C130" s="115">
        <v>10</v>
      </c>
      <c r="D130" s="595"/>
      <c r="F130" s="164">
        <f t="shared" si="14"/>
        <v>0</v>
      </c>
    </row>
    <row r="131" spans="2:6">
      <c r="B131" s="164">
        <f t="shared" si="15"/>
        <v>0</v>
      </c>
      <c r="C131" s="115">
        <v>11</v>
      </c>
      <c r="D131" s="595"/>
      <c r="F131" s="164">
        <f t="shared" si="14"/>
        <v>0</v>
      </c>
    </row>
    <row r="132" spans="2:6">
      <c r="B132" s="164">
        <f t="shared" si="15"/>
        <v>0</v>
      </c>
      <c r="C132" s="115">
        <v>12</v>
      </c>
      <c r="D132" s="595"/>
      <c r="F132" s="164">
        <f t="shared" si="14"/>
        <v>0</v>
      </c>
    </row>
    <row r="133" spans="2:6">
      <c r="B133" s="164">
        <f>J23</f>
        <v>0</v>
      </c>
      <c r="C133" s="115">
        <v>1</v>
      </c>
      <c r="D133" s="595">
        <f>J22</f>
        <v>2018</v>
      </c>
      <c r="F133" s="164">
        <f>J23/12</f>
        <v>0</v>
      </c>
    </row>
    <row r="134" spans="2:6">
      <c r="B134" s="164">
        <f t="shared" ref="B134:B144" si="16">J24</f>
        <v>0</v>
      </c>
      <c r="C134" s="115">
        <v>2</v>
      </c>
      <c r="D134" s="595"/>
      <c r="F134" s="164">
        <f>F133</f>
        <v>0</v>
      </c>
    </row>
    <row r="135" spans="2:6">
      <c r="B135" s="164">
        <f t="shared" si="16"/>
        <v>0</v>
      </c>
      <c r="C135" s="115">
        <v>3</v>
      </c>
      <c r="D135" s="595"/>
      <c r="F135" s="164">
        <f>F134</f>
        <v>0</v>
      </c>
    </row>
    <row r="136" spans="2:6">
      <c r="B136" s="164">
        <f t="shared" si="16"/>
        <v>0</v>
      </c>
      <c r="C136" s="115">
        <v>4</v>
      </c>
      <c r="D136" s="595"/>
      <c r="F136" s="164">
        <f t="shared" si="14"/>
        <v>0</v>
      </c>
    </row>
    <row r="137" spans="2:6">
      <c r="B137" s="164">
        <f t="shared" si="16"/>
        <v>0</v>
      </c>
      <c r="C137" s="115">
        <v>5</v>
      </c>
      <c r="D137" s="595"/>
      <c r="F137" s="164">
        <f t="shared" si="14"/>
        <v>0</v>
      </c>
    </row>
    <row r="138" spans="2:6">
      <c r="B138" s="164">
        <f t="shared" si="16"/>
        <v>0</v>
      </c>
      <c r="C138" s="115">
        <v>6</v>
      </c>
      <c r="D138" s="595"/>
      <c r="F138" s="164">
        <f t="shared" si="14"/>
        <v>0</v>
      </c>
    </row>
    <row r="139" spans="2:6">
      <c r="B139" s="164">
        <f t="shared" si="16"/>
        <v>0</v>
      </c>
      <c r="C139" s="115">
        <v>7</v>
      </c>
      <c r="D139" s="595"/>
      <c r="F139" s="164">
        <f t="shared" si="14"/>
        <v>0</v>
      </c>
    </row>
    <row r="140" spans="2:6">
      <c r="B140" s="164">
        <f t="shared" si="16"/>
        <v>0</v>
      </c>
      <c r="C140" s="115">
        <v>8</v>
      </c>
      <c r="D140" s="595"/>
      <c r="F140" s="164">
        <f t="shared" si="14"/>
        <v>0</v>
      </c>
    </row>
    <row r="141" spans="2:6">
      <c r="B141" s="164">
        <f t="shared" si="16"/>
        <v>0</v>
      </c>
      <c r="C141" s="115">
        <v>9</v>
      </c>
      <c r="D141" s="595"/>
      <c r="F141" s="164">
        <f t="shared" si="14"/>
        <v>0</v>
      </c>
    </row>
    <row r="142" spans="2:6">
      <c r="B142" s="164">
        <f t="shared" si="16"/>
        <v>0</v>
      </c>
      <c r="C142" s="115">
        <v>10</v>
      </c>
      <c r="D142" s="595"/>
      <c r="F142" s="164">
        <f t="shared" si="14"/>
        <v>0</v>
      </c>
    </row>
    <row r="143" spans="2:6">
      <c r="B143" s="164">
        <f t="shared" si="16"/>
        <v>0</v>
      </c>
      <c r="C143" s="115">
        <v>11</v>
      </c>
      <c r="D143" s="595"/>
      <c r="F143" s="164">
        <f t="shared" si="14"/>
        <v>0</v>
      </c>
    </row>
    <row r="144" spans="2:6">
      <c r="B144" s="164">
        <f t="shared" si="16"/>
        <v>0</v>
      </c>
      <c r="C144" s="115">
        <v>12</v>
      </c>
      <c r="D144" s="595"/>
      <c r="F144" s="164">
        <f t="shared" si="14"/>
        <v>0</v>
      </c>
    </row>
    <row r="145" spans="2:6">
      <c r="B145" s="164">
        <f>K23</f>
        <v>0</v>
      </c>
      <c r="C145" s="115">
        <v>1</v>
      </c>
      <c r="D145" s="595">
        <f>K22</f>
        <v>2019</v>
      </c>
      <c r="F145" s="164">
        <f>K23/12</f>
        <v>0</v>
      </c>
    </row>
    <row r="146" spans="2:6">
      <c r="B146" s="164">
        <f t="shared" ref="B146:B156" si="17">K24</f>
        <v>0</v>
      </c>
      <c r="C146" s="115">
        <v>2</v>
      </c>
      <c r="D146" s="595"/>
      <c r="F146" s="164">
        <f>F145</f>
        <v>0</v>
      </c>
    </row>
    <row r="147" spans="2:6">
      <c r="B147" s="164">
        <f t="shared" si="17"/>
        <v>0</v>
      </c>
      <c r="C147" s="115">
        <v>3</v>
      </c>
      <c r="D147" s="595"/>
      <c r="F147" s="164">
        <f>F146</f>
        <v>0</v>
      </c>
    </row>
    <row r="148" spans="2:6">
      <c r="B148" s="164">
        <f t="shared" si="17"/>
        <v>0</v>
      </c>
      <c r="C148" s="115">
        <v>4</v>
      </c>
      <c r="D148" s="595"/>
      <c r="F148" s="164">
        <f t="shared" si="14"/>
        <v>0</v>
      </c>
    </row>
    <row r="149" spans="2:6">
      <c r="B149" s="164">
        <f t="shared" si="17"/>
        <v>0</v>
      </c>
      <c r="C149" s="115">
        <v>5</v>
      </c>
      <c r="D149" s="595"/>
      <c r="F149" s="164">
        <f t="shared" si="14"/>
        <v>0</v>
      </c>
    </row>
    <row r="150" spans="2:6">
      <c r="B150" s="164">
        <f t="shared" si="17"/>
        <v>0</v>
      </c>
      <c r="C150" s="115">
        <v>6</v>
      </c>
      <c r="D150" s="595"/>
      <c r="F150" s="164">
        <f t="shared" si="14"/>
        <v>0</v>
      </c>
    </row>
    <row r="151" spans="2:6">
      <c r="B151" s="164">
        <f t="shared" si="17"/>
        <v>0</v>
      </c>
      <c r="C151" s="115">
        <v>7</v>
      </c>
      <c r="D151" s="595"/>
      <c r="F151" s="164">
        <f t="shared" si="14"/>
        <v>0</v>
      </c>
    </row>
    <row r="152" spans="2:6">
      <c r="B152" s="164">
        <f t="shared" si="17"/>
        <v>0</v>
      </c>
      <c r="C152" s="115">
        <v>8</v>
      </c>
      <c r="D152" s="595"/>
      <c r="F152" s="164">
        <f t="shared" si="14"/>
        <v>0</v>
      </c>
    </row>
    <row r="153" spans="2:6">
      <c r="B153" s="164">
        <f t="shared" si="17"/>
        <v>0</v>
      </c>
      <c r="C153" s="115">
        <v>9</v>
      </c>
      <c r="D153" s="595"/>
      <c r="F153" s="164">
        <f t="shared" si="14"/>
        <v>0</v>
      </c>
    </row>
    <row r="154" spans="2:6">
      <c r="B154" s="164">
        <f t="shared" si="17"/>
        <v>0</v>
      </c>
      <c r="C154" s="115">
        <v>10</v>
      </c>
      <c r="D154" s="595"/>
      <c r="F154" s="164">
        <f t="shared" si="14"/>
        <v>0</v>
      </c>
    </row>
    <row r="155" spans="2:6">
      <c r="B155" s="164">
        <f t="shared" si="17"/>
        <v>0</v>
      </c>
      <c r="C155" s="115">
        <v>11</v>
      </c>
      <c r="D155" s="595"/>
      <c r="F155" s="164">
        <f t="shared" si="14"/>
        <v>0</v>
      </c>
    </row>
    <row r="156" spans="2:6">
      <c r="B156" s="164">
        <f t="shared" si="17"/>
        <v>0</v>
      </c>
      <c r="C156" s="115">
        <v>12</v>
      </c>
      <c r="D156" s="595"/>
      <c r="F156" s="164">
        <f t="shared" si="14"/>
        <v>0</v>
      </c>
    </row>
    <row r="157" spans="2:6">
      <c r="B157" s="164">
        <f>L23</f>
        <v>0</v>
      </c>
      <c r="C157" s="115">
        <v>1</v>
      </c>
      <c r="D157" s="595">
        <f>L22</f>
        <v>2020</v>
      </c>
      <c r="F157" s="164">
        <f>L23/12</f>
        <v>0</v>
      </c>
    </row>
    <row r="158" spans="2:6">
      <c r="B158" s="164">
        <f t="shared" ref="B158:B168" si="18">L24</f>
        <v>0</v>
      </c>
      <c r="C158" s="115">
        <v>2</v>
      </c>
      <c r="D158" s="595"/>
      <c r="F158" s="164">
        <f>F157</f>
        <v>0</v>
      </c>
    </row>
    <row r="159" spans="2:6">
      <c r="B159" s="164">
        <f t="shared" si="18"/>
        <v>0</v>
      </c>
      <c r="C159" s="115">
        <v>3</v>
      </c>
      <c r="D159" s="595"/>
      <c r="F159" s="164">
        <f>F158</f>
        <v>0</v>
      </c>
    </row>
    <row r="160" spans="2:6">
      <c r="B160" s="164">
        <f t="shared" si="18"/>
        <v>0</v>
      </c>
      <c r="C160" s="115">
        <v>4</v>
      </c>
      <c r="D160" s="595"/>
      <c r="F160" s="164">
        <f t="shared" si="14"/>
        <v>0</v>
      </c>
    </row>
    <row r="161" spans="2:6">
      <c r="B161" s="164">
        <f t="shared" si="18"/>
        <v>0</v>
      </c>
      <c r="C161" s="115">
        <v>5</v>
      </c>
      <c r="D161" s="595"/>
      <c r="F161" s="164">
        <f t="shared" si="14"/>
        <v>0</v>
      </c>
    </row>
    <row r="162" spans="2:6">
      <c r="B162" s="164">
        <f t="shared" si="18"/>
        <v>0</v>
      </c>
      <c r="C162" s="115">
        <v>6</v>
      </c>
      <c r="D162" s="595"/>
      <c r="F162" s="164">
        <f t="shared" si="14"/>
        <v>0</v>
      </c>
    </row>
    <row r="163" spans="2:6">
      <c r="B163" s="164">
        <f t="shared" si="18"/>
        <v>0</v>
      </c>
      <c r="C163" s="115">
        <v>7</v>
      </c>
      <c r="D163" s="595"/>
      <c r="F163" s="164">
        <f t="shared" si="14"/>
        <v>0</v>
      </c>
    </row>
    <row r="164" spans="2:6">
      <c r="B164" s="164">
        <f t="shared" si="18"/>
        <v>0</v>
      </c>
      <c r="C164" s="115">
        <v>8</v>
      </c>
      <c r="D164" s="595"/>
      <c r="F164" s="164">
        <f t="shared" si="14"/>
        <v>0</v>
      </c>
    </row>
    <row r="165" spans="2:6">
      <c r="B165" s="164">
        <f t="shared" si="18"/>
        <v>0</v>
      </c>
      <c r="C165" s="115">
        <v>9</v>
      </c>
      <c r="D165" s="595"/>
      <c r="F165" s="164">
        <f t="shared" si="14"/>
        <v>0</v>
      </c>
    </row>
    <row r="166" spans="2:6">
      <c r="B166" s="164">
        <f t="shared" si="18"/>
        <v>0</v>
      </c>
      <c r="C166" s="115">
        <v>10</v>
      </c>
      <c r="D166" s="595"/>
      <c r="F166" s="164">
        <f t="shared" si="14"/>
        <v>0</v>
      </c>
    </row>
    <row r="167" spans="2:6">
      <c r="B167" s="164">
        <f t="shared" si="18"/>
        <v>0</v>
      </c>
      <c r="C167" s="115">
        <v>11</v>
      </c>
      <c r="D167" s="595"/>
      <c r="F167" s="164">
        <f t="shared" si="14"/>
        <v>0</v>
      </c>
    </row>
    <row r="168" spans="2:6">
      <c r="B168" s="164">
        <f t="shared" si="18"/>
        <v>0</v>
      </c>
      <c r="C168" s="115">
        <v>12</v>
      </c>
      <c r="D168" s="595"/>
      <c r="F168" s="164">
        <f t="shared" si="14"/>
        <v>0</v>
      </c>
    </row>
    <row r="169" spans="2:6">
      <c r="B169" s="164">
        <f>M23</f>
        <v>0</v>
      </c>
      <c r="C169" s="115">
        <v>1</v>
      </c>
      <c r="D169" s="595">
        <f>M22</f>
        <v>2021</v>
      </c>
      <c r="F169" s="164">
        <f>M23/12</f>
        <v>0</v>
      </c>
    </row>
    <row r="170" spans="2:6">
      <c r="B170" s="164">
        <f t="shared" ref="B170:B180" si="19">M24</f>
        <v>0</v>
      </c>
      <c r="C170" s="115">
        <v>2</v>
      </c>
      <c r="D170" s="595"/>
      <c r="F170" s="164">
        <f>F169</f>
        <v>0</v>
      </c>
    </row>
    <row r="171" spans="2:6">
      <c r="B171" s="164">
        <f t="shared" si="19"/>
        <v>0</v>
      </c>
      <c r="C171" s="115">
        <v>3</v>
      </c>
      <c r="D171" s="595"/>
      <c r="F171" s="164">
        <f>F170</f>
        <v>0</v>
      </c>
    </row>
    <row r="172" spans="2:6">
      <c r="B172" s="164">
        <f t="shared" si="19"/>
        <v>0</v>
      </c>
      <c r="C172" s="115">
        <v>4</v>
      </c>
      <c r="D172" s="595"/>
      <c r="F172" s="164">
        <f t="shared" si="14"/>
        <v>0</v>
      </c>
    </row>
    <row r="173" spans="2:6">
      <c r="B173" s="164">
        <f t="shared" si="19"/>
        <v>0</v>
      </c>
      <c r="C173" s="115">
        <v>5</v>
      </c>
      <c r="D173" s="595"/>
      <c r="F173" s="164">
        <f t="shared" si="14"/>
        <v>0</v>
      </c>
    </row>
    <row r="174" spans="2:6">
      <c r="B174" s="164">
        <f t="shared" si="19"/>
        <v>0</v>
      </c>
      <c r="C174" s="115">
        <v>6</v>
      </c>
      <c r="D174" s="595"/>
      <c r="F174" s="164">
        <f t="shared" si="14"/>
        <v>0</v>
      </c>
    </row>
    <row r="175" spans="2:6">
      <c r="B175" s="164">
        <f t="shared" si="19"/>
        <v>0</v>
      </c>
      <c r="C175" s="115">
        <v>7</v>
      </c>
      <c r="D175" s="595"/>
      <c r="F175" s="164">
        <f t="shared" si="14"/>
        <v>0</v>
      </c>
    </row>
    <row r="176" spans="2:6">
      <c r="B176" s="164">
        <f t="shared" si="19"/>
        <v>0</v>
      </c>
      <c r="C176" s="115">
        <v>8</v>
      </c>
      <c r="D176" s="595"/>
      <c r="F176" s="164">
        <f t="shared" si="14"/>
        <v>0</v>
      </c>
    </row>
    <row r="177" spans="2:6">
      <c r="B177" s="164">
        <f t="shared" si="19"/>
        <v>0</v>
      </c>
      <c r="C177" s="115">
        <v>9</v>
      </c>
      <c r="D177" s="595"/>
      <c r="F177" s="164">
        <f t="shared" si="14"/>
        <v>0</v>
      </c>
    </row>
    <row r="178" spans="2:6">
      <c r="B178" s="164">
        <f t="shared" si="19"/>
        <v>0</v>
      </c>
      <c r="C178" s="115">
        <v>10</v>
      </c>
      <c r="D178" s="595"/>
      <c r="F178" s="164">
        <f t="shared" ref="F178:F216" si="20">F177</f>
        <v>0</v>
      </c>
    </row>
    <row r="179" spans="2:6">
      <c r="B179" s="164">
        <f t="shared" si="19"/>
        <v>0</v>
      </c>
      <c r="C179" s="115">
        <v>11</v>
      </c>
      <c r="D179" s="595"/>
      <c r="F179" s="164">
        <f t="shared" si="20"/>
        <v>0</v>
      </c>
    </row>
    <row r="180" spans="2:6">
      <c r="B180" s="164">
        <f t="shared" si="19"/>
        <v>0</v>
      </c>
      <c r="C180" s="115">
        <v>12</v>
      </c>
      <c r="D180" s="595"/>
      <c r="F180" s="164">
        <f t="shared" si="20"/>
        <v>0</v>
      </c>
    </row>
    <row r="181" spans="2:6">
      <c r="B181" s="164">
        <f>N23</f>
        <v>0</v>
      </c>
      <c r="C181" s="115">
        <v>1</v>
      </c>
      <c r="D181" s="595">
        <f>N22</f>
        <v>2022</v>
      </c>
      <c r="F181" s="164">
        <f>N23/12</f>
        <v>0</v>
      </c>
    </row>
    <row r="182" spans="2:6">
      <c r="B182" s="164">
        <f t="shared" ref="B182:B192" si="21">N24</f>
        <v>0</v>
      </c>
      <c r="C182" s="115">
        <v>2</v>
      </c>
      <c r="D182" s="595"/>
      <c r="F182" s="164">
        <f>F181</f>
        <v>0</v>
      </c>
    </row>
    <row r="183" spans="2:6">
      <c r="B183" s="164">
        <f t="shared" si="21"/>
        <v>0</v>
      </c>
      <c r="C183" s="115">
        <v>3</v>
      </c>
      <c r="D183" s="595"/>
      <c r="F183" s="164">
        <f>F182</f>
        <v>0</v>
      </c>
    </row>
    <row r="184" spans="2:6">
      <c r="B184" s="164">
        <f t="shared" si="21"/>
        <v>0</v>
      </c>
      <c r="C184" s="115">
        <v>4</v>
      </c>
      <c r="D184" s="595"/>
      <c r="F184" s="164">
        <f t="shared" si="20"/>
        <v>0</v>
      </c>
    </row>
    <row r="185" spans="2:6">
      <c r="B185" s="164">
        <f t="shared" si="21"/>
        <v>0</v>
      </c>
      <c r="C185" s="115">
        <v>5</v>
      </c>
      <c r="D185" s="595"/>
      <c r="F185" s="164">
        <f t="shared" si="20"/>
        <v>0</v>
      </c>
    </row>
    <row r="186" spans="2:6">
      <c r="B186" s="164">
        <f t="shared" si="21"/>
        <v>0</v>
      </c>
      <c r="C186" s="115">
        <v>6</v>
      </c>
      <c r="D186" s="595"/>
      <c r="F186" s="164">
        <f t="shared" si="20"/>
        <v>0</v>
      </c>
    </row>
    <row r="187" spans="2:6">
      <c r="B187" s="164">
        <f t="shared" si="21"/>
        <v>0</v>
      </c>
      <c r="C187" s="115">
        <v>7</v>
      </c>
      <c r="D187" s="595"/>
      <c r="F187" s="164">
        <f t="shared" si="20"/>
        <v>0</v>
      </c>
    </row>
    <row r="188" spans="2:6">
      <c r="B188" s="164">
        <f t="shared" si="21"/>
        <v>0</v>
      </c>
      <c r="C188" s="115">
        <v>8</v>
      </c>
      <c r="D188" s="595"/>
      <c r="F188" s="164">
        <f t="shared" si="20"/>
        <v>0</v>
      </c>
    </row>
    <row r="189" spans="2:6">
      <c r="B189" s="164">
        <f t="shared" si="21"/>
        <v>0</v>
      </c>
      <c r="C189" s="115">
        <v>9</v>
      </c>
      <c r="D189" s="595"/>
      <c r="F189" s="164">
        <f t="shared" si="20"/>
        <v>0</v>
      </c>
    </row>
    <row r="190" spans="2:6">
      <c r="B190" s="164">
        <f t="shared" si="21"/>
        <v>0</v>
      </c>
      <c r="C190" s="115">
        <v>10</v>
      </c>
      <c r="D190" s="595"/>
      <c r="F190" s="164">
        <f t="shared" si="20"/>
        <v>0</v>
      </c>
    </row>
    <row r="191" spans="2:6">
      <c r="B191" s="164">
        <f t="shared" si="21"/>
        <v>0</v>
      </c>
      <c r="C191" s="115">
        <v>11</v>
      </c>
      <c r="D191" s="595"/>
      <c r="F191" s="164">
        <f t="shared" si="20"/>
        <v>0</v>
      </c>
    </row>
    <row r="192" spans="2:6">
      <c r="B192" s="164">
        <f t="shared" si="21"/>
        <v>0</v>
      </c>
      <c r="C192" s="115">
        <v>12</v>
      </c>
      <c r="D192" s="595"/>
      <c r="F192" s="164">
        <f t="shared" si="20"/>
        <v>0</v>
      </c>
    </row>
    <row r="193" spans="2:6">
      <c r="B193" s="164">
        <f>O23</f>
        <v>0</v>
      </c>
      <c r="C193" s="115">
        <v>1</v>
      </c>
      <c r="D193" s="595">
        <f>O22</f>
        <v>2023</v>
      </c>
      <c r="F193" s="164">
        <f>O23/12</f>
        <v>0</v>
      </c>
    </row>
    <row r="194" spans="2:6">
      <c r="B194" s="164">
        <f t="shared" ref="B194:B204" si="22">O24</f>
        <v>0</v>
      </c>
      <c r="C194" s="115">
        <v>2</v>
      </c>
      <c r="D194" s="595"/>
      <c r="F194" s="164">
        <f>F193</f>
        <v>0</v>
      </c>
    </row>
    <row r="195" spans="2:6">
      <c r="B195" s="164">
        <f t="shared" si="22"/>
        <v>0</v>
      </c>
      <c r="C195" s="115">
        <v>3</v>
      </c>
      <c r="D195" s="595"/>
      <c r="F195" s="164">
        <f>F194</f>
        <v>0</v>
      </c>
    </row>
    <row r="196" spans="2:6">
      <c r="B196" s="164">
        <f t="shared" si="22"/>
        <v>0</v>
      </c>
      <c r="C196" s="115">
        <v>4</v>
      </c>
      <c r="D196" s="595"/>
      <c r="F196" s="164">
        <f t="shared" si="20"/>
        <v>0</v>
      </c>
    </row>
    <row r="197" spans="2:6">
      <c r="B197" s="164">
        <f t="shared" si="22"/>
        <v>0</v>
      </c>
      <c r="C197" s="115">
        <v>5</v>
      </c>
      <c r="D197" s="595"/>
      <c r="F197" s="164">
        <f t="shared" si="20"/>
        <v>0</v>
      </c>
    </row>
    <row r="198" spans="2:6">
      <c r="B198" s="164">
        <f t="shared" si="22"/>
        <v>0</v>
      </c>
      <c r="C198" s="115">
        <v>6</v>
      </c>
      <c r="D198" s="595"/>
      <c r="F198" s="164">
        <f t="shared" si="20"/>
        <v>0</v>
      </c>
    </row>
    <row r="199" spans="2:6">
      <c r="B199" s="164">
        <f t="shared" si="22"/>
        <v>0</v>
      </c>
      <c r="C199" s="115">
        <v>7</v>
      </c>
      <c r="D199" s="595"/>
      <c r="F199" s="164">
        <f t="shared" si="20"/>
        <v>0</v>
      </c>
    </row>
    <row r="200" spans="2:6">
      <c r="B200" s="164">
        <f t="shared" si="22"/>
        <v>0</v>
      </c>
      <c r="C200" s="115">
        <v>8</v>
      </c>
      <c r="D200" s="595"/>
      <c r="F200" s="164">
        <f t="shared" si="20"/>
        <v>0</v>
      </c>
    </row>
    <row r="201" spans="2:6">
      <c r="B201" s="164">
        <f t="shared" si="22"/>
        <v>0</v>
      </c>
      <c r="C201" s="115">
        <v>9</v>
      </c>
      <c r="D201" s="595"/>
      <c r="F201" s="164">
        <f t="shared" si="20"/>
        <v>0</v>
      </c>
    </row>
    <row r="202" spans="2:6">
      <c r="B202" s="164">
        <f t="shared" si="22"/>
        <v>0</v>
      </c>
      <c r="C202" s="115">
        <v>10</v>
      </c>
      <c r="D202" s="595"/>
      <c r="F202" s="164">
        <f t="shared" si="20"/>
        <v>0</v>
      </c>
    </row>
    <row r="203" spans="2:6">
      <c r="B203" s="164">
        <f t="shared" si="22"/>
        <v>0</v>
      </c>
      <c r="C203" s="115">
        <v>11</v>
      </c>
      <c r="D203" s="595"/>
      <c r="F203" s="164">
        <f t="shared" si="20"/>
        <v>0</v>
      </c>
    </row>
    <row r="204" spans="2:6">
      <c r="B204" s="164">
        <f t="shared" si="22"/>
        <v>0</v>
      </c>
      <c r="C204" s="115">
        <v>12</v>
      </c>
      <c r="D204" s="595"/>
      <c r="F204" s="164">
        <f t="shared" si="20"/>
        <v>0</v>
      </c>
    </row>
    <row r="205" spans="2:6">
      <c r="B205" s="164">
        <f>'Aide CME'!P23</f>
        <v>0</v>
      </c>
      <c r="C205" s="115">
        <v>1</v>
      </c>
      <c r="D205" s="595">
        <f>P22</f>
        <v>2024</v>
      </c>
      <c r="F205" s="164">
        <f>P23/12</f>
        <v>0</v>
      </c>
    </row>
    <row r="206" spans="2:6">
      <c r="B206" s="164">
        <f>'Aide CME'!P24</f>
        <v>0</v>
      </c>
      <c r="C206" s="115">
        <v>2</v>
      </c>
      <c r="D206" s="595"/>
      <c r="F206" s="164">
        <f>F205</f>
        <v>0</v>
      </c>
    </row>
    <row r="207" spans="2:6">
      <c r="B207" s="164">
        <f>'Aide CME'!P25</f>
        <v>0</v>
      </c>
      <c r="C207" s="115">
        <v>3</v>
      </c>
      <c r="D207" s="595"/>
      <c r="F207" s="164">
        <f>F206</f>
        <v>0</v>
      </c>
    </row>
    <row r="208" spans="2:6">
      <c r="B208" s="164">
        <f>'Aide CME'!P26</f>
        <v>0</v>
      </c>
      <c r="C208" s="115">
        <v>4</v>
      </c>
      <c r="D208" s="595"/>
      <c r="F208" s="164">
        <f t="shared" si="20"/>
        <v>0</v>
      </c>
    </row>
    <row r="209" spans="2:6">
      <c r="B209" s="164">
        <f>'Aide CME'!P27</f>
        <v>0</v>
      </c>
      <c r="C209" s="115">
        <v>5</v>
      </c>
      <c r="D209" s="595"/>
      <c r="F209" s="164">
        <f t="shared" si="20"/>
        <v>0</v>
      </c>
    </row>
    <row r="210" spans="2:6">
      <c r="B210" s="164">
        <f>'Aide CME'!P28</f>
        <v>0</v>
      </c>
      <c r="C210" s="115">
        <v>6</v>
      </c>
      <c r="D210" s="595"/>
      <c r="F210" s="164">
        <f t="shared" si="20"/>
        <v>0</v>
      </c>
    </row>
    <row r="211" spans="2:6">
      <c r="B211" s="164">
        <f>'Aide CME'!P29</f>
        <v>0</v>
      </c>
      <c r="C211" s="115">
        <v>7</v>
      </c>
      <c r="D211" s="595"/>
      <c r="F211" s="164">
        <f t="shared" si="20"/>
        <v>0</v>
      </c>
    </row>
    <row r="212" spans="2:6">
      <c r="B212" s="164">
        <f>'Aide CME'!P30</f>
        <v>0</v>
      </c>
      <c r="C212" s="115">
        <v>8</v>
      </c>
      <c r="D212" s="595"/>
      <c r="F212" s="164">
        <f t="shared" si="20"/>
        <v>0</v>
      </c>
    </row>
    <row r="213" spans="2:6">
      <c r="B213" s="164">
        <f>'Aide CME'!P31</f>
        <v>0</v>
      </c>
      <c r="C213" s="115">
        <v>9</v>
      </c>
      <c r="D213" s="595"/>
      <c r="F213" s="164">
        <f t="shared" si="20"/>
        <v>0</v>
      </c>
    </row>
    <row r="214" spans="2:6">
      <c r="B214" s="164">
        <f>'Aide CME'!P32</f>
        <v>0</v>
      </c>
      <c r="C214" s="115">
        <v>10</v>
      </c>
      <c r="D214" s="595"/>
      <c r="F214" s="164">
        <f t="shared" si="20"/>
        <v>0</v>
      </c>
    </row>
    <row r="215" spans="2:6">
      <c r="B215" s="164">
        <f>'Aide CME'!P33</f>
        <v>0</v>
      </c>
      <c r="C215" s="115">
        <v>11</v>
      </c>
      <c r="D215" s="595"/>
      <c r="F215" s="164">
        <f t="shared" si="20"/>
        <v>0</v>
      </c>
    </row>
    <row r="216" spans="2:6">
      <c r="B216" s="164">
        <f>'Aide CME'!P34</f>
        <v>0</v>
      </c>
      <c r="C216" s="115">
        <v>12</v>
      </c>
      <c r="D216" s="595"/>
      <c r="F216" s="164">
        <f t="shared" si="20"/>
        <v>0</v>
      </c>
    </row>
    <row r="217" spans="2:6">
      <c r="B217" s="164">
        <f>'Aide CME'!Q23</f>
        <v>0</v>
      </c>
      <c r="C217" s="115">
        <v>1</v>
      </c>
      <c r="D217" s="595">
        <f>Q22</f>
        <v>2025</v>
      </c>
      <c r="F217" s="164">
        <f>Q23/12</f>
        <v>0</v>
      </c>
    </row>
    <row r="218" spans="2:6">
      <c r="B218" s="164">
        <f>'Aide CME'!Q24</f>
        <v>0</v>
      </c>
      <c r="C218" s="115">
        <v>2</v>
      </c>
      <c r="D218" s="595"/>
      <c r="F218" s="164">
        <f>F217</f>
        <v>0</v>
      </c>
    </row>
    <row r="219" spans="2:6">
      <c r="B219" s="164">
        <f>'Aide CME'!Q25</f>
        <v>0</v>
      </c>
      <c r="C219" s="115">
        <v>3</v>
      </c>
      <c r="D219" s="595"/>
      <c r="F219" s="164">
        <f t="shared" ref="F219:F228" si="23">F218</f>
        <v>0</v>
      </c>
    </row>
    <row r="220" spans="2:6">
      <c r="B220" s="164">
        <f>'Aide CME'!Q26</f>
        <v>0</v>
      </c>
      <c r="C220" s="115">
        <v>4</v>
      </c>
      <c r="D220" s="595"/>
      <c r="F220" s="164">
        <f t="shared" si="23"/>
        <v>0</v>
      </c>
    </row>
    <row r="221" spans="2:6">
      <c r="B221" s="164">
        <f>'Aide CME'!Q27</f>
        <v>0</v>
      </c>
      <c r="C221" s="115">
        <v>5</v>
      </c>
      <c r="D221" s="595"/>
      <c r="F221" s="164">
        <f t="shared" si="23"/>
        <v>0</v>
      </c>
    </row>
    <row r="222" spans="2:6">
      <c r="B222" s="164">
        <f>'Aide CME'!Q28</f>
        <v>0</v>
      </c>
      <c r="C222" s="115">
        <v>6</v>
      </c>
      <c r="D222" s="595"/>
      <c r="F222" s="164">
        <f t="shared" si="23"/>
        <v>0</v>
      </c>
    </row>
    <row r="223" spans="2:6">
      <c r="B223" s="164">
        <f>'Aide CME'!Q29</f>
        <v>0</v>
      </c>
      <c r="C223" s="115">
        <v>7</v>
      </c>
      <c r="D223" s="595"/>
      <c r="F223" s="164">
        <f t="shared" si="23"/>
        <v>0</v>
      </c>
    </row>
    <row r="224" spans="2:6">
      <c r="B224" s="164">
        <f>'Aide CME'!Q30</f>
        <v>0</v>
      </c>
      <c r="C224" s="115">
        <v>8</v>
      </c>
      <c r="D224" s="595"/>
      <c r="F224" s="164">
        <f t="shared" si="23"/>
        <v>0</v>
      </c>
    </row>
    <row r="225" spans="2:6">
      <c r="B225" s="164">
        <f>'Aide CME'!Q31</f>
        <v>0</v>
      </c>
      <c r="C225" s="115">
        <v>9</v>
      </c>
      <c r="D225" s="595"/>
      <c r="F225" s="164">
        <f t="shared" si="23"/>
        <v>0</v>
      </c>
    </row>
    <row r="226" spans="2:6">
      <c r="B226" s="164">
        <f>'Aide CME'!Q32</f>
        <v>0</v>
      </c>
      <c r="C226" s="115">
        <v>10</v>
      </c>
      <c r="D226" s="595"/>
      <c r="F226" s="164">
        <f t="shared" si="23"/>
        <v>0</v>
      </c>
    </row>
    <row r="227" spans="2:6">
      <c r="B227" s="164">
        <f>'Aide CME'!Q33</f>
        <v>0</v>
      </c>
      <c r="C227" s="115">
        <v>11</v>
      </c>
      <c r="D227" s="595"/>
      <c r="F227" s="164">
        <f t="shared" si="23"/>
        <v>0</v>
      </c>
    </row>
    <row r="228" spans="2:6">
      <c r="B228" s="164">
        <f>'Aide CME'!Q34</f>
        <v>0</v>
      </c>
      <c r="C228" s="115">
        <v>12</v>
      </c>
      <c r="D228" s="595"/>
      <c r="F228" s="164">
        <f t="shared" si="23"/>
        <v>0</v>
      </c>
    </row>
    <row r="229" spans="2:6">
      <c r="B229" s="164">
        <f>'Aide CME'!R23</f>
        <v>0</v>
      </c>
      <c r="C229" s="115">
        <v>1</v>
      </c>
      <c r="D229" s="595">
        <f>R22</f>
        <v>2026</v>
      </c>
      <c r="F229" s="164">
        <f>R23/12</f>
        <v>0</v>
      </c>
    </row>
    <row r="230" spans="2:6">
      <c r="B230" s="164">
        <f>'Aide CME'!R24</f>
        <v>0</v>
      </c>
      <c r="C230" s="115">
        <v>2</v>
      </c>
      <c r="D230" s="595"/>
      <c r="F230" s="164">
        <f>F229</f>
        <v>0</v>
      </c>
    </row>
    <row r="231" spans="2:6">
      <c r="B231" s="164">
        <f>'Aide CME'!R25</f>
        <v>0</v>
      </c>
      <c r="C231" s="115">
        <v>3</v>
      </c>
      <c r="D231" s="595"/>
      <c r="F231" s="164">
        <f t="shared" ref="F231:F240" si="24">F230</f>
        <v>0</v>
      </c>
    </row>
    <row r="232" spans="2:6">
      <c r="B232" s="164">
        <f>'Aide CME'!R26</f>
        <v>0</v>
      </c>
      <c r="C232" s="115">
        <v>4</v>
      </c>
      <c r="D232" s="595"/>
      <c r="F232" s="164">
        <f t="shared" si="24"/>
        <v>0</v>
      </c>
    </row>
    <row r="233" spans="2:6">
      <c r="B233" s="164">
        <f>'Aide CME'!R27</f>
        <v>0</v>
      </c>
      <c r="C233" s="115">
        <v>5</v>
      </c>
      <c r="D233" s="595"/>
      <c r="F233" s="164">
        <f t="shared" si="24"/>
        <v>0</v>
      </c>
    </row>
    <row r="234" spans="2:6">
      <c r="B234" s="164">
        <f>'Aide CME'!R28</f>
        <v>0</v>
      </c>
      <c r="C234" s="115">
        <v>6</v>
      </c>
      <c r="D234" s="595"/>
      <c r="F234" s="164">
        <f t="shared" si="24"/>
        <v>0</v>
      </c>
    </row>
    <row r="235" spans="2:6">
      <c r="B235" s="164">
        <f>'Aide CME'!R29</f>
        <v>0</v>
      </c>
      <c r="C235" s="115">
        <v>7</v>
      </c>
      <c r="D235" s="595"/>
      <c r="F235" s="164">
        <f t="shared" si="24"/>
        <v>0</v>
      </c>
    </row>
    <row r="236" spans="2:6">
      <c r="B236" s="164">
        <f>'Aide CME'!R30</f>
        <v>0</v>
      </c>
      <c r="C236" s="115">
        <v>8</v>
      </c>
      <c r="D236" s="595"/>
      <c r="F236" s="164">
        <f t="shared" si="24"/>
        <v>0</v>
      </c>
    </row>
    <row r="237" spans="2:6">
      <c r="B237" s="164">
        <f>'Aide CME'!R31</f>
        <v>0</v>
      </c>
      <c r="C237" s="115">
        <v>9</v>
      </c>
      <c r="D237" s="595"/>
      <c r="F237" s="164">
        <f t="shared" si="24"/>
        <v>0</v>
      </c>
    </row>
    <row r="238" spans="2:6">
      <c r="B238" s="164">
        <f>'Aide CME'!R32</f>
        <v>0</v>
      </c>
      <c r="C238" s="115">
        <v>10</v>
      </c>
      <c r="D238" s="595"/>
      <c r="F238" s="164">
        <f t="shared" si="24"/>
        <v>0</v>
      </c>
    </row>
    <row r="239" spans="2:6">
      <c r="B239" s="164">
        <f>'Aide CME'!R33</f>
        <v>0</v>
      </c>
      <c r="C239" s="115">
        <v>11</v>
      </c>
      <c r="D239" s="595"/>
      <c r="F239" s="164">
        <f t="shared" si="24"/>
        <v>0</v>
      </c>
    </row>
    <row r="240" spans="2:6">
      <c r="B240" s="164">
        <f>'Aide CME'!R34</f>
        <v>0</v>
      </c>
      <c r="C240" s="115">
        <v>12</v>
      </c>
      <c r="D240" s="595"/>
      <c r="F240" s="164">
        <f t="shared" si="24"/>
        <v>0</v>
      </c>
    </row>
  </sheetData>
  <mergeCells count="19">
    <mergeCell ref="D97:D108"/>
    <mergeCell ref="D109:D120"/>
    <mergeCell ref="D217:D228"/>
    <mergeCell ref="D229:D240"/>
    <mergeCell ref="C2:K2"/>
    <mergeCell ref="D205:D216"/>
    <mergeCell ref="D145:D156"/>
    <mergeCell ref="D157:D168"/>
    <mergeCell ref="D169:D180"/>
    <mergeCell ref="D181:D192"/>
    <mergeCell ref="D193:D204"/>
    <mergeCell ref="D121:D132"/>
    <mergeCell ref="D133:D144"/>
    <mergeCell ref="C14:K14"/>
    <mergeCell ref="D37:D48"/>
    <mergeCell ref="D49:D60"/>
    <mergeCell ref="D61:D72"/>
    <mergeCell ref="D73:D84"/>
    <mergeCell ref="D85:D96"/>
  </mergeCells>
  <pageMargins left="0.7" right="0.7" top="0.75" bottom="0.75" header="0.3" footer="0.3"/>
  <pageSetup paperSize="9" orientation="portrait" horizontalDpi="4294967293"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4"/>
  <dimension ref="A1:O243"/>
  <sheetViews>
    <sheetView workbookViewId="0">
      <pane ySplit="3" topLeftCell="A4" activePane="bottomLeft" state="frozen"/>
      <selection pane="bottomLeft" activeCell="M5" sqref="M5"/>
    </sheetView>
  </sheetViews>
  <sheetFormatPr baseColWidth="10" defaultColWidth="0" defaultRowHeight="15" zeroHeight="1"/>
  <cols>
    <col min="1" max="1" width="16.5703125" customWidth="1"/>
    <col min="2" max="2" width="15" style="229" customWidth="1"/>
    <col min="3" max="3" width="11.5703125" style="221" customWidth="1"/>
    <col min="4" max="4" width="13.85546875" customWidth="1"/>
    <col min="5" max="5" width="11.28515625" customWidth="1"/>
    <col min="6" max="6" width="11.5703125" hidden="1" customWidth="1"/>
    <col min="7" max="8" width="11.42578125" hidden="1" customWidth="1"/>
    <col min="9" max="9" width="10.85546875" customWidth="1"/>
    <col min="10" max="10" width="25.5703125" style="218" customWidth="1"/>
    <col min="11" max="11" width="26.85546875" customWidth="1"/>
    <col min="12" max="12" width="17.140625" customWidth="1"/>
    <col min="13" max="13" width="11.42578125" customWidth="1"/>
    <col min="14" max="14" width="21.5703125" customWidth="1"/>
    <col min="15" max="15" width="11.5703125" style="38" customWidth="1"/>
    <col min="16" max="16384" width="11.42578125" hidden="1"/>
  </cols>
  <sheetData>
    <row r="1" spans="1:15" ht="33.75" customHeight="1">
      <c r="A1" s="57" t="s">
        <v>397</v>
      </c>
      <c r="B1" s="227" t="s">
        <v>398</v>
      </c>
      <c r="C1" s="129" t="s">
        <v>399</v>
      </c>
      <c r="D1" s="59" t="str">
        <f>CONCATENATE("Montant ",Controle_des_données!$A$40)</f>
        <v>Montant TTC</v>
      </c>
      <c r="E1" s="30" t="s">
        <v>215</v>
      </c>
      <c r="F1" s="29" t="s">
        <v>400</v>
      </c>
      <c r="G1" s="30" t="s">
        <v>401</v>
      </c>
      <c r="H1" s="30" t="s">
        <v>402</v>
      </c>
      <c r="I1" s="30" t="s">
        <v>403</v>
      </c>
      <c r="J1" s="181" t="s">
        <v>404</v>
      </c>
      <c r="K1" s="172" t="s">
        <v>19</v>
      </c>
      <c r="L1" s="179" t="str">
        <f>IF(Site!C38="", "Compteur 1",Site!C38)</f>
        <v>Elec Générale (Factures)</v>
      </c>
      <c r="N1" s="38"/>
      <c r="O1"/>
    </row>
    <row r="2" spans="1:15" ht="20.25" hidden="1" customHeight="1">
      <c r="A2" s="57" t="s">
        <v>397</v>
      </c>
      <c r="B2" s="227" t="s">
        <v>398</v>
      </c>
      <c r="C2" s="129" t="s">
        <v>399</v>
      </c>
      <c r="D2" s="59" t="s">
        <v>433</v>
      </c>
      <c r="E2" s="30" t="s">
        <v>215</v>
      </c>
      <c r="F2" s="29" t="s">
        <v>400</v>
      </c>
      <c r="G2" s="30" t="s">
        <v>401</v>
      </c>
      <c r="H2" s="30" t="s">
        <v>402</v>
      </c>
      <c r="I2" s="208" t="s">
        <v>403</v>
      </c>
      <c r="J2" s="181"/>
      <c r="K2" s="172"/>
      <c r="L2" s="179"/>
      <c r="M2" s="180"/>
      <c r="N2" s="38"/>
      <c r="O2"/>
    </row>
    <row r="3" spans="1:15" hidden="1">
      <c r="A3" s="3"/>
      <c r="B3" s="438">
        <f t="shared" ref="B3" si="0">A4-1</f>
        <v>40908</v>
      </c>
      <c r="C3" s="439"/>
      <c r="D3" s="266"/>
      <c r="E3" s="38"/>
      <c r="F3">
        <f t="shared" ref="F3:F66" si="1">IFERROR(B3-A3+1,"")</f>
        <v>40909</v>
      </c>
      <c r="G3">
        <f>IFERROR(IF(Str_TypeDonneesCpt=Cpt_Index,Tab_Compteur_1[[#This Row],[Index]],Tab_Compteur_1[[#This Row],[Quantité]])/Tab_Compteur_1[[#This Row],[Delta Jour]],0)</f>
        <v>0</v>
      </c>
      <c r="H3">
        <f>IFERROR(Tab_Compteur_1[[#This Row],[Montant]]/Tab_Compteur_1[[#This Row],[Delta Jour]],"")</f>
        <v>0</v>
      </c>
      <c r="I3" s="208">
        <f>G3</f>
        <v>0</v>
      </c>
      <c r="J3" s="38"/>
      <c r="K3" s="38"/>
      <c r="L3" s="38"/>
      <c r="M3" s="38"/>
      <c r="N3" s="38"/>
      <c r="O3"/>
    </row>
    <row r="4" spans="1:15">
      <c r="A4" s="441">
        <f>Site!I38</f>
        <v>40909</v>
      </c>
      <c r="B4" s="228"/>
      <c r="C4" s="189"/>
      <c r="D4" s="188"/>
      <c r="E4" s="186"/>
      <c r="F4">
        <f t="shared" si="1"/>
        <v>-40908</v>
      </c>
      <c r="G4" s="217">
        <f>IF(IFERROR(IF(Str_TypeDonneesCpt1=Cpt_Index,Tab_Compteur_1[[#This Row],[Index]]-L4,Tab_Compteur_1[[#This Row],[Quantité]])/Tab_Compteur_1[[#This Row],[Delta Jour]],"")&lt;0,"",IFERROR(IF(Str_TypeDonneesCpt1=Cpt_Index,Tab_Compteur_1[[#This Row],[Index]]-L4,Tab_Compteur_1[[#This Row],[Quantité]])/Tab_Compteur_1[[#This Row],[Delta Jour]],""))</f>
        <v>0</v>
      </c>
      <c r="H4">
        <f>IFERROR(Tab_Compteur_1[[#This Row],[Montant]]/Tab_Compteur_1[[#This Row],[Delta Jour]],"")</f>
        <v>0</v>
      </c>
      <c r="I4" s="208">
        <f>G4</f>
        <v>0</v>
      </c>
      <c r="J4" s="185"/>
      <c r="K4" s="216" t="s">
        <v>405</v>
      </c>
      <c r="L4" s="490">
        <v>0</v>
      </c>
      <c r="N4" s="38"/>
      <c r="O4"/>
    </row>
    <row r="5" spans="1:15">
      <c r="A5" s="464">
        <f>IFERROR(B4+1,0)</f>
        <v>1</v>
      </c>
      <c r="B5" s="228"/>
      <c r="C5" s="189"/>
      <c r="D5" s="188"/>
      <c r="E5" s="186"/>
      <c r="F5">
        <f t="shared" si="1"/>
        <v>0</v>
      </c>
      <c r="G5" t="str">
        <f>IF(IFERROR(IF(Str_TypeDonneesCpt1=Cpt_Index,Tab_Compteur_1[[#This Row],[Index]]-E4,Tab_Compteur_1[[#This Row],[Quantité]])/Tab_Compteur_1[[#This Row],[Delta Jour]],"")&lt;0,"",IFERROR(IF(Str_TypeDonneesCpt1=Cpt_Index,Tab_Compteur_1[[#This Row],[Index]]-E4,Tab_Compteur_1[[#This Row],[Quantité]])/Tab_Compteur_1[[#This Row],[Delta Jour]],""))</f>
        <v/>
      </c>
      <c r="H5" t="str">
        <f>IFERROR(Tab_Compteur_1[[#This Row],[Montant]]/Tab_Compteur_1[[#This Row],[Delta Jour]],"")</f>
        <v/>
      </c>
      <c r="I5" s="208" t="str">
        <f t="shared" ref="I5:I68" si="2">G5</f>
        <v/>
      </c>
      <c r="J5" s="186"/>
      <c r="L5" s="101"/>
      <c r="M5" s="38"/>
      <c r="N5" s="38"/>
      <c r="O5"/>
    </row>
    <row r="6" spans="1:15">
      <c r="A6" s="464">
        <f t="shared" ref="A6:A69" si="3">IFERROR(B5+1,0)</f>
        <v>1</v>
      </c>
      <c r="B6" s="228"/>
      <c r="C6" s="189"/>
      <c r="D6" s="188"/>
      <c r="E6" s="186"/>
      <c r="F6">
        <f t="shared" si="1"/>
        <v>0</v>
      </c>
      <c r="G6" t="str">
        <f>IF(IFERROR(IF(Str_TypeDonneesCpt1=Cpt_Index,Tab_Compteur_1[[#This Row],[Index]]-E5,Tab_Compteur_1[[#This Row],[Quantité]])/Tab_Compteur_1[[#This Row],[Delta Jour]],"")&lt;0,"",IFERROR(IF(Str_TypeDonneesCpt1=Cpt_Index,Tab_Compteur_1[[#This Row],[Index]]-E5,Tab_Compteur_1[[#This Row],[Quantité]])/Tab_Compteur_1[[#This Row],[Delta Jour]],""))</f>
        <v/>
      </c>
      <c r="H6" t="str">
        <f>IFERROR(Tab_Compteur_1[[#This Row],[Montant]]/Tab_Compteur_1[[#This Row],[Delta Jour]],"")</f>
        <v/>
      </c>
      <c r="I6" s="208" t="str">
        <f t="shared" si="2"/>
        <v/>
      </c>
      <c r="J6" s="206"/>
      <c r="K6" s="38"/>
      <c r="L6" s="38"/>
      <c r="M6" s="38"/>
      <c r="N6" s="38"/>
      <c r="O6"/>
    </row>
    <row r="7" spans="1:15" ht="15" customHeight="1">
      <c r="A7" s="464">
        <f t="shared" si="3"/>
        <v>1</v>
      </c>
      <c r="B7" s="228"/>
      <c r="C7" s="189"/>
      <c r="D7" s="188"/>
      <c r="E7" s="186"/>
      <c r="F7">
        <f t="shared" si="1"/>
        <v>0</v>
      </c>
      <c r="G7" t="str">
        <f>IF(IFERROR(IF(Str_TypeDonneesCpt1=Cpt_Index,Tab_Compteur_1[[#This Row],[Index]]-E6,Tab_Compteur_1[[#This Row],[Quantité]])/Tab_Compteur_1[[#This Row],[Delta Jour]],"")&lt;0,"",IFERROR(IF(Str_TypeDonneesCpt1=Cpt_Index,Tab_Compteur_1[[#This Row],[Index]]-E6,Tab_Compteur_1[[#This Row],[Quantité]])/Tab_Compteur_1[[#This Row],[Delta Jour]],""))</f>
        <v/>
      </c>
      <c r="H7" t="str">
        <f>IFERROR(Tab_Compteur_1[[#This Row],[Montant]]/Tab_Compteur_1[[#This Row],[Delta Jour]],"")</f>
        <v/>
      </c>
      <c r="I7" s="208" t="str">
        <f t="shared" si="2"/>
        <v/>
      </c>
      <c r="J7" s="185"/>
      <c r="K7" s="480"/>
      <c r="L7" s="480"/>
      <c r="N7" s="38"/>
      <c r="O7"/>
    </row>
    <row r="8" spans="1:15">
      <c r="A8" s="464">
        <f t="shared" si="3"/>
        <v>1</v>
      </c>
      <c r="B8" s="228"/>
      <c r="C8" s="189"/>
      <c r="D8" s="188"/>
      <c r="E8" s="186"/>
      <c r="F8">
        <f t="shared" si="1"/>
        <v>0</v>
      </c>
      <c r="G8" t="str">
        <f>IF(IFERROR(IF(Str_TypeDonneesCpt1=Cpt_Index,Tab_Compteur_1[[#This Row],[Index]]-E7,Tab_Compteur_1[[#This Row],[Quantité]])/Tab_Compteur_1[[#This Row],[Delta Jour]],"")&lt;0,"",IFERROR(IF(Str_TypeDonneesCpt1=Cpt_Index,Tab_Compteur_1[[#This Row],[Index]]-E7,Tab_Compteur_1[[#This Row],[Quantité]])/Tab_Compteur_1[[#This Row],[Delta Jour]],""))</f>
        <v/>
      </c>
      <c r="H8" t="str">
        <f>IFERROR(Tab_Compteur_1[[#This Row],[Montant]]/Tab_Compteur_1[[#This Row],[Delta Jour]],"")</f>
        <v/>
      </c>
      <c r="I8" s="208" t="str">
        <f t="shared" si="2"/>
        <v/>
      </c>
      <c r="J8" s="185"/>
      <c r="K8" s="38"/>
      <c r="L8" s="38"/>
      <c r="M8" s="38"/>
      <c r="N8" s="38"/>
      <c r="O8"/>
    </row>
    <row r="9" spans="1:15">
      <c r="A9" s="464">
        <f t="shared" si="3"/>
        <v>1</v>
      </c>
      <c r="B9" s="228"/>
      <c r="C9" s="189"/>
      <c r="D9" s="188"/>
      <c r="E9" s="186"/>
      <c r="F9">
        <f t="shared" si="1"/>
        <v>0</v>
      </c>
      <c r="G9" t="str">
        <f>IF(IFERROR(IF(Str_TypeDonneesCpt1=Cpt_Index,Tab_Compteur_1[[#This Row],[Index]]-E8,Tab_Compteur_1[[#This Row],[Quantité]])/Tab_Compteur_1[[#This Row],[Delta Jour]],"")&lt;0,"",IFERROR(IF(Str_TypeDonneesCpt1=Cpt_Index,Tab_Compteur_1[[#This Row],[Index]]-E8,Tab_Compteur_1[[#This Row],[Quantité]])/Tab_Compteur_1[[#This Row],[Delta Jour]],""))</f>
        <v/>
      </c>
      <c r="H9" t="str">
        <f>IFERROR(Tab_Compteur_1[[#This Row],[Montant]]/Tab_Compteur_1[[#This Row],[Delta Jour]],"")</f>
        <v/>
      </c>
      <c r="I9" s="208" t="str">
        <f t="shared" si="2"/>
        <v/>
      </c>
      <c r="J9" s="185"/>
      <c r="K9" s="278" t="s">
        <v>882</v>
      </c>
      <c r="L9" s="38"/>
      <c r="M9" s="38"/>
      <c r="N9" s="38"/>
      <c r="O9"/>
    </row>
    <row r="10" spans="1:15" ht="15" customHeight="1">
      <c r="A10" s="464">
        <f t="shared" si="3"/>
        <v>1</v>
      </c>
      <c r="B10" s="228"/>
      <c r="C10" s="189"/>
      <c r="D10" s="188"/>
      <c r="E10" s="186"/>
      <c r="F10">
        <f t="shared" si="1"/>
        <v>0</v>
      </c>
      <c r="G10" t="str">
        <f>IF(IFERROR(IF(Str_TypeDonneesCpt1=Cpt_Index,Tab_Compteur_1[[#This Row],[Index]]-E9,Tab_Compteur_1[[#This Row],[Quantité]])/Tab_Compteur_1[[#This Row],[Delta Jour]],"")&lt;0,"",IFERROR(IF(Str_TypeDonneesCpt1=Cpt_Index,Tab_Compteur_1[[#This Row],[Index]]-E9,Tab_Compteur_1[[#This Row],[Quantité]])/Tab_Compteur_1[[#This Row],[Delta Jour]],""))</f>
        <v/>
      </c>
      <c r="H10" t="str">
        <f>IFERROR(Tab_Compteur_1[[#This Row],[Montant]]/Tab_Compteur_1[[#This Row],[Delta Jour]],"")</f>
        <v/>
      </c>
      <c r="I10" s="208" t="str">
        <f t="shared" si="2"/>
        <v/>
      </c>
      <c r="J10" s="207"/>
      <c r="K10" s="216" t="s">
        <v>875</v>
      </c>
      <c r="L10" s="172" t="s">
        <v>877</v>
      </c>
      <c r="M10" s="461"/>
      <c r="N10" s="38"/>
      <c r="O10"/>
    </row>
    <row r="11" spans="1:15">
      <c r="A11" s="464">
        <f t="shared" si="3"/>
        <v>1</v>
      </c>
      <c r="B11" s="228"/>
      <c r="C11" s="189"/>
      <c r="D11" s="188"/>
      <c r="E11" s="186"/>
      <c r="F11">
        <f t="shared" si="1"/>
        <v>0</v>
      </c>
      <c r="G11" t="str">
        <f>IF(IFERROR(IF(Str_TypeDonneesCpt1=Cpt_Index,Tab_Compteur_1[[#This Row],[Index]]-E10,Tab_Compteur_1[[#This Row],[Quantité]])/Tab_Compteur_1[[#This Row],[Delta Jour]],"")&lt;0,"",IFERROR(IF(Str_TypeDonneesCpt1=Cpt_Index,Tab_Compteur_1[[#This Row],[Index]]-E10,Tab_Compteur_1[[#This Row],[Quantité]])/Tab_Compteur_1[[#This Row],[Delta Jour]],""))</f>
        <v/>
      </c>
      <c r="H11" t="str">
        <f>IFERROR(Tab_Compteur_1[[#This Row],[Montant]]/Tab_Compteur_1[[#This Row],[Delta Jour]],"")</f>
        <v/>
      </c>
      <c r="I11" s="208" t="str">
        <f t="shared" si="2"/>
        <v/>
      </c>
      <c r="J11" s="207"/>
      <c r="K11" s="462">
        <v>2020</v>
      </c>
      <c r="L11" s="463"/>
      <c r="N11" s="38"/>
      <c r="O11"/>
    </row>
    <row r="12" spans="1:15">
      <c r="A12" s="464">
        <f t="shared" si="3"/>
        <v>1</v>
      </c>
      <c r="B12" s="228"/>
      <c r="C12" s="189"/>
      <c r="D12" s="188"/>
      <c r="E12" s="186"/>
      <c r="F12">
        <f t="shared" si="1"/>
        <v>0</v>
      </c>
      <c r="G12" t="str">
        <f>IF(IFERROR(IF(Str_TypeDonneesCpt1=Cpt_Index,Tab_Compteur_1[[#This Row],[Index]]-E11,Tab_Compteur_1[[#This Row],[Quantité]])/Tab_Compteur_1[[#This Row],[Delta Jour]],"")&lt;0,"",IFERROR(IF(Str_TypeDonneesCpt1=Cpt_Index,Tab_Compteur_1[[#This Row],[Index]]-E11,Tab_Compteur_1[[#This Row],[Quantité]])/Tab_Compteur_1[[#This Row],[Delta Jour]],""))</f>
        <v/>
      </c>
      <c r="H12" t="str">
        <f>IFERROR(Tab_Compteur_1[[#This Row],[Montant]]/Tab_Compteur_1[[#This Row],[Delta Jour]],"")</f>
        <v/>
      </c>
      <c r="I12" s="208" t="str">
        <f t="shared" si="2"/>
        <v/>
      </c>
      <c r="J12" s="207"/>
      <c r="K12" s="462">
        <v>2021</v>
      </c>
      <c r="L12" s="463"/>
      <c r="N12" s="38"/>
      <c r="O12"/>
    </row>
    <row r="13" spans="1:15">
      <c r="A13" s="464">
        <f t="shared" si="3"/>
        <v>1</v>
      </c>
      <c r="B13" s="228"/>
      <c r="C13" s="189"/>
      <c r="D13" s="188"/>
      <c r="E13" s="186"/>
      <c r="F13">
        <f t="shared" si="1"/>
        <v>0</v>
      </c>
      <c r="G13" t="str">
        <f>IF(IFERROR(IF(Str_TypeDonneesCpt1=Cpt_Index,Tab_Compteur_1[[#This Row],[Index]]-E12,Tab_Compteur_1[[#This Row],[Quantité]])/Tab_Compteur_1[[#This Row],[Delta Jour]],"")&lt;0,"",IFERROR(IF(Str_TypeDonneesCpt1=Cpt_Index,Tab_Compteur_1[[#This Row],[Index]]-E12,Tab_Compteur_1[[#This Row],[Quantité]])/Tab_Compteur_1[[#This Row],[Delta Jour]],""))</f>
        <v/>
      </c>
      <c r="H13" t="str">
        <f>IFERROR(Tab_Compteur_1[[#This Row],[Montant]]/Tab_Compteur_1[[#This Row],[Delta Jour]],"")</f>
        <v/>
      </c>
      <c r="I13" s="208" t="str">
        <f t="shared" si="2"/>
        <v/>
      </c>
      <c r="J13" s="207"/>
      <c r="K13" s="462">
        <v>2022</v>
      </c>
      <c r="L13" s="463"/>
      <c r="N13" s="38"/>
      <c r="O13"/>
    </row>
    <row r="14" spans="1:15">
      <c r="A14" s="464">
        <f t="shared" si="3"/>
        <v>1</v>
      </c>
      <c r="B14" s="228"/>
      <c r="C14" s="189"/>
      <c r="D14" s="188"/>
      <c r="E14" s="186"/>
      <c r="F14">
        <f t="shared" si="1"/>
        <v>0</v>
      </c>
      <c r="G14" t="str">
        <f>IF(IFERROR(IF(Str_TypeDonneesCpt1=Cpt_Index,Tab_Compteur_1[[#This Row],[Index]]-E13,Tab_Compteur_1[[#This Row],[Quantité]])/Tab_Compteur_1[[#This Row],[Delta Jour]],"")&lt;0,"",IFERROR(IF(Str_TypeDonneesCpt1=Cpt_Index,Tab_Compteur_1[[#This Row],[Index]]-E13,Tab_Compteur_1[[#This Row],[Quantité]])/Tab_Compteur_1[[#This Row],[Delta Jour]],""))</f>
        <v/>
      </c>
      <c r="H14" t="str">
        <f>IFERROR(Tab_Compteur_1[[#This Row],[Montant]]/Tab_Compteur_1[[#This Row],[Delta Jour]],"")</f>
        <v/>
      </c>
      <c r="I14" s="208" t="str">
        <f t="shared" si="2"/>
        <v/>
      </c>
      <c r="J14" s="207"/>
      <c r="K14" s="462">
        <v>2023</v>
      </c>
      <c r="L14" s="463"/>
      <c r="N14" s="38"/>
      <c r="O14"/>
    </row>
    <row r="15" spans="1:15">
      <c r="A15" s="464">
        <f t="shared" si="3"/>
        <v>1</v>
      </c>
      <c r="B15" s="228"/>
      <c r="C15" s="189"/>
      <c r="D15" s="188"/>
      <c r="E15" s="194"/>
      <c r="F15">
        <f t="shared" si="1"/>
        <v>0</v>
      </c>
      <c r="G15" t="str">
        <f>IF(IFERROR(IF(Str_TypeDonneesCpt1=Cpt_Index,Tab_Compteur_1[[#This Row],[Index]]-E14,Tab_Compteur_1[[#This Row],[Quantité]])/Tab_Compteur_1[[#This Row],[Delta Jour]],"")&lt;0,"",IFERROR(IF(Str_TypeDonneesCpt1=Cpt_Index,Tab_Compteur_1[[#This Row],[Index]]-E14,Tab_Compteur_1[[#This Row],[Quantité]])/Tab_Compteur_1[[#This Row],[Delta Jour]],""))</f>
        <v/>
      </c>
      <c r="H15" t="str">
        <f>IFERROR(Tab_Compteur_1[[#This Row],[Montant]]/Tab_Compteur_1[[#This Row],[Delta Jour]],"")</f>
        <v/>
      </c>
      <c r="I15" s="208" t="str">
        <f t="shared" si="2"/>
        <v/>
      </c>
      <c r="J15" s="207"/>
      <c r="K15" s="462">
        <v>2024</v>
      </c>
      <c r="L15" s="463"/>
      <c r="N15" s="38"/>
      <c r="O15"/>
    </row>
    <row r="16" spans="1:15">
      <c r="A16" s="464">
        <f t="shared" si="3"/>
        <v>1</v>
      </c>
      <c r="B16" s="228"/>
      <c r="C16" s="189"/>
      <c r="D16" s="188"/>
      <c r="E16" s="194"/>
      <c r="F16">
        <f t="shared" si="1"/>
        <v>0</v>
      </c>
      <c r="G16" t="str">
        <f>IF(IFERROR(IF(Str_TypeDonneesCpt1=Cpt_Index,Tab_Compteur_1[[#This Row],[Index]]-E15,Tab_Compteur_1[[#This Row],[Quantité]])/Tab_Compteur_1[[#This Row],[Delta Jour]],"")&lt;0,"",IFERROR(IF(Str_TypeDonneesCpt1=Cpt_Index,Tab_Compteur_1[[#This Row],[Index]]-E15,Tab_Compteur_1[[#This Row],[Quantité]])/Tab_Compteur_1[[#This Row],[Delta Jour]],""))</f>
        <v/>
      </c>
      <c r="H16" t="str">
        <f>IFERROR(Tab_Compteur_1[[#This Row],[Montant]]/Tab_Compteur_1[[#This Row],[Delta Jour]],"")</f>
        <v/>
      </c>
      <c r="I16" s="208" t="str">
        <f t="shared" si="2"/>
        <v/>
      </c>
      <c r="J16" s="207"/>
      <c r="K16" s="462">
        <v>2025</v>
      </c>
      <c r="L16" s="463"/>
      <c r="N16" s="38"/>
      <c r="O16"/>
    </row>
    <row r="17" spans="1:15">
      <c r="A17" s="464">
        <f t="shared" si="3"/>
        <v>1</v>
      </c>
      <c r="B17" s="228"/>
      <c r="C17" s="189"/>
      <c r="D17" s="188"/>
      <c r="E17" s="194"/>
      <c r="F17">
        <f t="shared" si="1"/>
        <v>0</v>
      </c>
      <c r="G17" t="str">
        <f>IF(IFERROR(IF(Str_TypeDonneesCpt1=Cpt_Index,Tab_Compteur_1[[#This Row],[Index]]-E16,Tab_Compteur_1[[#This Row],[Quantité]])/Tab_Compteur_1[[#This Row],[Delta Jour]],"")&lt;0,"",IFERROR(IF(Str_TypeDonneesCpt1=Cpt_Index,Tab_Compteur_1[[#This Row],[Index]]-E16,Tab_Compteur_1[[#This Row],[Quantité]])/Tab_Compteur_1[[#This Row],[Delta Jour]],""))</f>
        <v/>
      </c>
      <c r="H17" t="str">
        <f>IFERROR(Tab_Compteur_1[[#This Row],[Montant]]/Tab_Compteur_1[[#This Row],[Delta Jour]],"")</f>
        <v/>
      </c>
      <c r="I17" s="208" t="str">
        <f t="shared" si="2"/>
        <v/>
      </c>
      <c r="J17" s="207"/>
      <c r="K17" s="462">
        <v>2026</v>
      </c>
      <c r="L17" s="463"/>
      <c r="N17" s="38"/>
      <c r="O17"/>
    </row>
    <row r="18" spans="1:15">
      <c r="A18" s="464">
        <f t="shared" si="3"/>
        <v>1</v>
      </c>
      <c r="B18" s="228"/>
      <c r="C18" s="189"/>
      <c r="D18" s="188"/>
      <c r="E18" s="194"/>
      <c r="F18">
        <f t="shared" si="1"/>
        <v>0</v>
      </c>
      <c r="G18" t="str">
        <f>IF(IFERROR(IF(Str_TypeDonneesCpt1=Cpt_Index,Tab_Compteur_1[[#This Row],[Index]]-E17,Tab_Compteur_1[[#This Row],[Quantité]])/Tab_Compteur_1[[#This Row],[Delta Jour]],"")&lt;0,"",IFERROR(IF(Str_TypeDonneesCpt1=Cpt_Index,Tab_Compteur_1[[#This Row],[Index]]-E17,Tab_Compteur_1[[#This Row],[Quantité]])/Tab_Compteur_1[[#This Row],[Delta Jour]],""))</f>
        <v/>
      </c>
      <c r="H18" t="str">
        <f>IFERROR(Tab_Compteur_1[[#This Row],[Montant]]/Tab_Compteur_1[[#This Row],[Delta Jour]],"")</f>
        <v/>
      </c>
      <c r="I18" s="208" t="str">
        <f t="shared" si="2"/>
        <v/>
      </c>
      <c r="J18" s="207"/>
      <c r="K18" s="462">
        <v>2027</v>
      </c>
      <c r="L18" s="463"/>
      <c r="N18" s="38"/>
      <c r="O18"/>
    </row>
    <row r="19" spans="1:15">
      <c r="A19" s="464">
        <f t="shared" si="3"/>
        <v>1</v>
      </c>
      <c r="B19" s="228"/>
      <c r="C19" s="189"/>
      <c r="D19" s="188"/>
      <c r="E19" s="194"/>
      <c r="F19">
        <f t="shared" si="1"/>
        <v>0</v>
      </c>
      <c r="G19" t="str">
        <f>IF(IFERROR(IF(Str_TypeDonneesCpt1=Cpt_Index,Tab_Compteur_1[[#This Row],[Index]]-E18,Tab_Compteur_1[[#This Row],[Quantité]])/Tab_Compteur_1[[#This Row],[Delta Jour]],"")&lt;0,"",IFERROR(IF(Str_TypeDonneesCpt1=Cpt_Index,Tab_Compteur_1[[#This Row],[Index]]-E18,Tab_Compteur_1[[#This Row],[Quantité]])/Tab_Compteur_1[[#This Row],[Delta Jour]],""))</f>
        <v/>
      </c>
      <c r="H19" t="str">
        <f>IFERROR(Tab_Compteur_1[[#This Row],[Montant]]/Tab_Compteur_1[[#This Row],[Delta Jour]],"")</f>
        <v/>
      </c>
      <c r="I19" s="208" t="str">
        <f t="shared" si="2"/>
        <v/>
      </c>
      <c r="J19" s="207"/>
      <c r="K19" s="462">
        <v>2028</v>
      </c>
      <c r="L19" s="463"/>
      <c r="N19" s="38"/>
      <c r="O19"/>
    </row>
    <row r="20" spans="1:15">
      <c r="A20" s="464">
        <f t="shared" si="3"/>
        <v>1</v>
      </c>
      <c r="B20" s="228"/>
      <c r="C20" s="189"/>
      <c r="D20" s="188"/>
      <c r="E20" s="194"/>
      <c r="F20">
        <f t="shared" si="1"/>
        <v>0</v>
      </c>
      <c r="G20" t="str">
        <f>IF(IFERROR(IF(Str_TypeDonneesCpt1=Cpt_Index,Tab_Compteur_1[[#This Row],[Index]]-E19,Tab_Compteur_1[[#This Row],[Quantité]])/Tab_Compteur_1[[#This Row],[Delta Jour]],"")&lt;0,"",IFERROR(IF(Str_TypeDonneesCpt1=Cpt_Index,Tab_Compteur_1[[#This Row],[Index]]-E19,Tab_Compteur_1[[#This Row],[Quantité]])/Tab_Compteur_1[[#This Row],[Delta Jour]],""))</f>
        <v/>
      </c>
      <c r="H20" t="str">
        <f>IFERROR(Tab_Compteur_1[[#This Row],[Montant]]/Tab_Compteur_1[[#This Row],[Delta Jour]],"")</f>
        <v/>
      </c>
      <c r="I20" s="208" t="str">
        <f t="shared" si="2"/>
        <v/>
      </c>
      <c r="J20" s="207"/>
      <c r="K20" s="462">
        <v>2029</v>
      </c>
      <c r="L20" s="463"/>
      <c r="N20" s="38"/>
      <c r="O20"/>
    </row>
    <row r="21" spans="1:15">
      <c r="A21" s="464">
        <f t="shared" si="3"/>
        <v>1</v>
      </c>
      <c r="B21" s="228"/>
      <c r="C21" s="189"/>
      <c r="D21" s="188"/>
      <c r="E21" s="194"/>
      <c r="F21">
        <f t="shared" si="1"/>
        <v>0</v>
      </c>
      <c r="G21" t="str">
        <f>IF(IFERROR(IF(Str_TypeDonneesCpt1=Cpt_Index,Tab_Compteur_1[[#This Row],[Index]]-E20,Tab_Compteur_1[[#This Row],[Quantité]])/Tab_Compteur_1[[#This Row],[Delta Jour]],"")&lt;0,"",IFERROR(IF(Str_TypeDonneesCpt1=Cpt_Index,Tab_Compteur_1[[#This Row],[Index]]-E20,Tab_Compteur_1[[#This Row],[Quantité]])/Tab_Compteur_1[[#This Row],[Delta Jour]],""))</f>
        <v/>
      </c>
      <c r="H21" t="str">
        <f>IFERROR(Tab_Compteur_1[[#This Row],[Montant]]/Tab_Compteur_1[[#This Row],[Delta Jour]],"")</f>
        <v/>
      </c>
      <c r="I21" s="208" t="str">
        <f t="shared" si="2"/>
        <v/>
      </c>
      <c r="J21" s="207"/>
      <c r="K21" s="462">
        <v>2030</v>
      </c>
      <c r="L21" s="463"/>
      <c r="N21" s="38"/>
      <c r="O21"/>
    </row>
    <row r="22" spans="1:15">
      <c r="A22" s="464">
        <f t="shared" si="3"/>
        <v>1</v>
      </c>
      <c r="B22" s="228"/>
      <c r="C22" s="189"/>
      <c r="D22" s="188"/>
      <c r="E22" s="194"/>
      <c r="F22">
        <f t="shared" si="1"/>
        <v>0</v>
      </c>
      <c r="G22" t="str">
        <f>IF(IFERROR(IF(Str_TypeDonneesCpt1=Cpt_Index,Tab_Compteur_1[[#This Row],[Index]]-E21,Tab_Compteur_1[[#This Row],[Quantité]])/Tab_Compteur_1[[#This Row],[Delta Jour]],"")&lt;0,"",IFERROR(IF(Str_TypeDonneesCpt1=Cpt_Index,Tab_Compteur_1[[#This Row],[Index]]-E21,Tab_Compteur_1[[#This Row],[Quantité]])/Tab_Compteur_1[[#This Row],[Delta Jour]],""))</f>
        <v/>
      </c>
      <c r="H22" t="str">
        <f>IFERROR(Tab_Compteur_1[[#This Row],[Montant]]/Tab_Compteur_1[[#This Row],[Delta Jour]],"")</f>
        <v/>
      </c>
      <c r="I22" s="208" t="str">
        <f t="shared" si="2"/>
        <v/>
      </c>
      <c r="J22" s="207"/>
      <c r="K22" s="462">
        <v>2031</v>
      </c>
      <c r="L22" s="463"/>
      <c r="N22" s="38"/>
      <c r="O22"/>
    </row>
    <row r="23" spans="1:15">
      <c r="A23" s="464">
        <f t="shared" si="3"/>
        <v>1</v>
      </c>
      <c r="B23" s="228"/>
      <c r="C23" s="189"/>
      <c r="D23" s="188"/>
      <c r="E23" s="194"/>
      <c r="F23">
        <f t="shared" si="1"/>
        <v>0</v>
      </c>
      <c r="G23" t="str">
        <f>IF(IFERROR(IF(Str_TypeDonneesCpt1=Cpt_Index,Tab_Compteur_1[[#This Row],[Index]]-E22,Tab_Compteur_1[[#This Row],[Quantité]])/Tab_Compteur_1[[#This Row],[Delta Jour]],"")&lt;0,"",IFERROR(IF(Str_TypeDonneesCpt1=Cpt_Index,Tab_Compteur_1[[#This Row],[Index]]-E22,Tab_Compteur_1[[#This Row],[Quantité]])/Tab_Compteur_1[[#This Row],[Delta Jour]],""))</f>
        <v/>
      </c>
      <c r="H23" t="str">
        <f>IFERROR(Tab_Compteur_1[[#This Row],[Montant]]/Tab_Compteur_1[[#This Row],[Delta Jour]],"")</f>
        <v/>
      </c>
      <c r="I23" s="208" t="str">
        <f t="shared" si="2"/>
        <v/>
      </c>
      <c r="J23" s="207"/>
      <c r="K23" s="462">
        <v>2032</v>
      </c>
      <c r="L23" s="463"/>
      <c r="N23" s="38"/>
      <c r="O23"/>
    </row>
    <row r="24" spans="1:15">
      <c r="A24" s="464">
        <f t="shared" si="3"/>
        <v>1</v>
      </c>
      <c r="B24" s="228"/>
      <c r="C24" s="189"/>
      <c r="D24" s="188"/>
      <c r="E24" s="194"/>
      <c r="F24">
        <f t="shared" si="1"/>
        <v>0</v>
      </c>
      <c r="G24" t="str">
        <f>IF(IFERROR(IF(Str_TypeDonneesCpt1=Cpt_Index,Tab_Compteur_1[[#This Row],[Index]]-E23,Tab_Compteur_1[[#This Row],[Quantité]])/Tab_Compteur_1[[#This Row],[Delta Jour]],"")&lt;0,"",IFERROR(IF(Str_TypeDonneesCpt1=Cpt_Index,Tab_Compteur_1[[#This Row],[Index]]-E23,Tab_Compteur_1[[#This Row],[Quantité]])/Tab_Compteur_1[[#This Row],[Delta Jour]],""))</f>
        <v/>
      </c>
      <c r="H24" t="str">
        <f>IFERROR(Tab_Compteur_1[[#This Row],[Montant]]/Tab_Compteur_1[[#This Row],[Delta Jour]],"")</f>
        <v/>
      </c>
      <c r="I24" s="208" t="str">
        <f t="shared" si="2"/>
        <v/>
      </c>
      <c r="J24" s="207"/>
      <c r="K24" s="462">
        <v>2033</v>
      </c>
      <c r="L24" s="463"/>
      <c r="N24" s="38"/>
      <c r="O24"/>
    </row>
    <row r="25" spans="1:15">
      <c r="A25" s="464">
        <f t="shared" si="3"/>
        <v>1</v>
      </c>
      <c r="B25" s="228"/>
      <c r="C25" s="189"/>
      <c r="D25" s="188"/>
      <c r="E25" s="186"/>
      <c r="F25">
        <f t="shared" si="1"/>
        <v>0</v>
      </c>
      <c r="G25" t="str">
        <f>IF(IFERROR(IF(Str_TypeDonneesCpt1=Cpt_Index,Tab_Compteur_1[[#This Row],[Index]]-E24,Tab_Compteur_1[[#This Row],[Quantité]])/Tab_Compteur_1[[#This Row],[Delta Jour]],"")&lt;0,"",IFERROR(IF(Str_TypeDonneesCpt1=Cpt_Index,Tab_Compteur_1[[#This Row],[Index]]-E24,Tab_Compteur_1[[#This Row],[Quantité]])/Tab_Compteur_1[[#This Row],[Delta Jour]],""))</f>
        <v/>
      </c>
      <c r="H25" t="str">
        <f>IFERROR(Tab_Compteur_1[[#This Row],[Montant]]/Tab_Compteur_1[[#This Row],[Delta Jour]],"")</f>
        <v/>
      </c>
      <c r="I25" s="208" t="str">
        <f t="shared" si="2"/>
        <v/>
      </c>
      <c r="J25" s="185"/>
      <c r="K25" s="462">
        <v>2034</v>
      </c>
      <c r="L25" s="463"/>
      <c r="N25" s="38"/>
      <c r="O25"/>
    </row>
    <row r="26" spans="1:15">
      <c r="A26" s="464">
        <f t="shared" si="3"/>
        <v>1</v>
      </c>
      <c r="B26" s="228"/>
      <c r="C26" s="189"/>
      <c r="D26" s="188"/>
      <c r="E26" s="186"/>
      <c r="F26">
        <f t="shared" si="1"/>
        <v>0</v>
      </c>
      <c r="G26" t="str">
        <f>IF(IFERROR(IF(Str_TypeDonneesCpt1=Cpt_Index,Tab_Compteur_1[[#This Row],[Index]]-E25,Tab_Compteur_1[[#This Row],[Quantité]])/Tab_Compteur_1[[#This Row],[Delta Jour]],"")&lt;0,"",IFERROR(IF(Str_TypeDonneesCpt1=Cpt_Index,Tab_Compteur_1[[#This Row],[Index]]-E25,Tab_Compteur_1[[#This Row],[Quantité]])/Tab_Compteur_1[[#This Row],[Delta Jour]],""))</f>
        <v/>
      </c>
      <c r="H26" t="str">
        <f>IFERROR(Tab_Compteur_1[[#This Row],[Montant]]/Tab_Compteur_1[[#This Row],[Delta Jour]],"")</f>
        <v/>
      </c>
      <c r="I26" s="208" t="str">
        <f t="shared" si="2"/>
        <v/>
      </c>
      <c r="J26" s="185"/>
      <c r="K26" s="462">
        <v>2035</v>
      </c>
      <c r="L26" s="463"/>
      <c r="N26" s="38"/>
      <c r="O26"/>
    </row>
    <row r="27" spans="1:15">
      <c r="A27" s="464">
        <f t="shared" si="3"/>
        <v>1</v>
      </c>
      <c r="B27" s="228"/>
      <c r="C27" s="189"/>
      <c r="D27" s="188"/>
      <c r="E27" s="186"/>
      <c r="F27">
        <f t="shared" si="1"/>
        <v>0</v>
      </c>
      <c r="G27" t="str">
        <f>IF(IFERROR(IF(Str_TypeDonneesCpt1=Cpt_Index,Tab_Compteur_1[[#This Row],[Index]]-E26,Tab_Compteur_1[[#This Row],[Quantité]])/Tab_Compteur_1[[#This Row],[Delta Jour]],"")&lt;0,"",IFERROR(IF(Str_TypeDonneesCpt1=Cpt_Index,Tab_Compteur_1[[#This Row],[Index]]-E26,Tab_Compteur_1[[#This Row],[Quantité]])/Tab_Compteur_1[[#This Row],[Delta Jour]],""))</f>
        <v/>
      </c>
      <c r="H27" t="str">
        <f>IFERROR(Tab_Compteur_1[[#This Row],[Montant]]/Tab_Compteur_1[[#This Row],[Delta Jour]],"")</f>
        <v/>
      </c>
      <c r="I27" s="208" t="str">
        <f t="shared" si="2"/>
        <v/>
      </c>
      <c r="J27" s="185"/>
      <c r="K27" s="462">
        <v>2036</v>
      </c>
      <c r="L27" s="463"/>
      <c r="N27" s="38"/>
      <c r="O27"/>
    </row>
    <row r="28" spans="1:15">
      <c r="A28" s="464">
        <f t="shared" si="3"/>
        <v>1</v>
      </c>
      <c r="B28" s="228"/>
      <c r="C28" s="189"/>
      <c r="D28" s="188"/>
      <c r="E28" s="186"/>
      <c r="F28">
        <f t="shared" si="1"/>
        <v>0</v>
      </c>
      <c r="G28" t="str">
        <f>IF(IFERROR(IF(Str_TypeDonneesCpt1=Cpt_Index,Tab_Compteur_1[[#This Row],[Index]]-E27,Tab_Compteur_1[[#This Row],[Quantité]])/Tab_Compteur_1[[#This Row],[Delta Jour]],"")&lt;0,"",IFERROR(IF(Str_TypeDonneesCpt1=Cpt_Index,Tab_Compteur_1[[#This Row],[Index]]-E27,Tab_Compteur_1[[#This Row],[Quantité]])/Tab_Compteur_1[[#This Row],[Delta Jour]],""))</f>
        <v/>
      </c>
      <c r="H28" t="str">
        <f>IFERROR(Tab_Compteur_1[[#This Row],[Montant]]/Tab_Compteur_1[[#This Row],[Delta Jour]],"")</f>
        <v/>
      </c>
      <c r="I28" s="208" t="str">
        <f t="shared" si="2"/>
        <v/>
      </c>
      <c r="J28" s="185"/>
      <c r="K28" s="462">
        <v>2037</v>
      </c>
      <c r="L28" s="463"/>
      <c r="N28" s="38"/>
      <c r="O28"/>
    </row>
    <row r="29" spans="1:15">
      <c r="A29" s="464">
        <f t="shared" si="3"/>
        <v>1</v>
      </c>
      <c r="B29" s="228"/>
      <c r="C29" s="189"/>
      <c r="D29" s="188"/>
      <c r="E29" s="186"/>
      <c r="F29">
        <f t="shared" si="1"/>
        <v>0</v>
      </c>
      <c r="G29" t="str">
        <f>IF(IFERROR(IF(Str_TypeDonneesCpt1=Cpt_Index,Tab_Compteur_1[[#This Row],[Index]]-E28,Tab_Compteur_1[[#This Row],[Quantité]])/Tab_Compteur_1[[#This Row],[Delta Jour]],"")&lt;0,"",IFERROR(IF(Str_TypeDonneesCpt1=Cpt_Index,Tab_Compteur_1[[#This Row],[Index]]-E28,Tab_Compteur_1[[#This Row],[Quantité]])/Tab_Compteur_1[[#This Row],[Delta Jour]],""))</f>
        <v/>
      </c>
      <c r="H29" t="str">
        <f>IFERROR(Tab_Compteur_1[[#This Row],[Montant]]/Tab_Compteur_1[[#This Row],[Delta Jour]],"")</f>
        <v/>
      </c>
      <c r="I29" s="208" t="str">
        <f t="shared" si="2"/>
        <v/>
      </c>
      <c r="J29" s="185"/>
      <c r="K29" s="462">
        <v>2038</v>
      </c>
      <c r="L29" s="463"/>
      <c r="N29" s="38"/>
      <c r="O29"/>
    </row>
    <row r="30" spans="1:15">
      <c r="A30" s="464">
        <f t="shared" si="3"/>
        <v>1</v>
      </c>
      <c r="B30" s="228"/>
      <c r="C30" s="189"/>
      <c r="D30" s="188"/>
      <c r="E30" s="186"/>
      <c r="F30">
        <f t="shared" si="1"/>
        <v>0</v>
      </c>
      <c r="G30" t="str">
        <f>IF(IFERROR(IF(Str_TypeDonneesCpt1=Cpt_Index,Tab_Compteur_1[[#This Row],[Index]]-E29,Tab_Compteur_1[[#This Row],[Quantité]])/Tab_Compteur_1[[#This Row],[Delta Jour]],"")&lt;0,"",IFERROR(IF(Str_TypeDonneesCpt1=Cpt_Index,Tab_Compteur_1[[#This Row],[Index]]-E29,Tab_Compteur_1[[#This Row],[Quantité]])/Tab_Compteur_1[[#This Row],[Delta Jour]],""))</f>
        <v/>
      </c>
      <c r="H30" t="str">
        <f>IFERROR(Tab_Compteur_1[[#This Row],[Montant]]/Tab_Compteur_1[[#This Row],[Delta Jour]],"")</f>
        <v/>
      </c>
      <c r="I30" s="208" t="str">
        <f t="shared" si="2"/>
        <v/>
      </c>
      <c r="J30" s="185"/>
      <c r="K30" s="462">
        <v>2039</v>
      </c>
      <c r="L30" s="463"/>
      <c r="N30" s="38"/>
      <c r="O30"/>
    </row>
    <row r="31" spans="1:15">
      <c r="A31" s="464">
        <f t="shared" si="3"/>
        <v>1</v>
      </c>
      <c r="B31" s="228"/>
      <c r="C31" s="189"/>
      <c r="D31" s="188"/>
      <c r="E31" s="186"/>
      <c r="F31">
        <f t="shared" si="1"/>
        <v>0</v>
      </c>
      <c r="G31" t="str">
        <f>IF(IFERROR(IF(Str_TypeDonneesCpt1=Cpt_Index,Tab_Compteur_1[[#This Row],[Index]]-E30,Tab_Compteur_1[[#This Row],[Quantité]])/Tab_Compteur_1[[#This Row],[Delta Jour]],"")&lt;0,"",IFERROR(IF(Str_TypeDonneesCpt1=Cpt_Index,Tab_Compteur_1[[#This Row],[Index]]-E30,Tab_Compteur_1[[#This Row],[Quantité]])/Tab_Compteur_1[[#This Row],[Delta Jour]],""))</f>
        <v/>
      </c>
      <c r="H31" t="str">
        <f>IFERROR(Tab_Compteur_1[[#This Row],[Montant]]/Tab_Compteur_1[[#This Row],[Delta Jour]],"")</f>
        <v/>
      </c>
      <c r="I31" s="208" t="str">
        <f t="shared" si="2"/>
        <v/>
      </c>
      <c r="J31" s="185"/>
      <c r="K31" s="462">
        <v>2040</v>
      </c>
      <c r="L31" s="463"/>
      <c r="N31" s="38"/>
      <c r="O31"/>
    </row>
    <row r="32" spans="1:15">
      <c r="A32" s="464">
        <f t="shared" si="3"/>
        <v>1</v>
      </c>
      <c r="B32" s="228"/>
      <c r="C32" s="189"/>
      <c r="D32" s="188"/>
      <c r="E32" s="186"/>
      <c r="F32">
        <f t="shared" si="1"/>
        <v>0</v>
      </c>
      <c r="G32" t="str">
        <f>IF(IFERROR(IF(Str_TypeDonneesCpt1=Cpt_Index,Tab_Compteur_1[[#This Row],[Index]]-E31,Tab_Compteur_1[[#This Row],[Quantité]])/Tab_Compteur_1[[#This Row],[Delta Jour]],"")&lt;0,"",IFERROR(IF(Str_TypeDonneesCpt1=Cpt_Index,Tab_Compteur_1[[#This Row],[Index]]-E31,Tab_Compteur_1[[#This Row],[Quantité]])/Tab_Compteur_1[[#This Row],[Delta Jour]],""))</f>
        <v/>
      </c>
      <c r="H32" t="str">
        <f>IFERROR(Tab_Compteur_1[[#This Row],[Montant]]/Tab_Compteur_1[[#This Row],[Delta Jour]],"")</f>
        <v/>
      </c>
      <c r="I32" s="208" t="str">
        <f t="shared" si="2"/>
        <v/>
      </c>
      <c r="J32" s="185"/>
      <c r="N32" s="38"/>
      <c r="O32"/>
    </row>
    <row r="33" spans="1:15">
      <c r="A33" s="464">
        <f t="shared" si="3"/>
        <v>1</v>
      </c>
      <c r="B33" s="228"/>
      <c r="C33" s="189"/>
      <c r="D33" s="188"/>
      <c r="E33" s="186"/>
      <c r="F33">
        <f t="shared" si="1"/>
        <v>0</v>
      </c>
      <c r="G33" t="str">
        <f>IF(IFERROR(IF(Str_TypeDonneesCpt1=Cpt_Index,Tab_Compteur_1[[#This Row],[Index]]-E32,Tab_Compteur_1[[#This Row],[Quantité]])/Tab_Compteur_1[[#This Row],[Delta Jour]],"")&lt;0,"",IFERROR(IF(Str_TypeDonneesCpt1=Cpt_Index,Tab_Compteur_1[[#This Row],[Index]]-E32,Tab_Compteur_1[[#This Row],[Quantité]])/Tab_Compteur_1[[#This Row],[Delta Jour]],""))</f>
        <v/>
      </c>
      <c r="H33" t="str">
        <f>IFERROR(Tab_Compteur_1[[#This Row],[Montant]]/Tab_Compteur_1[[#This Row],[Delta Jour]],"")</f>
        <v/>
      </c>
      <c r="I33" s="208" t="str">
        <f t="shared" si="2"/>
        <v/>
      </c>
      <c r="J33" s="185"/>
      <c r="K33" s="38"/>
      <c r="L33" s="38"/>
      <c r="M33" s="38"/>
      <c r="N33" s="38"/>
      <c r="O33"/>
    </row>
    <row r="34" spans="1:15">
      <c r="A34" s="464">
        <f t="shared" si="3"/>
        <v>1</v>
      </c>
      <c r="B34" s="228"/>
      <c r="C34" s="189"/>
      <c r="D34" s="188"/>
      <c r="E34" s="186"/>
      <c r="F34">
        <f t="shared" si="1"/>
        <v>0</v>
      </c>
      <c r="G34" t="str">
        <f>IF(IFERROR(IF(Str_TypeDonneesCpt1=Cpt_Index,Tab_Compteur_1[[#This Row],[Index]]-E33,Tab_Compteur_1[[#This Row],[Quantité]])/Tab_Compteur_1[[#This Row],[Delta Jour]],"")&lt;0,"",IFERROR(IF(Str_TypeDonneesCpt1=Cpt_Index,Tab_Compteur_1[[#This Row],[Index]]-E33,Tab_Compteur_1[[#This Row],[Quantité]])/Tab_Compteur_1[[#This Row],[Delta Jour]],""))</f>
        <v/>
      </c>
      <c r="H34" t="str">
        <f>IFERROR(Tab_Compteur_1[[#This Row],[Montant]]/Tab_Compteur_1[[#This Row],[Delta Jour]],"")</f>
        <v/>
      </c>
      <c r="I34" s="208" t="str">
        <f t="shared" si="2"/>
        <v/>
      </c>
      <c r="J34" s="185"/>
      <c r="K34" s="599" t="s">
        <v>442</v>
      </c>
      <c r="L34" s="599"/>
      <c r="M34" s="599"/>
      <c r="N34" s="38"/>
      <c r="O34"/>
    </row>
    <row r="35" spans="1:15">
      <c r="A35" s="464">
        <f t="shared" si="3"/>
        <v>1</v>
      </c>
      <c r="B35" s="228"/>
      <c r="C35" s="189"/>
      <c r="D35" s="188"/>
      <c r="E35" s="186"/>
      <c r="F35">
        <f t="shared" si="1"/>
        <v>0</v>
      </c>
      <c r="G35" t="str">
        <f>IF(IFERROR(IF(Str_TypeDonneesCpt1=Cpt_Index,Tab_Compteur_1[[#This Row],[Index]]-E34,Tab_Compteur_1[[#This Row],[Quantité]])/Tab_Compteur_1[[#This Row],[Delta Jour]],"")&lt;0,"",IFERROR(IF(Str_TypeDonneesCpt1=Cpt_Index,Tab_Compteur_1[[#This Row],[Index]]-E34,Tab_Compteur_1[[#This Row],[Quantité]])/Tab_Compteur_1[[#This Row],[Delta Jour]],""))</f>
        <v/>
      </c>
      <c r="H35" t="str">
        <f>IFERROR(Tab_Compteur_1[[#This Row],[Montant]]/Tab_Compteur_1[[#This Row],[Delta Jour]],"")</f>
        <v/>
      </c>
      <c r="I35" s="208" t="str">
        <f t="shared" si="2"/>
        <v/>
      </c>
      <c r="J35" s="185"/>
      <c r="K35" s="599"/>
      <c r="L35" s="599"/>
      <c r="M35" s="599"/>
      <c r="N35" s="38"/>
      <c r="O35"/>
    </row>
    <row r="36" spans="1:15">
      <c r="A36" s="464">
        <f t="shared" si="3"/>
        <v>1</v>
      </c>
      <c r="B36" s="228"/>
      <c r="C36" s="189"/>
      <c r="D36" s="188"/>
      <c r="E36" s="186"/>
      <c r="F36">
        <f t="shared" si="1"/>
        <v>0</v>
      </c>
      <c r="G36" t="str">
        <f>IF(IFERROR(IF(Str_TypeDonneesCpt1=Cpt_Index,Tab_Compteur_1[[#This Row],[Index]]-E35,Tab_Compteur_1[[#This Row],[Quantité]])/Tab_Compteur_1[[#This Row],[Delta Jour]],"")&lt;0,"",IFERROR(IF(Str_TypeDonneesCpt1=Cpt_Index,Tab_Compteur_1[[#This Row],[Index]]-E35,Tab_Compteur_1[[#This Row],[Quantité]])/Tab_Compteur_1[[#This Row],[Delta Jour]],""))</f>
        <v/>
      </c>
      <c r="H36" t="str">
        <f>IFERROR(Tab_Compteur_1[[#This Row],[Montant]]/Tab_Compteur_1[[#This Row],[Delta Jour]],"")</f>
        <v/>
      </c>
      <c r="I36" s="208" t="str">
        <f t="shared" si="2"/>
        <v/>
      </c>
      <c r="J36" s="185"/>
      <c r="K36" s="599"/>
      <c r="L36" s="599"/>
      <c r="M36" s="599"/>
      <c r="N36" s="38"/>
      <c r="O36"/>
    </row>
    <row r="37" spans="1:15">
      <c r="A37" s="464">
        <f t="shared" si="3"/>
        <v>1</v>
      </c>
      <c r="B37" s="228"/>
      <c r="C37" s="189"/>
      <c r="D37" s="188"/>
      <c r="E37" s="186"/>
      <c r="F37">
        <f t="shared" si="1"/>
        <v>0</v>
      </c>
      <c r="G37" t="str">
        <f>IF(IFERROR(IF(Str_TypeDonneesCpt1=Cpt_Index,Tab_Compteur_1[[#This Row],[Index]]-E36,Tab_Compteur_1[[#This Row],[Quantité]])/Tab_Compteur_1[[#This Row],[Delta Jour]],"")&lt;0,"",IFERROR(IF(Str_TypeDonneesCpt1=Cpt_Index,Tab_Compteur_1[[#This Row],[Index]]-E36,Tab_Compteur_1[[#This Row],[Quantité]])/Tab_Compteur_1[[#This Row],[Delta Jour]],""))</f>
        <v/>
      </c>
      <c r="H37" t="str">
        <f>IFERROR(Tab_Compteur_1[[#This Row],[Montant]]/Tab_Compteur_1[[#This Row],[Delta Jour]],"")</f>
        <v/>
      </c>
      <c r="I37" s="208" t="str">
        <f t="shared" si="2"/>
        <v/>
      </c>
      <c r="J37" s="185"/>
      <c r="K37" s="599"/>
      <c r="L37" s="599"/>
      <c r="M37" s="599"/>
      <c r="N37" s="38"/>
      <c r="O37"/>
    </row>
    <row r="38" spans="1:15">
      <c r="A38" s="464">
        <f t="shared" si="3"/>
        <v>1</v>
      </c>
      <c r="B38" s="228"/>
      <c r="C38" s="189"/>
      <c r="D38" s="188"/>
      <c r="E38" s="186"/>
      <c r="F38">
        <f t="shared" si="1"/>
        <v>0</v>
      </c>
      <c r="G38" t="str">
        <f>IF(IFERROR(IF(Str_TypeDonneesCpt1=Cpt_Index,Tab_Compteur_1[[#This Row],[Index]]-E37,Tab_Compteur_1[[#This Row],[Quantité]])/Tab_Compteur_1[[#This Row],[Delta Jour]],"")&lt;0,"",IFERROR(IF(Str_TypeDonneesCpt1=Cpt_Index,Tab_Compteur_1[[#This Row],[Index]]-E37,Tab_Compteur_1[[#This Row],[Quantité]])/Tab_Compteur_1[[#This Row],[Delta Jour]],""))</f>
        <v/>
      </c>
      <c r="H38" t="str">
        <f>IFERROR(Tab_Compteur_1[[#This Row],[Montant]]/Tab_Compteur_1[[#This Row],[Delta Jour]],"")</f>
        <v/>
      </c>
      <c r="I38" s="208" t="str">
        <f t="shared" si="2"/>
        <v/>
      </c>
      <c r="J38" s="185"/>
      <c r="K38" s="599"/>
      <c r="L38" s="599"/>
      <c r="M38" s="599"/>
      <c r="N38" s="38"/>
      <c r="O38"/>
    </row>
    <row r="39" spans="1:15">
      <c r="A39" s="464">
        <f t="shared" si="3"/>
        <v>1</v>
      </c>
      <c r="B39" s="228"/>
      <c r="C39" s="189"/>
      <c r="D39" s="188"/>
      <c r="E39" s="186"/>
      <c r="F39">
        <f t="shared" si="1"/>
        <v>0</v>
      </c>
      <c r="G39" t="str">
        <f>IF(IFERROR(IF(Str_TypeDonneesCpt1=Cpt_Index,Tab_Compteur_1[[#This Row],[Index]]-E38,Tab_Compteur_1[[#This Row],[Quantité]])/Tab_Compteur_1[[#This Row],[Delta Jour]],"")&lt;0,"",IFERROR(IF(Str_TypeDonneesCpt1=Cpt_Index,Tab_Compteur_1[[#This Row],[Index]]-E38,Tab_Compteur_1[[#This Row],[Quantité]])/Tab_Compteur_1[[#This Row],[Delta Jour]],""))</f>
        <v/>
      </c>
      <c r="H39" t="str">
        <f>IFERROR(Tab_Compteur_1[[#This Row],[Montant]]/Tab_Compteur_1[[#This Row],[Delta Jour]],"")</f>
        <v/>
      </c>
      <c r="I39" s="208" t="str">
        <f t="shared" si="2"/>
        <v/>
      </c>
      <c r="J39" s="185"/>
      <c r="K39" s="599"/>
      <c r="L39" s="599"/>
      <c r="M39" s="599"/>
      <c r="N39" s="38"/>
      <c r="O39"/>
    </row>
    <row r="40" spans="1:15">
      <c r="A40" s="464">
        <f t="shared" si="3"/>
        <v>1</v>
      </c>
      <c r="B40" s="228"/>
      <c r="C40" s="189"/>
      <c r="D40" s="188"/>
      <c r="E40" s="186"/>
      <c r="F40">
        <f t="shared" si="1"/>
        <v>0</v>
      </c>
      <c r="G40" t="str">
        <f>IF(IFERROR(IF(Str_TypeDonneesCpt1=Cpt_Index,Tab_Compteur_1[[#This Row],[Index]]-E39,Tab_Compteur_1[[#This Row],[Quantité]])/Tab_Compteur_1[[#This Row],[Delta Jour]],"")&lt;0,"",IFERROR(IF(Str_TypeDonneesCpt1=Cpt_Index,Tab_Compteur_1[[#This Row],[Index]]-E39,Tab_Compteur_1[[#This Row],[Quantité]])/Tab_Compteur_1[[#This Row],[Delta Jour]],""))</f>
        <v/>
      </c>
      <c r="H40" t="str">
        <f>IFERROR(Tab_Compteur_1[[#This Row],[Montant]]/Tab_Compteur_1[[#This Row],[Delta Jour]],"")</f>
        <v/>
      </c>
      <c r="I40" s="208" t="str">
        <f t="shared" si="2"/>
        <v/>
      </c>
      <c r="J40" s="185"/>
      <c r="K40" s="599"/>
      <c r="L40" s="599"/>
      <c r="M40" s="599"/>
      <c r="N40" s="38"/>
      <c r="O40"/>
    </row>
    <row r="41" spans="1:15">
      <c r="A41" s="464">
        <f t="shared" si="3"/>
        <v>1</v>
      </c>
      <c r="B41" s="228"/>
      <c r="C41" s="189"/>
      <c r="D41" s="188"/>
      <c r="E41" s="186"/>
      <c r="F41">
        <f t="shared" si="1"/>
        <v>0</v>
      </c>
      <c r="G41" t="str">
        <f>IF(IFERROR(IF(Str_TypeDonneesCpt1=Cpt_Index,Tab_Compteur_1[[#This Row],[Index]]-E40,Tab_Compteur_1[[#This Row],[Quantité]])/Tab_Compteur_1[[#This Row],[Delta Jour]],"")&lt;0,"",IFERROR(IF(Str_TypeDonneesCpt1=Cpt_Index,Tab_Compteur_1[[#This Row],[Index]]-E40,Tab_Compteur_1[[#This Row],[Quantité]])/Tab_Compteur_1[[#This Row],[Delta Jour]],""))</f>
        <v/>
      </c>
      <c r="H41" t="str">
        <f>IFERROR(Tab_Compteur_1[[#This Row],[Montant]]/Tab_Compteur_1[[#This Row],[Delta Jour]],"")</f>
        <v/>
      </c>
      <c r="I41" s="208" t="str">
        <f t="shared" si="2"/>
        <v/>
      </c>
      <c r="J41" s="185"/>
      <c r="K41" s="599"/>
      <c r="L41" s="599"/>
      <c r="M41" s="599"/>
      <c r="N41" s="38"/>
      <c r="O41"/>
    </row>
    <row r="42" spans="1:15">
      <c r="A42" s="464">
        <f t="shared" si="3"/>
        <v>1</v>
      </c>
      <c r="B42" s="228"/>
      <c r="C42" s="189"/>
      <c r="D42" s="188"/>
      <c r="E42" s="186"/>
      <c r="F42">
        <f t="shared" si="1"/>
        <v>0</v>
      </c>
      <c r="G42" t="str">
        <f>IF(IFERROR(IF(Str_TypeDonneesCpt1=Cpt_Index,Tab_Compteur_1[[#This Row],[Index]]-E41,Tab_Compteur_1[[#This Row],[Quantité]])/Tab_Compteur_1[[#This Row],[Delta Jour]],"")&lt;0,"",IFERROR(IF(Str_TypeDonneesCpt1=Cpt_Index,Tab_Compteur_1[[#This Row],[Index]]-E41,Tab_Compteur_1[[#This Row],[Quantité]])/Tab_Compteur_1[[#This Row],[Delta Jour]],""))</f>
        <v/>
      </c>
      <c r="H42" t="str">
        <f>IFERROR(Tab_Compteur_1[[#This Row],[Montant]]/Tab_Compteur_1[[#This Row],[Delta Jour]],"")</f>
        <v/>
      </c>
      <c r="I42" s="208" t="str">
        <f t="shared" si="2"/>
        <v/>
      </c>
      <c r="J42" s="185"/>
      <c r="K42" s="599"/>
      <c r="L42" s="599"/>
      <c r="M42" s="599"/>
      <c r="N42" s="38"/>
      <c r="O42"/>
    </row>
    <row r="43" spans="1:15">
      <c r="A43" s="464">
        <f t="shared" si="3"/>
        <v>1</v>
      </c>
      <c r="B43" s="228"/>
      <c r="C43" s="189"/>
      <c r="D43" s="188"/>
      <c r="E43" s="186"/>
      <c r="F43">
        <f t="shared" si="1"/>
        <v>0</v>
      </c>
      <c r="G43" t="str">
        <f>IF(IFERROR(IF(Str_TypeDonneesCpt1=Cpt_Index,Tab_Compteur_1[[#This Row],[Index]]-E42,Tab_Compteur_1[[#This Row],[Quantité]])/Tab_Compteur_1[[#This Row],[Delta Jour]],"")&lt;0,"",IFERROR(IF(Str_TypeDonneesCpt1=Cpt_Index,Tab_Compteur_1[[#This Row],[Index]]-E42,Tab_Compteur_1[[#This Row],[Quantité]])/Tab_Compteur_1[[#This Row],[Delta Jour]],""))</f>
        <v/>
      </c>
      <c r="H43" t="str">
        <f>IFERROR(Tab_Compteur_1[[#This Row],[Montant]]/Tab_Compteur_1[[#This Row],[Delta Jour]],"")</f>
        <v/>
      </c>
      <c r="I43" s="208" t="str">
        <f t="shared" si="2"/>
        <v/>
      </c>
      <c r="J43" s="185"/>
      <c r="K43" s="599"/>
      <c r="L43" s="599"/>
      <c r="M43" s="599"/>
      <c r="N43" s="38"/>
      <c r="O43"/>
    </row>
    <row r="44" spans="1:15">
      <c r="A44" s="464">
        <f t="shared" si="3"/>
        <v>1</v>
      </c>
      <c r="B44" s="228"/>
      <c r="C44" s="189"/>
      <c r="D44" s="188"/>
      <c r="E44" s="186"/>
      <c r="F44">
        <f t="shared" si="1"/>
        <v>0</v>
      </c>
      <c r="G44" t="str">
        <f>IF(IFERROR(IF(Str_TypeDonneesCpt1=Cpt_Index,Tab_Compteur_1[[#This Row],[Index]]-E43,Tab_Compteur_1[[#This Row],[Quantité]])/Tab_Compteur_1[[#This Row],[Delta Jour]],"")&lt;0,"",IFERROR(IF(Str_TypeDonneesCpt1=Cpt_Index,Tab_Compteur_1[[#This Row],[Index]]-E43,Tab_Compteur_1[[#This Row],[Quantité]])/Tab_Compteur_1[[#This Row],[Delta Jour]],""))</f>
        <v/>
      </c>
      <c r="H44" t="str">
        <f>IFERROR(Tab_Compteur_1[[#This Row],[Montant]]/Tab_Compteur_1[[#This Row],[Delta Jour]],"")</f>
        <v/>
      </c>
      <c r="I44" s="208" t="str">
        <f t="shared" si="2"/>
        <v/>
      </c>
      <c r="J44" s="185"/>
      <c r="K44" s="599"/>
      <c r="L44" s="599"/>
      <c r="M44" s="599"/>
      <c r="N44" s="38"/>
      <c r="O44"/>
    </row>
    <row r="45" spans="1:15">
      <c r="A45" s="464">
        <f t="shared" si="3"/>
        <v>1</v>
      </c>
      <c r="B45" s="228"/>
      <c r="C45" s="189"/>
      <c r="D45" s="188"/>
      <c r="E45" s="186"/>
      <c r="F45">
        <f t="shared" si="1"/>
        <v>0</v>
      </c>
      <c r="G45" t="str">
        <f>IF(IFERROR(IF(Str_TypeDonneesCpt1=Cpt_Index,Tab_Compteur_1[[#This Row],[Index]]-E44,Tab_Compteur_1[[#This Row],[Quantité]])/Tab_Compteur_1[[#This Row],[Delta Jour]],"")&lt;0,"",IFERROR(IF(Str_TypeDonneesCpt1=Cpt_Index,Tab_Compteur_1[[#This Row],[Index]]-E44,Tab_Compteur_1[[#This Row],[Quantité]])/Tab_Compteur_1[[#This Row],[Delta Jour]],""))</f>
        <v/>
      </c>
      <c r="H45" t="str">
        <f>IFERROR(Tab_Compteur_1[[#This Row],[Montant]]/Tab_Compteur_1[[#This Row],[Delta Jour]],"")</f>
        <v/>
      </c>
      <c r="I45" s="208" t="str">
        <f t="shared" si="2"/>
        <v/>
      </c>
      <c r="J45" s="185"/>
      <c r="K45" s="599"/>
      <c r="L45" s="599"/>
      <c r="M45" s="599"/>
      <c r="N45" s="38"/>
      <c r="O45"/>
    </row>
    <row r="46" spans="1:15">
      <c r="A46" s="464">
        <f t="shared" si="3"/>
        <v>1</v>
      </c>
      <c r="B46" s="228"/>
      <c r="C46" s="189"/>
      <c r="D46" s="188"/>
      <c r="E46" s="186"/>
      <c r="F46">
        <f t="shared" si="1"/>
        <v>0</v>
      </c>
      <c r="G46" t="str">
        <f>IF(IFERROR(IF(Str_TypeDonneesCpt1=Cpt_Index,Tab_Compteur_1[[#This Row],[Index]]-E45,Tab_Compteur_1[[#This Row],[Quantité]])/Tab_Compteur_1[[#This Row],[Delta Jour]],"")&lt;0,"",IFERROR(IF(Str_TypeDonneesCpt1=Cpt_Index,Tab_Compteur_1[[#This Row],[Index]]-E45,Tab_Compteur_1[[#This Row],[Quantité]])/Tab_Compteur_1[[#This Row],[Delta Jour]],""))</f>
        <v/>
      </c>
      <c r="H46" t="str">
        <f>IFERROR(Tab_Compteur_1[[#This Row],[Montant]]/Tab_Compteur_1[[#This Row],[Delta Jour]],"")</f>
        <v/>
      </c>
      <c r="I46" s="208" t="str">
        <f t="shared" si="2"/>
        <v/>
      </c>
      <c r="J46" s="185"/>
      <c r="K46" s="599"/>
      <c r="L46" s="599"/>
      <c r="M46" s="599"/>
      <c r="N46" s="38"/>
      <c r="O46"/>
    </row>
    <row r="47" spans="1:15">
      <c r="A47" s="464">
        <f t="shared" si="3"/>
        <v>1</v>
      </c>
      <c r="B47" s="228"/>
      <c r="C47" s="189"/>
      <c r="D47" s="188"/>
      <c r="E47" s="186"/>
      <c r="F47">
        <f t="shared" si="1"/>
        <v>0</v>
      </c>
      <c r="G47" t="str">
        <f>IF(IFERROR(IF(Str_TypeDonneesCpt1=Cpt_Index,Tab_Compteur_1[[#This Row],[Index]]-E46,Tab_Compteur_1[[#This Row],[Quantité]])/Tab_Compteur_1[[#This Row],[Delta Jour]],"")&lt;0,"",IFERROR(IF(Str_TypeDonneesCpt1=Cpt_Index,Tab_Compteur_1[[#This Row],[Index]]-E46,Tab_Compteur_1[[#This Row],[Quantité]])/Tab_Compteur_1[[#This Row],[Delta Jour]],""))</f>
        <v/>
      </c>
      <c r="H47" t="str">
        <f>IFERROR(Tab_Compteur_1[[#This Row],[Montant]]/Tab_Compteur_1[[#This Row],[Delta Jour]],"")</f>
        <v/>
      </c>
      <c r="I47" s="208" t="str">
        <f t="shared" si="2"/>
        <v/>
      </c>
      <c r="J47" s="185"/>
      <c r="K47" s="599"/>
      <c r="L47" s="599"/>
      <c r="M47" s="599"/>
      <c r="N47" s="38"/>
      <c r="O47"/>
    </row>
    <row r="48" spans="1:15">
      <c r="A48" s="464">
        <f t="shared" si="3"/>
        <v>1</v>
      </c>
      <c r="B48" s="228"/>
      <c r="C48" s="189"/>
      <c r="D48" s="188"/>
      <c r="E48" s="186"/>
      <c r="F48">
        <f t="shared" si="1"/>
        <v>0</v>
      </c>
      <c r="G48" t="str">
        <f>IF(IFERROR(IF(Str_TypeDonneesCpt1=Cpt_Index,Tab_Compteur_1[[#This Row],[Index]]-E47,Tab_Compteur_1[[#This Row],[Quantité]])/Tab_Compteur_1[[#This Row],[Delta Jour]],"")&lt;0,"",IFERROR(IF(Str_TypeDonneesCpt1=Cpt_Index,Tab_Compteur_1[[#This Row],[Index]]-E47,Tab_Compteur_1[[#This Row],[Quantité]])/Tab_Compteur_1[[#This Row],[Delta Jour]],""))</f>
        <v/>
      </c>
      <c r="H48" t="str">
        <f>IFERROR(Tab_Compteur_1[[#This Row],[Montant]]/Tab_Compteur_1[[#This Row],[Delta Jour]],"")</f>
        <v/>
      </c>
      <c r="I48" s="208" t="str">
        <f t="shared" si="2"/>
        <v/>
      </c>
      <c r="J48" s="185"/>
      <c r="K48" s="599"/>
      <c r="L48" s="599"/>
      <c r="M48" s="599"/>
      <c r="N48" s="38"/>
      <c r="O48"/>
    </row>
    <row r="49" spans="1:15">
      <c r="A49" s="464">
        <f t="shared" si="3"/>
        <v>1</v>
      </c>
      <c r="B49" s="228"/>
      <c r="C49" s="189"/>
      <c r="D49" s="188"/>
      <c r="E49" s="186"/>
      <c r="F49">
        <f t="shared" si="1"/>
        <v>0</v>
      </c>
      <c r="G49" t="str">
        <f>IF(IFERROR(IF(Str_TypeDonneesCpt1=Cpt_Index,Tab_Compteur_1[[#This Row],[Index]]-E48,Tab_Compteur_1[[#This Row],[Quantité]])/Tab_Compteur_1[[#This Row],[Delta Jour]],"")&lt;0,"",IFERROR(IF(Str_TypeDonneesCpt1=Cpt_Index,Tab_Compteur_1[[#This Row],[Index]]-E48,Tab_Compteur_1[[#This Row],[Quantité]])/Tab_Compteur_1[[#This Row],[Delta Jour]],""))</f>
        <v/>
      </c>
      <c r="H49" t="str">
        <f>IFERROR(Tab_Compteur_1[[#This Row],[Montant]]/Tab_Compteur_1[[#This Row],[Delta Jour]],"")</f>
        <v/>
      </c>
      <c r="I49" s="208" t="str">
        <f t="shared" si="2"/>
        <v/>
      </c>
      <c r="J49" s="185"/>
      <c r="K49" s="599"/>
      <c r="L49" s="599"/>
      <c r="M49" s="599"/>
      <c r="N49" s="38"/>
      <c r="O49"/>
    </row>
    <row r="50" spans="1:15">
      <c r="A50" s="464">
        <f t="shared" si="3"/>
        <v>1</v>
      </c>
      <c r="B50" s="228"/>
      <c r="C50" s="189"/>
      <c r="D50" s="188"/>
      <c r="E50" s="186"/>
      <c r="F50">
        <f t="shared" si="1"/>
        <v>0</v>
      </c>
      <c r="G50" t="str">
        <f>IF(IFERROR(IF(Str_TypeDonneesCpt1=Cpt_Index,Tab_Compteur_1[[#This Row],[Index]]-E49,Tab_Compteur_1[[#This Row],[Quantité]])/Tab_Compteur_1[[#This Row],[Delta Jour]],"")&lt;0,"",IFERROR(IF(Str_TypeDonneesCpt1=Cpt_Index,Tab_Compteur_1[[#This Row],[Index]]-E49,Tab_Compteur_1[[#This Row],[Quantité]])/Tab_Compteur_1[[#This Row],[Delta Jour]],""))</f>
        <v/>
      </c>
      <c r="H50" t="str">
        <f>IFERROR(Tab_Compteur_1[[#This Row],[Montant]]/Tab_Compteur_1[[#This Row],[Delta Jour]],"")</f>
        <v/>
      </c>
      <c r="I50" s="208" t="str">
        <f t="shared" si="2"/>
        <v/>
      </c>
      <c r="J50" s="185"/>
      <c r="K50" s="599"/>
      <c r="L50" s="599"/>
      <c r="M50" s="599"/>
      <c r="N50" s="38"/>
      <c r="O50"/>
    </row>
    <row r="51" spans="1:15">
      <c r="A51" s="464">
        <f t="shared" si="3"/>
        <v>1</v>
      </c>
      <c r="B51" s="228"/>
      <c r="C51" s="189"/>
      <c r="D51" s="188"/>
      <c r="E51" s="186"/>
      <c r="F51">
        <f t="shared" si="1"/>
        <v>0</v>
      </c>
      <c r="G51" t="str">
        <f>IF(IFERROR(IF(Str_TypeDonneesCpt1=Cpt_Index,Tab_Compteur_1[[#This Row],[Index]]-E50,Tab_Compteur_1[[#This Row],[Quantité]])/Tab_Compteur_1[[#This Row],[Delta Jour]],"")&lt;0,"",IFERROR(IF(Str_TypeDonneesCpt1=Cpt_Index,Tab_Compteur_1[[#This Row],[Index]]-E50,Tab_Compteur_1[[#This Row],[Quantité]])/Tab_Compteur_1[[#This Row],[Delta Jour]],""))</f>
        <v/>
      </c>
      <c r="H51" t="str">
        <f>IFERROR(Tab_Compteur_1[[#This Row],[Montant]]/Tab_Compteur_1[[#This Row],[Delta Jour]],"")</f>
        <v/>
      </c>
      <c r="I51" s="208" t="str">
        <f t="shared" si="2"/>
        <v/>
      </c>
      <c r="J51" s="185"/>
      <c r="K51" s="599"/>
      <c r="L51" s="599"/>
      <c r="M51" s="599"/>
      <c r="N51" s="38"/>
      <c r="O51"/>
    </row>
    <row r="52" spans="1:15">
      <c r="A52" s="464">
        <f t="shared" si="3"/>
        <v>1</v>
      </c>
      <c r="B52" s="228"/>
      <c r="C52" s="189"/>
      <c r="D52" s="188"/>
      <c r="E52" s="186"/>
      <c r="F52">
        <f t="shared" si="1"/>
        <v>0</v>
      </c>
      <c r="G52" t="str">
        <f>IF(IFERROR(IF(Str_TypeDonneesCpt1=Cpt_Index,Tab_Compteur_1[[#This Row],[Index]]-E51,Tab_Compteur_1[[#This Row],[Quantité]])/Tab_Compteur_1[[#This Row],[Delta Jour]],"")&lt;0,"",IFERROR(IF(Str_TypeDonneesCpt1=Cpt_Index,Tab_Compteur_1[[#This Row],[Index]]-E51,Tab_Compteur_1[[#This Row],[Quantité]])/Tab_Compteur_1[[#This Row],[Delta Jour]],""))</f>
        <v/>
      </c>
      <c r="H52" t="str">
        <f>IFERROR(Tab_Compteur_1[[#This Row],[Montant]]/Tab_Compteur_1[[#This Row],[Delta Jour]],"")</f>
        <v/>
      </c>
      <c r="I52" s="208" t="str">
        <f t="shared" si="2"/>
        <v/>
      </c>
      <c r="J52" s="185"/>
      <c r="K52" s="599"/>
      <c r="L52" s="599"/>
      <c r="M52" s="599"/>
      <c r="N52" s="38"/>
      <c r="O52"/>
    </row>
    <row r="53" spans="1:15">
      <c r="A53" s="464">
        <f t="shared" si="3"/>
        <v>1</v>
      </c>
      <c r="B53" s="228"/>
      <c r="C53" s="189"/>
      <c r="D53" s="188"/>
      <c r="E53" s="186"/>
      <c r="F53">
        <f t="shared" si="1"/>
        <v>0</v>
      </c>
      <c r="G53" t="str">
        <f>IF(IFERROR(IF(Str_TypeDonneesCpt1=Cpt_Index,Tab_Compteur_1[[#This Row],[Index]]-E52,Tab_Compteur_1[[#This Row],[Quantité]])/Tab_Compteur_1[[#This Row],[Delta Jour]],"")&lt;0,"",IFERROR(IF(Str_TypeDonneesCpt1=Cpt_Index,Tab_Compteur_1[[#This Row],[Index]]-E52,Tab_Compteur_1[[#This Row],[Quantité]])/Tab_Compteur_1[[#This Row],[Delta Jour]],""))</f>
        <v/>
      </c>
      <c r="H53" t="str">
        <f>IFERROR(Tab_Compteur_1[[#This Row],[Montant]]/Tab_Compteur_1[[#This Row],[Delta Jour]],"")</f>
        <v/>
      </c>
      <c r="I53" s="208" t="str">
        <f t="shared" si="2"/>
        <v/>
      </c>
      <c r="J53" s="185"/>
      <c r="K53" s="599"/>
      <c r="L53" s="599"/>
      <c r="M53" s="599"/>
      <c r="N53" s="38"/>
      <c r="O53"/>
    </row>
    <row r="54" spans="1:15">
      <c r="A54" s="464">
        <f t="shared" si="3"/>
        <v>1</v>
      </c>
      <c r="B54" s="228"/>
      <c r="C54" s="189"/>
      <c r="D54" s="188"/>
      <c r="E54" s="186"/>
      <c r="F54">
        <f t="shared" si="1"/>
        <v>0</v>
      </c>
      <c r="G54" t="str">
        <f>IF(IFERROR(IF(Str_TypeDonneesCpt1=Cpt_Index,Tab_Compteur_1[[#This Row],[Index]]-E53,Tab_Compteur_1[[#This Row],[Quantité]])/Tab_Compteur_1[[#This Row],[Delta Jour]],"")&lt;0,"",IFERROR(IF(Str_TypeDonneesCpt1=Cpt_Index,Tab_Compteur_1[[#This Row],[Index]]-E53,Tab_Compteur_1[[#This Row],[Quantité]])/Tab_Compteur_1[[#This Row],[Delta Jour]],""))</f>
        <v/>
      </c>
      <c r="H54" t="str">
        <f>IFERROR(Tab_Compteur_1[[#This Row],[Montant]]/Tab_Compteur_1[[#This Row],[Delta Jour]],"")</f>
        <v/>
      </c>
      <c r="I54" s="208" t="str">
        <f t="shared" si="2"/>
        <v/>
      </c>
      <c r="J54" s="185"/>
      <c r="K54" s="599"/>
      <c r="L54" s="599"/>
      <c r="M54" s="599"/>
      <c r="N54" s="38"/>
      <c r="O54"/>
    </row>
    <row r="55" spans="1:15">
      <c r="A55" s="464">
        <f t="shared" si="3"/>
        <v>1</v>
      </c>
      <c r="B55" s="228"/>
      <c r="C55" s="189"/>
      <c r="D55" s="188"/>
      <c r="E55" s="186"/>
      <c r="F55">
        <f t="shared" si="1"/>
        <v>0</v>
      </c>
      <c r="G55" t="str">
        <f>IF(IFERROR(IF(Str_TypeDonneesCpt1=Cpt_Index,Tab_Compteur_1[[#This Row],[Index]]-E54,Tab_Compteur_1[[#This Row],[Quantité]])/Tab_Compteur_1[[#This Row],[Delta Jour]],"")&lt;0,"",IFERROR(IF(Str_TypeDonneesCpt1=Cpt_Index,Tab_Compteur_1[[#This Row],[Index]]-E54,Tab_Compteur_1[[#This Row],[Quantité]])/Tab_Compteur_1[[#This Row],[Delta Jour]],""))</f>
        <v/>
      </c>
      <c r="H55" t="str">
        <f>IFERROR(Tab_Compteur_1[[#This Row],[Montant]]/Tab_Compteur_1[[#This Row],[Delta Jour]],"")</f>
        <v/>
      </c>
      <c r="I55" s="208" t="str">
        <f t="shared" si="2"/>
        <v/>
      </c>
      <c r="J55" s="185"/>
      <c r="K55" s="599"/>
      <c r="L55" s="599"/>
      <c r="M55" s="599"/>
      <c r="N55" s="38"/>
      <c r="O55"/>
    </row>
    <row r="56" spans="1:15">
      <c r="A56" s="464">
        <f t="shared" si="3"/>
        <v>1</v>
      </c>
      <c r="B56" s="228"/>
      <c r="C56" s="189"/>
      <c r="D56" s="188"/>
      <c r="E56" s="186"/>
      <c r="F56">
        <f t="shared" si="1"/>
        <v>0</v>
      </c>
      <c r="G56" t="str">
        <f>IF(IFERROR(IF(Str_TypeDonneesCpt1=Cpt_Index,Tab_Compteur_1[[#This Row],[Index]]-E55,Tab_Compteur_1[[#This Row],[Quantité]])/Tab_Compteur_1[[#This Row],[Delta Jour]],"")&lt;0,"",IFERROR(IF(Str_TypeDonneesCpt1=Cpt_Index,Tab_Compteur_1[[#This Row],[Index]]-E55,Tab_Compteur_1[[#This Row],[Quantité]])/Tab_Compteur_1[[#This Row],[Delta Jour]],""))</f>
        <v/>
      </c>
      <c r="H56" t="str">
        <f>IFERROR(Tab_Compteur_1[[#This Row],[Montant]]/Tab_Compteur_1[[#This Row],[Delta Jour]],"")</f>
        <v/>
      </c>
      <c r="I56" s="208" t="str">
        <f t="shared" si="2"/>
        <v/>
      </c>
      <c r="J56" s="185"/>
      <c r="K56" s="599"/>
      <c r="L56" s="599"/>
      <c r="M56" s="599"/>
      <c r="N56" s="38"/>
      <c r="O56"/>
    </row>
    <row r="57" spans="1:15">
      <c r="A57" s="464">
        <f t="shared" si="3"/>
        <v>1</v>
      </c>
      <c r="B57" s="228"/>
      <c r="C57" s="189"/>
      <c r="D57" s="188"/>
      <c r="E57" s="186"/>
      <c r="F57">
        <f t="shared" si="1"/>
        <v>0</v>
      </c>
      <c r="G57" t="str">
        <f>IF(IFERROR(IF(Str_TypeDonneesCpt1=Cpt_Index,Tab_Compteur_1[[#This Row],[Index]]-E56,Tab_Compteur_1[[#This Row],[Quantité]])/Tab_Compteur_1[[#This Row],[Delta Jour]],"")&lt;0,"",IFERROR(IF(Str_TypeDonneesCpt1=Cpt_Index,Tab_Compteur_1[[#This Row],[Index]]-E56,Tab_Compteur_1[[#This Row],[Quantité]])/Tab_Compteur_1[[#This Row],[Delta Jour]],""))</f>
        <v/>
      </c>
      <c r="H57" t="str">
        <f>IFERROR(Tab_Compteur_1[[#This Row],[Montant]]/Tab_Compteur_1[[#This Row],[Delta Jour]],"")</f>
        <v/>
      </c>
      <c r="I57" s="208" t="str">
        <f t="shared" si="2"/>
        <v/>
      </c>
      <c r="J57" s="185"/>
      <c r="K57" s="38"/>
      <c r="L57" s="38"/>
      <c r="M57" s="38"/>
      <c r="N57" s="38"/>
      <c r="O57"/>
    </row>
    <row r="58" spans="1:15">
      <c r="A58" s="464">
        <f t="shared" si="3"/>
        <v>1</v>
      </c>
      <c r="B58" s="228"/>
      <c r="C58" s="189"/>
      <c r="D58" s="188"/>
      <c r="E58" s="186"/>
      <c r="F58">
        <f t="shared" si="1"/>
        <v>0</v>
      </c>
      <c r="G58" t="str">
        <f>IF(IFERROR(IF(Str_TypeDonneesCpt1=Cpt_Index,Tab_Compteur_1[[#This Row],[Index]]-E57,Tab_Compteur_1[[#This Row],[Quantité]])/Tab_Compteur_1[[#This Row],[Delta Jour]],"")&lt;0,"",IFERROR(IF(Str_TypeDonneesCpt1=Cpt_Index,Tab_Compteur_1[[#This Row],[Index]]-E57,Tab_Compteur_1[[#This Row],[Quantité]])/Tab_Compteur_1[[#This Row],[Delta Jour]],""))</f>
        <v/>
      </c>
      <c r="H58" t="str">
        <f>IFERROR(Tab_Compteur_1[[#This Row],[Montant]]/Tab_Compteur_1[[#This Row],[Delta Jour]],"")</f>
        <v/>
      </c>
      <c r="I58" s="208" t="str">
        <f t="shared" si="2"/>
        <v/>
      </c>
      <c r="J58" s="185"/>
      <c r="K58" s="38"/>
      <c r="L58" s="38"/>
      <c r="M58" s="38"/>
      <c r="N58" s="38"/>
      <c r="O58"/>
    </row>
    <row r="59" spans="1:15">
      <c r="A59" s="464">
        <f t="shared" si="3"/>
        <v>1</v>
      </c>
      <c r="B59" s="228"/>
      <c r="C59" s="189"/>
      <c r="D59" s="188"/>
      <c r="E59" s="186"/>
      <c r="F59">
        <f t="shared" si="1"/>
        <v>0</v>
      </c>
      <c r="G59" t="str">
        <f>IF(IFERROR(IF(Str_TypeDonneesCpt1=Cpt_Index,Tab_Compteur_1[[#This Row],[Index]]-E58,Tab_Compteur_1[[#This Row],[Quantité]])/Tab_Compteur_1[[#This Row],[Delta Jour]],"")&lt;0,"",IFERROR(IF(Str_TypeDonneesCpt1=Cpt_Index,Tab_Compteur_1[[#This Row],[Index]]-E58,Tab_Compteur_1[[#This Row],[Quantité]])/Tab_Compteur_1[[#This Row],[Delta Jour]],""))</f>
        <v/>
      </c>
      <c r="H59" t="str">
        <f>IFERROR(Tab_Compteur_1[[#This Row],[Montant]]/Tab_Compteur_1[[#This Row],[Delta Jour]],"")</f>
        <v/>
      </c>
      <c r="I59" s="208" t="str">
        <f t="shared" si="2"/>
        <v/>
      </c>
      <c r="J59" s="185"/>
      <c r="K59" s="38"/>
      <c r="L59" s="38"/>
      <c r="M59" s="38"/>
      <c r="N59" s="38"/>
      <c r="O59"/>
    </row>
    <row r="60" spans="1:15">
      <c r="A60" s="464">
        <f t="shared" si="3"/>
        <v>1</v>
      </c>
      <c r="B60" s="228"/>
      <c r="C60" s="189"/>
      <c r="D60" s="188"/>
      <c r="E60" s="186"/>
      <c r="F60">
        <f t="shared" si="1"/>
        <v>0</v>
      </c>
      <c r="G60" t="str">
        <f>IF(IFERROR(IF(Str_TypeDonneesCpt1=Cpt_Index,Tab_Compteur_1[[#This Row],[Index]]-E59,Tab_Compteur_1[[#This Row],[Quantité]])/Tab_Compteur_1[[#This Row],[Delta Jour]],"")&lt;0,"",IFERROR(IF(Str_TypeDonneesCpt1=Cpt_Index,Tab_Compteur_1[[#This Row],[Index]]-E59,Tab_Compteur_1[[#This Row],[Quantité]])/Tab_Compteur_1[[#This Row],[Delta Jour]],""))</f>
        <v/>
      </c>
      <c r="H60" t="str">
        <f>IFERROR(Tab_Compteur_1[[#This Row],[Montant]]/Tab_Compteur_1[[#This Row],[Delta Jour]],"")</f>
        <v/>
      </c>
      <c r="I60" s="208" t="str">
        <f t="shared" si="2"/>
        <v/>
      </c>
      <c r="J60" s="185"/>
      <c r="K60" s="38"/>
      <c r="L60" s="38"/>
      <c r="M60" s="38"/>
      <c r="N60" s="38"/>
      <c r="O60"/>
    </row>
    <row r="61" spans="1:15">
      <c r="A61" s="464">
        <f t="shared" si="3"/>
        <v>1</v>
      </c>
      <c r="B61" s="228"/>
      <c r="C61" s="189"/>
      <c r="D61" s="188"/>
      <c r="E61" s="186"/>
      <c r="F61">
        <f t="shared" si="1"/>
        <v>0</v>
      </c>
      <c r="G61" t="str">
        <f>IF(IFERROR(IF(Str_TypeDonneesCpt1=Cpt_Index,Tab_Compteur_1[[#This Row],[Index]]-E60,Tab_Compteur_1[[#This Row],[Quantité]])/Tab_Compteur_1[[#This Row],[Delta Jour]],"")&lt;0,"",IFERROR(IF(Str_TypeDonneesCpt1=Cpt_Index,Tab_Compteur_1[[#This Row],[Index]]-E60,Tab_Compteur_1[[#This Row],[Quantité]])/Tab_Compteur_1[[#This Row],[Delta Jour]],""))</f>
        <v/>
      </c>
      <c r="H61" t="str">
        <f>IFERROR(Tab_Compteur_1[[#This Row],[Montant]]/Tab_Compteur_1[[#This Row],[Delta Jour]],"")</f>
        <v/>
      </c>
      <c r="I61" s="208" t="str">
        <f t="shared" si="2"/>
        <v/>
      </c>
      <c r="J61" s="185"/>
      <c r="K61" s="38"/>
      <c r="L61" s="38"/>
      <c r="M61" s="38"/>
      <c r="N61" s="38"/>
      <c r="O61"/>
    </row>
    <row r="62" spans="1:15">
      <c r="A62" s="464">
        <f t="shared" si="3"/>
        <v>1</v>
      </c>
      <c r="B62" s="228"/>
      <c r="C62" s="189"/>
      <c r="D62" s="188"/>
      <c r="E62" s="186"/>
      <c r="F62">
        <f t="shared" si="1"/>
        <v>0</v>
      </c>
      <c r="G62" t="str">
        <f>IF(IFERROR(IF(Str_TypeDonneesCpt1=Cpt_Index,Tab_Compteur_1[[#This Row],[Index]]-E61,Tab_Compteur_1[[#This Row],[Quantité]])/Tab_Compteur_1[[#This Row],[Delta Jour]],"")&lt;0,"",IFERROR(IF(Str_TypeDonneesCpt1=Cpt_Index,Tab_Compteur_1[[#This Row],[Index]]-E61,Tab_Compteur_1[[#This Row],[Quantité]])/Tab_Compteur_1[[#This Row],[Delta Jour]],""))</f>
        <v/>
      </c>
      <c r="H62" t="str">
        <f>IFERROR(Tab_Compteur_1[[#This Row],[Montant]]/Tab_Compteur_1[[#This Row],[Delta Jour]],"")</f>
        <v/>
      </c>
      <c r="I62" s="208" t="str">
        <f t="shared" si="2"/>
        <v/>
      </c>
      <c r="J62" s="185"/>
      <c r="K62" s="38"/>
      <c r="L62" s="38"/>
      <c r="M62" s="38"/>
      <c r="N62" s="38"/>
      <c r="O62"/>
    </row>
    <row r="63" spans="1:15">
      <c r="A63" s="464">
        <f t="shared" si="3"/>
        <v>1</v>
      </c>
      <c r="B63" s="228"/>
      <c r="C63" s="189"/>
      <c r="D63" s="188"/>
      <c r="E63" s="186"/>
      <c r="F63">
        <f t="shared" si="1"/>
        <v>0</v>
      </c>
      <c r="G63" t="str">
        <f>IF(IFERROR(IF(Str_TypeDonneesCpt1=Cpt_Index,Tab_Compteur_1[[#This Row],[Index]]-E62,Tab_Compteur_1[[#This Row],[Quantité]])/Tab_Compteur_1[[#This Row],[Delta Jour]],"")&lt;0,"",IFERROR(IF(Str_TypeDonneesCpt1=Cpt_Index,Tab_Compteur_1[[#This Row],[Index]]-E62,Tab_Compteur_1[[#This Row],[Quantité]])/Tab_Compteur_1[[#This Row],[Delta Jour]],""))</f>
        <v/>
      </c>
      <c r="H63" t="str">
        <f>IFERROR(Tab_Compteur_1[[#This Row],[Montant]]/Tab_Compteur_1[[#This Row],[Delta Jour]],"")</f>
        <v/>
      </c>
      <c r="I63" s="208" t="str">
        <f t="shared" si="2"/>
        <v/>
      </c>
      <c r="J63" s="185"/>
      <c r="K63" s="38"/>
      <c r="L63" s="38"/>
      <c r="M63" s="38"/>
      <c r="N63" s="38"/>
      <c r="O63"/>
    </row>
    <row r="64" spans="1:15">
      <c r="A64" s="464">
        <f t="shared" si="3"/>
        <v>1</v>
      </c>
      <c r="B64" s="228"/>
      <c r="C64" s="189"/>
      <c r="D64" s="188"/>
      <c r="E64" s="186"/>
      <c r="F64">
        <f t="shared" si="1"/>
        <v>0</v>
      </c>
      <c r="G64" t="str">
        <f>IF(IFERROR(IF(Str_TypeDonneesCpt1=Cpt_Index,Tab_Compteur_1[[#This Row],[Index]]-E63,Tab_Compteur_1[[#This Row],[Quantité]])/Tab_Compteur_1[[#This Row],[Delta Jour]],"")&lt;0,"",IFERROR(IF(Str_TypeDonneesCpt1=Cpt_Index,Tab_Compteur_1[[#This Row],[Index]]-E63,Tab_Compteur_1[[#This Row],[Quantité]])/Tab_Compteur_1[[#This Row],[Delta Jour]],""))</f>
        <v/>
      </c>
      <c r="H64" t="str">
        <f>IFERROR(Tab_Compteur_1[[#This Row],[Montant]]/Tab_Compteur_1[[#This Row],[Delta Jour]],"")</f>
        <v/>
      </c>
      <c r="I64" s="208" t="str">
        <f t="shared" si="2"/>
        <v/>
      </c>
      <c r="J64" s="185"/>
      <c r="K64" s="38"/>
      <c r="L64" s="38"/>
      <c r="M64" s="38"/>
      <c r="N64" s="38"/>
      <c r="O64"/>
    </row>
    <row r="65" spans="1:15">
      <c r="A65" s="464">
        <f t="shared" si="3"/>
        <v>1</v>
      </c>
      <c r="B65" s="228"/>
      <c r="C65" s="189"/>
      <c r="D65" s="188"/>
      <c r="E65" s="186"/>
      <c r="F65">
        <f t="shared" si="1"/>
        <v>0</v>
      </c>
      <c r="G65" t="str">
        <f>IF(IFERROR(IF(Str_TypeDonneesCpt1=Cpt_Index,Tab_Compteur_1[[#This Row],[Index]]-E64,Tab_Compteur_1[[#This Row],[Quantité]])/Tab_Compteur_1[[#This Row],[Delta Jour]],"")&lt;0,"",IFERROR(IF(Str_TypeDonneesCpt1=Cpt_Index,Tab_Compteur_1[[#This Row],[Index]]-E64,Tab_Compteur_1[[#This Row],[Quantité]])/Tab_Compteur_1[[#This Row],[Delta Jour]],""))</f>
        <v/>
      </c>
      <c r="H65" t="str">
        <f>IFERROR(Tab_Compteur_1[[#This Row],[Montant]]/Tab_Compteur_1[[#This Row],[Delta Jour]],"")</f>
        <v/>
      </c>
      <c r="I65" s="208" t="str">
        <f t="shared" si="2"/>
        <v/>
      </c>
      <c r="J65" s="185"/>
      <c r="K65" s="38"/>
      <c r="L65" s="38"/>
      <c r="M65" s="38"/>
      <c r="N65" s="38"/>
      <c r="O65"/>
    </row>
    <row r="66" spans="1:15">
      <c r="A66" s="464">
        <f t="shared" si="3"/>
        <v>1</v>
      </c>
      <c r="B66" s="228"/>
      <c r="C66" s="189"/>
      <c r="D66" s="188"/>
      <c r="E66" s="186"/>
      <c r="F66">
        <f t="shared" si="1"/>
        <v>0</v>
      </c>
      <c r="G66" t="str">
        <f>IF(IFERROR(IF(Str_TypeDonneesCpt1=Cpt_Index,Tab_Compteur_1[[#This Row],[Index]]-E65,Tab_Compteur_1[[#This Row],[Quantité]])/Tab_Compteur_1[[#This Row],[Delta Jour]],"")&lt;0,"",IFERROR(IF(Str_TypeDonneesCpt1=Cpt_Index,Tab_Compteur_1[[#This Row],[Index]]-E65,Tab_Compteur_1[[#This Row],[Quantité]])/Tab_Compteur_1[[#This Row],[Delta Jour]],""))</f>
        <v/>
      </c>
      <c r="H66" t="str">
        <f>IFERROR(Tab_Compteur_1[[#This Row],[Montant]]/Tab_Compteur_1[[#This Row],[Delta Jour]],"")</f>
        <v/>
      </c>
      <c r="I66" s="208" t="str">
        <f t="shared" si="2"/>
        <v/>
      </c>
      <c r="J66" s="185"/>
      <c r="K66" s="38"/>
      <c r="L66" s="38"/>
      <c r="M66" s="38"/>
      <c r="N66" s="38"/>
      <c r="O66"/>
    </row>
    <row r="67" spans="1:15">
      <c r="A67" s="464">
        <f t="shared" si="3"/>
        <v>1</v>
      </c>
      <c r="B67" s="228"/>
      <c r="C67" s="189"/>
      <c r="D67" s="188"/>
      <c r="E67" s="186"/>
      <c r="F67">
        <f t="shared" ref="F67:F130" si="4">IFERROR(B67-A67+1,"")</f>
        <v>0</v>
      </c>
      <c r="G67" t="str">
        <f>IF(IFERROR(IF(Str_TypeDonneesCpt1=Cpt_Index,Tab_Compteur_1[[#This Row],[Index]]-E66,Tab_Compteur_1[[#This Row],[Quantité]])/Tab_Compteur_1[[#This Row],[Delta Jour]],"")&lt;0,"",IFERROR(IF(Str_TypeDonneesCpt1=Cpt_Index,Tab_Compteur_1[[#This Row],[Index]]-E66,Tab_Compteur_1[[#This Row],[Quantité]])/Tab_Compteur_1[[#This Row],[Delta Jour]],""))</f>
        <v/>
      </c>
      <c r="H67" t="str">
        <f>IFERROR(Tab_Compteur_1[[#This Row],[Montant]]/Tab_Compteur_1[[#This Row],[Delta Jour]],"")</f>
        <v/>
      </c>
      <c r="I67" s="208" t="str">
        <f t="shared" si="2"/>
        <v/>
      </c>
      <c r="J67" s="185"/>
      <c r="K67" s="38"/>
      <c r="L67" s="38"/>
      <c r="M67" s="38"/>
      <c r="N67" s="38"/>
      <c r="O67"/>
    </row>
    <row r="68" spans="1:15">
      <c r="A68" s="464">
        <f t="shared" si="3"/>
        <v>1</v>
      </c>
      <c r="B68" s="228"/>
      <c r="C68" s="189"/>
      <c r="D68" s="188"/>
      <c r="E68" s="186"/>
      <c r="F68">
        <f t="shared" si="4"/>
        <v>0</v>
      </c>
      <c r="G68" t="str">
        <f>IF(IFERROR(IF(Str_TypeDonneesCpt1=Cpt_Index,Tab_Compteur_1[[#This Row],[Index]]-E67,Tab_Compteur_1[[#This Row],[Quantité]])/Tab_Compteur_1[[#This Row],[Delta Jour]],"")&lt;0,"",IFERROR(IF(Str_TypeDonneesCpt1=Cpt_Index,Tab_Compteur_1[[#This Row],[Index]]-E67,Tab_Compteur_1[[#This Row],[Quantité]])/Tab_Compteur_1[[#This Row],[Delta Jour]],""))</f>
        <v/>
      </c>
      <c r="H68" t="str">
        <f>IFERROR(Tab_Compteur_1[[#This Row],[Montant]]/Tab_Compteur_1[[#This Row],[Delta Jour]],"")</f>
        <v/>
      </c>
      <c r="I68" s="208" t="str">
        <f t="shared" si="2"/>
        <v/>
      </c>
      <c r="J68" s="185"/>
      <c r="K68" s="38"/>
      <c r="L68" s="38"/>
      <c r="M68" s="38"/>
      <c r="N68" s="38"/>
      <c r="O68"/>
    </row>
    <row r="69" spans="1:15">
      <c r="A69" s="464">
        <f t="shared" si="3"/>
        <v>1</v>
      </c>
      <c r="B69" s="228"/>
      <c r="C69" s="189"/>
      <c r="D69" s="188"/>
      <c r="E69" s="186"/>
      <c r="F69">
        <f t="shared" si="4"/>
        <v>0</v>
      </c>
      <c r="G69" t="str">
        <f>IF(IFERROR(IF(Str_TypeDonneesCpt1=Cpt_Index,Tab_Compteur_1[[#This Row],[Index]]-E68,Tab_Compteur_1[[#This Row],[Quantité]])/Tab_Compteur_1[[#This Row],[Delta Jour]],"")&lt;0,"",IFERROR(IF(Str_TypeDonneesCpt1=Cpt_Index,Tab_Compteur_1[[#This Row],[Index]]-E68,Tab_Compteur_1[[#This Row],[Quantité]])/Tab_Compteur_1[[#This Row],[Delta Jour]],""))</f>
        <v/>
      </c>
      <c r="H69" t="str">
        <f>IFERROR(Tab_Compteur_1[[#This Row],[Montant]]/Tab_Compteur_1[[#This Row],[Delta Jour]],"")</f>
        <v/>
      </c>
      <c r="I69" s="208" t="str">
        <f t="shared" ref="I69:I132" si="5">G69</f>
        <v/>
      </c>
      <c r="J69" s="185"/>
      <c r="K69" s="38"/>
      <c r="L69" s="38"/>
      <c r="M69" s="38"/>
      <c r="N69" s="38"/>
      <c r="O69"/>
    </row>
    <row r="70" spans="1:15">
      <c r="A70" s="464">
        <f t="shared" ref="A70:A133" si="6">IFERROR(B69+1,0)</f>
        <v>1</v>
      </c>
      <c r="B70" s="228"/>
      <c r="C70" s="189"/>
      <c r="D70" s="188"/>
      <c r="E70" s="186"/>
      <c r="F70">
        <f t="shared" si="4"/>
        <v>0</v>
      </c>
      <c r="G70" t="str">
        <f>IF(IFERROR(IF(Str_TypeDonneesCpt1=Cpt_Index,Tab_Compteur_1[[#This Row],[Index]]-E69,Tab_Compteur_1[[#This Row],[Quantité]])/Tab_Compteur_1[[#This Row],[Delta Jour]],"")&lt;0,"",IFERROR(IF(Str_TypeDonneesCpt1=Cpt_Index,Tab_Compteur_1[[#This Row],[Index]]-E69,Tab_Compteur_1[[#This Row],[Quantité]])/Tab_Compteur_1[[#This Row],[Delta Jour]],""))</f>
        <v/>
      </c>
      <c r="H70" t="str">
        <f>IFERROR(Tab_Compteur_1[[#This Row],[Montant]]/Tab_Compteur_1[[#This Row],[Delta Jour]],"")</f>
        <v/>
      </c>
      <c r="I70" s="208" t="str">
        <f t="shared" si="5"/>
        <v/>
      </c>
      <c r="J70" s="185"/>
      <c r="K70" s="38"/>
      <c r="L70" s="38"/>
      <c r="M70" s="38"/>
      <c r="N70" s="38"/>
      <c r="O70"/>
    </row>
    <row r="71" spans="1:15">
      <c r="A71" s="464">
        <f t="shared" si="6"/>
        <v>1</v>
      </c>
      <c r="B71" s="228"/>
      <c r="C71" s="189"/>
      <c r="D71" s="188"/>
      <c r="E71" s="186"/>
      <c r="F71">
        <f t="shared" si="4"/>
        <v>0</v>
      </c>
      <c r="G71" t="str">
        <f>IF(IFERROR(IF(Str_TypeDonneesCpt1=Cpt_Index,Tab_Compteur_1[[#This Row],[Index]]-E70,Tab_Compteur_1[[#This Row],[Quantité]])/Tab_Compteur_1[[#This Row],[Delta Jour]],"")&lt;0,"",IFERROR(IF(Str_TypeDonneesCpt1=Cpt_Index,Tab_Compteur_1[[#This Row],[Index]]-E70,Tab_Compteur_1[[#This Row],[Quantité]])/Tab_Compteur_1[[#This Row],[Delta Jour]],""))</f>
        <v/>
      </c>
      <c r="H71" t="str">
        <f>IFERROR(Tab_Compteur_1[[#This Row],[Montant]]/Tab_Compteur_1[[#This Row],[Delta Jour]],"")</f>
        <v/>
      </c>
      <c r="I71" s="208" t="str">
        <f t="shared" si="5"/>
        <v/>
      </c>
      <c r="J71" s="185"/>
      <c r="K71" s="38"/>
      <c r="L71" s="38"/>
      <c r="M71" s="38"/>
      <c r="N71" s="38"/>
      <c r="O71"/>
    </row>
    <row r="72" spans="1:15">
      <c r="A72" s="464">
        <f t="shared" si="6"/>
        <v>1</v>
      </c>
      <c r="B72" s="228"/>
      <c r="C72" s="189"/>
      <c r="D72" s="188"/>
      <c r="E72" s="186"/>
      <c r="F72">
        <f t="shared" si="4"/>
        <v>0</v>
      </c>
      <c r="G72" t="str">
        <f>IF(IFERROR(IF(Str_TypeDonneesCpt1=Cpt_Index,Tab_Compteur_1[[#This Row],[Index]]-E71,Tab_Compteur_1[[#This Row],[Quantité]])/Tab_Compteur_1[[#This Row],[Delta Jour]],"")&lt;0,"",IFERROR(IF(Str_TypeDonneesCpt1=Cpt_Index,Tab_Compteur_1[[#This Row],[Index]]-E71,Tab_Compteur_1[[#This Row],[Quantité]])/Tab_Compteur_1[[#This Row],[Delta Jour]],""))</f>
        <v/>
      </c>
      <c r="H72" t="str">
        <f>IFERROR(Tab_Compteur_1[[#This Row],[Montant]]/Tab_Compteur_1[[#This Row],[Delta Jour]],"")</f>
        <v/>
      </c>
      <c r="I72" s="208" t="str">
        <f t="shared" si="5"/>
        <v/>
      </c>
      <c r="J72" s="185"/>
      <c r="K72" s="38"/>
      <c r="L72" s="38"/>
      <c r="M72" s="38"/>
      <c r="N72" s="38"/>
      <c r="O72"/>
    </row>
    <row r="73" spans="1:15">
      <c r="A73" s="464">
        <f t="shared" si="6"/>
        <v>1</v>
      </c>
      <c r="B73" s="228"/>
      <c r="C73" s="189"/>
      <c r="D73" s="188"/>
      <c r="E73" s="186"/>
      <c r="F73">
        <f t="shared" si="4"/>
        <v>0</v>
      </c>
      <c r="G73" t="str">
        <f>IF(IFERROR(IF(Str_TypeDonneesCpt1=Cpt_Index,Tab_Compteur_1[[#This Row],[Index]]-E72,Tab_Compteur_1[[#This Row],[Quantité]])/Tab_Compteur_1[[#This Row],[Delta Jour]],"")&lt;0,"",IFERROR(IF(Str_TypeDonneesCpt1=Cpt_Index,Tab_Compteur_1[[#This Row],[Index]]-E72,Tab_Compteur_1[[#This Row],[Quantité]])/Tab_Compteur_1[[#This Row],[Delta Jour]],""))</f>
        <v/>
      </c>
      <c r="H73" t="str">
        <f>IFERROR(Tab_Compteur_1[[#This Row],[Montant]]/Tab_Compteur_1[[#This Row],[Delta Jour]],"")</f>
        <v/>
      </c>
      <c r="I73" s="208" t="str">
        <f t="shared" si="5"/>
        <v/>
      </c>
      <c r="J73" s="185"/>
      <c r="K73" s="38"/>
      <c r="L73" s="38"/>
      <c r="M73" s="38"/>
      <c r="N73" s="38"/>
      <c r="O73"/>
    </row>
    <row r="74" spans="1:15">
      <c r="A74" s="464">
        <f t="shared" si="6"/>
        <v>1</v>
      </c>
      <c r="B74" s="228"/>
      <c r="C74" s="189"/>
      <c r="D74" s="188"/>
      <c r="E74" s="186"/>
      <c r="F74">
        <f t="shared" si="4"/>
        <v>0</v>
      </c>
      <c r="G74" t="str">
        <f>IF(IFERROR(IF(Str_TypeDonneesCpt1=Cpt_Index,Tab_Compteur_1[[#This Row],[Index]]-E73,Tab_Compteur_1[[#This Row],[Quantité]])/Tab_Compteur_1[[#This Row],[Delta Jour]],"")&lt;0,"",IFERROR(IF(Str_TypeDonneesCpt1=Cpt_Index,Tab_Compteur_1[[#This Row],[Index]]-E73,Tab_Compteur_1[[#This Row],[Quantité]])/Tab_Compteur_1[[#This Row],[Delta Jour]],""))</f>
        <v/>
      </c>
      <c r="H74" t="str">
        <f>IFERROR(Tab_Compteur_1[[#This Row],[Montant]]/Tab_Compteur_1[[#This Row],[Delta Jour]],"")</f>
        <v/>
      </c>
      <c r="I74" s="208" t="str">
        <f t="shared" si="5"/>
        <v/>
      </c>
      <c r="J74" s="185"/>
      <c r="K74" s="38"/>
      <c r="L74" s="38"/>
      <c r="M74" s="38"/>
      <c r="N74" s="38"/>
      <c r="O74"/>
    </row>
    <row r="75" spans="1:15">
      <c r="A75" s="464">
        <f t="shared" si="6"/>
        <v>1</v>
      </c>
      <c r="B75" s="228"/>
      <c r="C75" s="189"/>
      <c r="D75" s="188"/>
      <c r="E75" s="186"/>
      <c r="F75">
        <f t="shared" si="4"/>
        <v>0</v>
      </c>
      <c r="G75" t="str">
        <f>IF(IFERROR(IF(Str_TypeDonneesCpt1=Cpt_Index,Tab_Compteur_1[[#This Row],[Index]]-E74,Tab_Compteur_1[[#This Row],[Quantité]])/Tab_Compteur_1[[#This Row],[Delta Jour]],"")&lt;0,"",IFERROR(IF(Str_TypeDonneesCpt1=Cpt_Index,Tab_Compteur_1[[#This Row],[Index]]-E74,Tab_Compteur_1[[#This Row],[Quantité]])/Tab_Compteur_1[[#This Row],[Delta Jour]],""))</f>
        <v/>
      </c>
      <c r="H75" t="str">
        <f>IFERROR(Tab_Compteur_1[[#This Row],[Montant]]/Tab_Compteur_1[[#This Row],[Delta Jour]],"")</f>
        <v/>
      </c>
      <c r="I75" s="208" t="str">
        <f t="shared" si="5"/>
        <v/>
      </c>
      <c r="J75" s="185"/>
      <c r="K75" s="38"/>
      <c r="L75" s="38"/>
      <c r="M75" s="38"/>
      <c r="N75" s="38"/>
      <c r="O75"/>
    </row>
    <row r="76" spans="1:15">
      <c r="A76" s="464">
        <f t="shared" si="6"/>
        <v>1</v>
      </c>
      <c r="B76" s="228"/>
      <c r="C76" s="189"/>
      <c r="D76" s="188"/>
      <c r="E76" s="186"/>
      <c r="F76">
        <f t="shared" si="4"/>
        <v>0</v>
      </c>
      <c r="G76" t="str">
        <f>IF(IFERROR(IF(Str_TypeDonneesCpt1=Cpt_Index,Tab_Compteur_1[[#This Row],[Index]]-E75,Tab_Compteur_1[[#This Row],[Quantité]])/Tab_Compteur_1[[#This Row],[Delta Jour]],"")&lt;0,"",IFERROR(IF(Str_TypeDonneesCpt1=Cpt_Index,Tab_Compteur_1[[#This Row],[Index]]-E75,Tab_Compteur_1[[#This Row],[Quantité]])/Tab_Compteur_1[[#This Row],[Delta Jour]],""))</f>
        <v/>
      </c>
      <c r="H76" t="str">
        <f>IFERROR(Tab_Compteur_1[[#This Row],[Montant]]/Tab_Compteur_1[[#This Row],[Delta Jour]],"")</f>
        <v/>
      </c>
      <c r="I76" s="208" t="str">
        <f t="shared" si="5"/>
        <v/>
      </c>
      <c r="J76" s="185"/>
      <c r="K76" s="38"/>
      <c r="L76" s="38"/>
      <c r="M76" s="38"/>
      <c r="N76" s="38"/>
      <c r="O76"/>
    </row>
    <row r="77" spans="1:15">
      <c r="A77" s="464">
        <f t="shared" si="6"/>
        <v>1</v>
      </c>
      <c r="B77" s="228"/>
      <c r="C77" s="189"/>
      <c r="D77" s="188"/>
      <c r="E77" s="186"/>
      <c r="F77">
        <f t="shared" si="4"/>
        <v>0</v>
      </c>
      <c r="G77" t="str">
        <f>IF(IFERROR(IF(Str_TypeDonneesCpt1=Cpt_Index,Tab_Compteur_1[[#This Row],[Index]]-E76,Tab_Compteur_1[[#This Row],[Quantité]])/Tab_Compteur_1[[#This Row],[Delta Jour]],"")&lt;0,"",IFERROR(IF(Str_TypeDonneesCpt1=Cpt_Index,Tab_Compteur_1[[#This Row],[Index]]-E76,Tab_Compteur_1[[#This Row],[Quantité]])/Tab_Compteur_1[[#This Row],[Delta Jour]],""))</f>
        <v/>
      </c>
      <c r="H77" t="str">
        <f>IFERROR(Tab_Compteur_1[[#This Row],[Montant]]/Tab_Compteur_1[[#This Row],[Delta Jour]],"")</f>
        <v/>
      </c>
      <c r="I77" s="208" t="str">
        <f t="shared" si="5"/>
        <v/>
      </c>
      <c r="J77" s="185"/>
      <c r="K77" s="38"/>
      <c r="L77" s="38"/>
      <c r="M77" s="38"/>
      <c r="N77" s="38"/>
      <c r="O77"/>
    </row>
    <row r="78" spans="1:15">
      <c r="A78" s="464">
        <f t="shared" si="6"/>
        <v>1</v>
      </c>
      <c r="B78" s="228"/>
      <c r="C78" s="189"/>
      <c r="D78" s="188"/>
      <c r="E78" s="186"/>
      <c r="F78">
        <f t="shared" si="4"/>
        <v>0</v>
      </c>
      <c r="G78" t="str">
        <f>IF(IFERROR(IF(Str_TypeDonneesCpt1=Cpt_Index,Tab_Compteur_1[[#This Row],[Index]]-E77,Tab_Compteur_1[[#This Row],[Quantité]])/Tab_Compteur_1[[#This Row],[Delta Jour]],"")&lt;0,"",IFERROR(IF(Str_TypeDonneesCpt1=Cpt_Index,Tab_Compteur_1[[#This Row],[Index]]-E77,Tab_Compteur_1[[#This Row],[Quantité]])/Tab_Compteur_1[[#This Row],[Delta Jour]],""))</f>
        <v/>
      </c>
      <c r="H78" t="str">
        <f>IFERROR(Tab_Compteur_1[[#This Row],[Montant]]/Tab_Compteur_1[[#This Row],[Delta Jour]],"")</f>
        <v/>
      </c>
      <c r="I78" s="208" t="str">
        <f t="shared" si="5"/>
        <v/>
      </c>
      <c r="J78" s="185"/>
      <c r="K78" s="38"/>
      <c r="L78" s="38"/>
      <c r="M78" s="38"/>
      <c r="N78" s="38"/>
      <c r="O78"/>
    </row>
    <row r="79" spans="1:15">
      <c r="A79" s="464">
        <f t="shared" si="6"/>
        <v>1</v>
      </c>
      <c r="B79" s="228"/>
      <c r="C79" s="189"/>
      <c r="D79" s="188"/>
      <c r="E79" s="186"/>
      <c r="F79">
        <f t="shared" si="4"/>
        <v>0</v>
      </c>
      <c r="G79" t="str">
        <f>IF(IFERROR(IF(Str_TypeDonneesCpt1=Cpt_Index,Tab_Compteur_1[[#This Row],[Index]]-E78,Tab_Compteur_1[[#This Row],[Quantité]])/Tab_Compteur_1[[#This Row],[Delta Jour]],"")&lt;0,"",IFERROR(IF(Str_TypeDonneesCpt1=Cpt_Index,Tab_Compteur_1[[#This Row],[Index]]-E78,Tab_Compteur_1[[#This Row],[Quantité]])/Tab_Compteur_1[[#This Row],[Delta Jour]],""))</f>
        <v/>
      </c>
      <c r="H79" t="str">
        <f>IFERROR(Tab_Compteur_1[[#This Row],[Montant]]/Tab_Compteur_1[[#This Row],[Delta Jour]],"")</f>
        <v/>
      </c>
      <c r="I79" s="208" t="str">
        <f t="shared" si="5"/>
        <v/>
      </c>
      <c r="J79" s="185"/>
      <c r="K79" s="38"/>
      <c r="L79" s="38"/>
      <c r="M79" s="38"/>
      <c r="N79" s="38"/>
      <c r="O79"/>
    </row>
    <row r="80" spans="1:15">
      <c r="A80" s="464">
        <f t="shared" si="6"/>
        <v>1</v>
      </c>
      <c r="B80" s="228"/>
      <c r="C80" s="189"/>
      <c r="D80" s="188"/>
      <c r="E80" s="186"/>
      <c r="F80">
        <f t="shared" si="4"/>
        <v>0</v>
      </c>
      <c r="G80" t="str">
        <f>IF(IFERROR(IF(Str_TypeDonneesCpt1=Cpt_Index,Tab_Compteur_1[[#This Row],[Index]]-E79,Tab_Compteur_1[[#This Row],[Quantité]])/Tab_Compteur_1[[#This Row],[Delta Jour]],"")&lt;0,"",IFERROR(IF(Str_TypeDonneesCpt1=Cpt_Index,Tab_Compteur_1[[#This Row],[Index]]-E79,Tab_Compteur_1[[#This Row],[Quantité]])/Tab_Compteur_1[[#This Row],[Delta Jour]],""))</f>
        <v/>
      </c>
      <c r="H80" t="str">
        <f>IFERROR(Tab_Compteur_1[[#This Row],[Montant]]/Tab_Compteur_1[[#This Row],[Delta Jour]],"")</f>
        <v/>
      </c>
      <c r="I80" s="208" t="str">
        <f t="shared" si="5"/>
        <v/>
      </c>
      <c r="J80" s="185"/>
      <c r="K80" s="38"/>
      <c r="L80" s="38"/>
      <c r="M80" s="38"/>
      <c r="N80" s="38"/>
      <c r="O80"/>
    </row>
    <row r="81" spans="1:15">
      <c r="A81" s="464">
        <f t="shared" si="6"/>
        <v>1</v>
      </c>
      <c r="B81" s="228"/>
      <c r="C81" s="189"/>
      <c r="D81" s="188"/>
      <c r="E81" s="186"/>
      <c r="F81">
        <f t="shared" si="4"/>
        <v>0</v>
      </c>
      <c r="G81" t="str">
        <f>IF(IFERROR(IF(Str_TypeDonneesCpt1=Cpt_Index,Tab_Compteur_1[[#This Row],[Index]]-E80,Tab_Compteur_1[[#This Row],[Quantité]])/Tab_Compteur_1[[#This Row],[Delta Jour]],"")&lt;0,"",IFERROR(IF(Str_TypeDonneesCpt1=Cpt_Index,Tab_Compteur_1[[#This Row],[Index]]-E80,Tab_Compteur_1[[#This Row],[Quantité]])/Tab_Compteur_1[[#This Row],[Delta Jour]],""))</f>
        <v/>
      </c>
      <c r="H81" t="str">
        <f>IFERROR(Tab_Compteur_1[[#This Row],[Montant]]/Tab_Compteur_1[[#This Row],[Delta Jour]],"")</f>
        <v/>
      </c>
      <c r="I81" s="208" t="str">
        <f t="shared" si="5"/>
        <v/>
      </c>
      <c r="J81" s="185"/>
      <c r="K81" s="38"/>
      <c r="L81" s="38"/>
      <c r="M81" s="38"/>
      <c r="N81" s="38"/>
      <c r="O81"/>
    </row>
    <row r="82" spans="1:15">
      <c r="A82" s="464">
        <f t="shared" si="6"/>
        <v>1</v>
      </c>
      <c r="B82" s="228"/>
      <c r="C82" s="189"/>
      <c r="D82" s="188"/>
      <c r="E82" s="186"/>
      <c r="F82">
        <f t="shared" si="4"/>
        <v>0</v>
      </c>
      <c r="G82" t="str">
        <f>IF(IFERROR(IF(Str_TypeDonneesCpt1=Cpt_Index,Tab_Compteur_1[[#This Row],[Index]]-E81,Tab_Compteur_1[[#This Row],[Quantité]])/Tab_Compteur_1[[#This Row],[Delta Jour]],"")&lt;0,"",IFERROR(IF(Str_TypeDonneesCpt1=Cpt_Index,Tab_Compteur_1[[#This Row],[Index]]-E81,Tab_Compteur_1[[#This Row],[Quantité]])/Tab_Compteur_1[[#This Row],[Delta Jour]],""))</f>
        <v/>
      </c>
      <c r="H82" t="str">
        <f>IFERROR(Tab_Compteur_1[[#This Row],[Montant]]/Tab_Compteur_1[[#This Row],[Delta Jour]],"")</f>
        <v/>
      </c>
      <c r="I82" s="208" t="str">
        <f t="shared" si="5"/>
        <v/>
      </c>
      <c r="J82" s="185"/>
      <c r="K82" s="38"/>
      <c r="L82" s="38"/>
      <c r="M82" s="38"/>
      <c r="N82" s="38"/>
      <c r="O82"/>
    </row>
    <row r="83" spans="1:15">
      <c r="A83" s="464">
        <f t="shared" si="6"/>
        <v>1</v>
      </c>
      <c r="B83" s="228"/>
      <c r="C83" s="189"/>
      <c r="D83" s="188"/>
      <c r="E83" s="186"/>
      <c r="F83">
        <f t="shared" si="4"/>
        <v>0</v>
      </c>
      <c r="G83" t="str">
        <f>IF(IFERROR(IF(Str_TypeDonneesCpt1=Cpt_Index,Tab_Compteur_1[[#This Row],[Index]]-E82,Tab_Compteur_1[[#This Row],[Quantité]])/Tab_Compteur_1[[#This Row],[Delta Jour]],"")&lt;0,"",IFERROR(IF(Str_TypeDonneesCpt1=Cpt_Index,Tab_Compteur_1[[#This Row],[Index]]-E82,Tab_Compteur_1[[#This Row],[Quantité]])/Tab_Compteur_1[[#This Row],[Delta Jour]],""))</f>
        <v/>
      </c>
      <c r="H83" t="str">
        <f>IFERROR(Tab_Compteur_1[[#This Row],[Montant]]/Tab_Compteur_1[[#This Row],[Delta Jour]],"")</f>
        <v/>
      </c>
      <c r="I83" s="208" t="str">
        <f t="shared" si="5"/>
        <v/>
      </c>
      <c r="J83" s="185"/>
      <c r="K83" s="38"/>
      <c r="L83" s="38"/>
      <c r="M83" s="38"/>
      <c r="N83" s="38"/>
      <c r="O83"/>
    </row>
    <row r="84" spans="1:15">
      <c r="A84" s="464">
        <f t="shared" si="6"/>
        <v>1</v>
      </c>
      <c r="B84" s="228"/>
      <c r="C84" s="189"/>
      <c r="D84" s="188"/>
      <c r="E84" s="186"/>
      <c r="F84">
        <f t="shared" si="4"/>
        <v>0</v>
      </c>
      <c r="G84" t="str">
        <f>IF(IFERROR(IF(Str_TypeDonneesCpt1=Cpt_Index,Tab_Compteur_1[[#This Row],[Index]]-E83,Tab_Compteur_1[[#This Row],[Quantité]])/Tab_Compteur_1[[#This Row],[Delta Jour]],"")&lt;0,"",IFERROR(IF(Str_TypeDonneesCpt1=Cpt_Index,Tab_Compteur_1[[#This Row],[Index]]-E83,Tab_Compteur_1[[#This Row],[Quantité]])/Tab_Compteur_1[[#This Row],[Delta Jour]],""))</f>
        <v/>
      </c>
      <c r="H84" t="str">
        <f>IFERROR(Tab_Compteur_1[[#This Row],[Montant]]/Tab_Compteur_1[[#This Row],[Delta Jour]],"")</f>
        <v/>
      </c>
      <c r="I84" s="208" t="str">
        <f t="shared" si="5"/>
        <v/>
      </c>
      <c r="J84" s="185"/>
      <c r="K84" s="38"/>
      <c r="L84" s="38"/>
      <c r="M84" s="38"/>
      <c r="N84" s="38"/>
      <c r="O84"/>
    </row>
    <row r="85" spans="1:15">
      <c r="A85" s="464">
        <f t="shared" si="6"/>
        <v>1</v>
      </c>
      <c r="B85" s="228"/>
      <c r="C85" s="189"/>
      <c r="D85" s="188"/>
      <c r="E85" s="186"/>
      <c r="F85">
        <f t="shared" si="4"/>
        <v>0</v>
      </c>
      <c r="G85" t="str">
        <f>IF(IFERROR(IF(Str_TypeDonneesCpt1=Cpt_Index,Tab_Compteur_1[[#This Row],[Index]]-E84,Tab_Compteur_1[[#This Row],[Quantité]])/Tab_Compteur_1[[#This Row],[Delta Jour]],"")&lt;0,"",IFERROR(IF(Str_TypeDonneesCpt1=Cpt_Index,Tab_Compteur_1[[#This Row],[Index]]-E84,Tab_Compteur_1[[#This Row],[Quantité]])/Tab_Compteur_1[[#This Row],[Delta Jour]],""))</f>
        <v/>
      </c>
      <c r="H85" t="str">
        <f>IFERROR(Tab_Compteur_1[[#This Row],[Montant]]/Tab_Compteur_1[[#This Row],[Delta Jour]],"")</f>
        <v/>
      </c>
      <c r="I85" s="208" t="str">
        <f t="shared" si="5"/>
        <v/>
      </c>
      <c r="J85" s="185"/>
      <c r="K85" s="38"/>
      <c r="L85" s="38"/>
      <c r="M85" s="38"/>
      <c r="N85" s="38"/>
      <c r="O85"/>
    </row>
    <row r="86" spans="1:15">
      <c r="A86" s="464">
        <f t="shared" si="6"/>
        <v>1</v>
      </c>
      <c r="B86" s="228"/>
      <c r="C86" s="189"/>
      <c r="D86" s="188"/>
      <c r="E86" s="186"/>
      <c r="F86">
        <f t="shared" si="4"/>
        <v>0</v>
      </c>
      <c r="G86" t="str">
        <f>IF(IFERROR(IF(Str_TypeDonneesCpt1=Cpt_Index,Tab_Compteur_1[[#This Row],[Index]]-E85,Tab_Compteur_1[[#This Row],[Quantité]])/Tab_Compteur_1[[#This Row],[Delta Jour]],"")&lt;0,"",IFERROR(IF(Str_TypeDonneesCpt1=Cpt_Index,Tab_Compteur_1[[#This Row],[Index]]-E85,Tab_Compteur_1[[#This Row],[Quantité]])/Tab_Compteur_1[[#This Row],[Delta Jour]],""))</f>
        <v/>
      </c>
      <c r="H86" t="str">
        <f>IFERROR(Tab_Compteur_1[[#This Row],[Montant]]/Tab_Compteur_1[[#This Row],[Delta Jour]],"")</f>
        <v/>
      </c>
      <c r="I86" s="208" t="str">
        <f t="shared" si="5"/>
        <v/>
      </c>
      <c r="J86" s="185"/>
      <c r="K86" s="38"/>
      <c r="L86" s="38"/>
      <c r="M86" s="38"/>
      <c r="N86" s="38"/>
      <c r="O86"/>
    </row>
    <row r="87" spans="1:15">
      <c r="A87" s="464">
        <f t="shared" si="6"/>
        <v>1</v>
      </c>
      <c r="B87" s="228"/>
      <c r="C87" s="189"/>
      <c r="D87" s="188"/>
      <c r="E87" s="186"/>
      <c r="F87">
        <f t="shared" si="4"/>
        <v>0</v>
      </c>
      <c r="G87" t="str">
        <f>IF(IFERROR(IF(Str_TypeDonneesCpt1=Cpt_Index,Tab_Compteur_1[[#This Row],[Index]]-E86,Tab_Compteur_1[[#This Row],[Quantité]])/Tab_Compteur_1[[#This Row],[Delta Jour]],"")&lt;0,"",IFERROR(IF(Str_TypeDonneesCpt1=Cpt_Index,Tab_Compteur_1[[#This Row],[Index]]-E86,Tab_Compteur_1[[#This Row],[Quantité]])/Tab_Compteur_1[[#This Row],[Delta Jour]],""))</f>
        <v/>
      </c>
      <c r="H87" t="str">
        <f>IFERROR(Tab_Compteur_1[[#This Row],[Montant]]/Tab_Compteur_1[[#This Row],[Delta Jour]],"")</f>
        <v/>
      </c>
      <c r="I87" s="208" t="str">
        <f t="shared" si="5"/>
        <v/>
      </c>
      <c r="J87" s="185"/>
      <c r="K87" s="38"/>
      <c r="L87" s="38"/>
      <c r="M87" s="38"/>
      <c r="N87" s="38"/>
      <c r="O87"/>
    </row>
    <row r="88" spans="1:15">
      <c r="A88" s="464">
        <f t="shared" si="6"/>
        <v>1</v>
      </c>
      <c r="B88" s="228"/>
      <c r="C88" s="189"/>
      <c r="D88" s="188"/>
      <c r="E88" s="186"/>
      <c r="F88">
        <f t="shared" si="4"/>
        <v>0</v>
      </c>
      <c r="G88" t="str">
        <f>IF(IFERROR(IF(Str_TypeDonneesCpt1=Cpt_Index,Tab_Compteur_1[[#This Row],[Index]]-E87,Tab_Compteur_1[[#This Row],[Quantité]])/Tab_Compteur_1[[#This Row],[Delta Jour]],"")&lt;0,"",IFERROR(IF(Str_TypeDonneesCpt1=Cpt_Index,Tab_Compteur_1[[#This Row],[Index]]-E87,Tab_Compteur_1[[#This Row],[Quantité]])/Tab_Compteur_1[[#This Row],[Delta Jour]],""))</f>
        <v/>
      </c>
      <c r="H88" t="str">
        <f>IFERROR(Tab_Compteur_1[[#This Row],[Montant]]/Tab_Compteur_1[[#This Row],[Delta Jour]],"")</f>
        <v/>
      </c>
      <c r="I88" s="208" t="str">
        <f t="shared" si="5"/>
        <v/>
      </c>
      <c r="J88" s="185"/>
      <c r="K88" s="38"/>
      <c r="L88" s="38"/>
      <c r="M88" s="38"/>
      <c r="N88" s="38"/>
      <c r="O88"/>
    </row>
    <row r="89" spans="1:15">
      <c r="A89" s="464">
        <f t="shared" si="6"/>
        <v>1</v>
      </c>
      <c r="B89" s="228"/>
      <c r="C89" s="189"/>
      <c r="D89" s="188"/>
      <c r="E89" s="186"/>
      <c r="F89">
        <f t="shared" si="4"/>
        <v>0</v>
      </c>
      <c r="G89" t="str">
        <f>IF(IFERROR(IF(Str_TypeDonneesCpt1=Cpt_Index,Tab_Compteur_1[[#This Row],[Index]]-E88,Tab_Compteur_1[[#This Row],[Quantité]])/Tab_Compteur_1[[#This Row],[Delta Jour]],"")&lt;0,"",IFERROR(IF(Str_TypeDonneesCpt1=Cpt_Index,Tab_Compteur_1[[#This Row],[Index]]-E88,Tab_Compteur_1[[#This Row],[Quantité]])/Tab_Compteur_1[[#This Row],[Delta Jour]],""))</f>
        <v/>
      </c>
      <c r="H89" t="str">
        <f>IFERROR(Tab_Compteur_1[[#This Row],[Montant]]/Tab_Compteur_1[[#This Row],[Delta Jour]],"")</f>
        <v/>
      </c>
      <c r="I89" s="208" t="str">
        <f t="shared" si="5"/>
        <v/>
      </c>
      <c r="J89" s="185"/>
      <c r="K89" s="38"/>
      <c r="L89" s="38"/>
      <c r="M89" s="38"/>
      <c r="N89" s="38"/>
      <c r="O89"/>
    </row>
    <row r="90" spans="1:15">
      <c r="A90" s="464">
        <f t="shared" si="6"/>
        <v>1</v>
      </c>
      <c r="B90" s="228"/>
      <c r="C90" s="189"/>
      <c r="D90" s="188"/>
      <c r="E90" s="186"/>
      <c r="F90">
        <f t="shared" si="4"/>
        <v>0</v>
      </c>
      <c r="G90" t="str">
        <f>IF(IFERROR(IF(Str_TypeDonneesCpt1=Cpt_Index,Tab_Compteur_1[[#This Row],[Index]]-E89,Tab_Compteur_1[[#This Row],[Quantité]])/Tab_Compteur_1[[#This Row],[Delta Jour]],"")&lt;0,"",IFERROR(IF(Str_TypeDonneesCpt1=Cpt_Index,Tab_Compteur_1[[#This Row],[Index]]-E89,Tab_Compteur_1[[#This Row],[Quantité]])/Tab_Compteur_1[[#This Row],[Delta Jour]],""))</f>
        <v/>
      </c>
      <c r="H90" t="str">
        <f>IFERROR(Tab_Compteur_1[[#This Row],[Montant]]/Tab_Compteur_1[[#This Row],[Delta Jour]],"")</f>
        <v/>
      </c>
      <c r="I90" s="208" t="str">
        <f t="shared" si="5"/>
        <v/>
      </c>
      <c r="J90" s="185"/>
      <c r="K90" s="38"/>
      <c r="L90" s="38"/>
      <c r="M90" s="38"/>
      <c r="N90" s="38"/>
      <c r="O90"/>
    </row>
    <row r="91" spans="1:15">
      <c r="A91" s="464">
        <f t="shared" si="6"/>
        <v>1</v>
      </c>
      <c r="B91" s="228"/>
      <c r="C91" s="189"/>
      <c r="D91" s="188"/>
      <c r="E91" s="186"/>
      <c r="F91">
        <f t="shared" si="4"/>
        <v>0</v>
      </c>
      <c r="G91" t="str">
        <f>IF(IFERROR(IF(Str_TypeDonneesCpt1=Cpt_Index,Tab_Compteur_1[[#This Row],[Index]]-E90,Tab_Compteur_1[[#This Row],[Quantité]])/Tab_Compteur_1[[#This Row],[Delta Jour]],"")&lt;0,"",IFERROR(IF(Str_TypeDonneesCpt1=Cpt_Index,Tab_Compteur_1[[#This Row],[Index]]-E90,Tab_Compteur_1[[#This Row],[Quantité]])/Tab_Compteur_1[[#This Row],[Delta Jour]],""))</f>
        <v/>
      </c>
      <c r="H91" t="str">
        <f>IFERROR(Tab_Compteur_1[[#This Row],[Montant]]/Tab_Compteur_1[[#This Row],[Delta Jour]],"")</f>
        <v/>
      </c>
      <c r="I91" s="208" t="str">
        <f t="shared" si="5"/>
        <v/>
      </c>
      <c r="J91" s="185"/>
      <c r="K91" s="38"/>
      <c r="L91" s="38"/>
      <c r="M91" s="38"/>
      <c r="N91" s="38"/>
      <c r="O91"/>
    </row>
    <row r="92" spans="1:15">
      <c r="A92" s="464">
        <f t="shared" si="6"/>
        <v>1</v>
      </c>
      <c r="B92" s="228"/>
      <c r="C92" s="189"/>
      <c r="D92" s="188"/>
      <c r="E92" s="186"/>
      <c r="F92">
        <f t="shared" si="4"/>
        <v>0</v>
      </c>
      <c r="G92" t="str">
        <f>IF(IFERROR(IF(Str_TypeDonneesCpt1=Cpt_Index,Tab_Compteur_1[[#This Row],[Index]]-E91,Tab_Compteur_1[[#This Row],[Quantité]])/Tab_Compteur_1[[#This Row],[Delta Jour]],"")&lt;0,"",IFERROR(IF(Str_TypeDonneesCpt1=Cpt_Index,Tab_Compteur_1[[#This Row],[Index]]-E91,Tab_Compteur_1[[#This Row],[Quantité]])/Tab_Compteur_1[[#This Row],[Delta Jour]],""))</f>
        <v/>
      </c>
      <c r="H92" t="str">
        <f>IFERROR(Tab_Compteur_1[[#This Row],[Montant]]/Tab_Compteur_1[[#This Row],[Delta Jour]],"")</f>
        <v/>
      </c>
      <c r="I92" s="208" t="str">
        <f t="shared" si="5"/>
        <v/>
      </c>
      <c r="J92" s="185"/>
      <c r="K92" s="38"/>
      <c r="L92" s="38"/>
      <c r="M92" s="38"/>
      <c r="N92" s="38"/>
      <c r="O92"/>
    </row>
    <row r="93" spans="1:15">
      <c r="A93" s="464">
        <f t="shared" si="6"/>
        <v>1</v>
      </c>
      <c r="B93" s="228"/>
      <c r="C93" s="189"/>
      <c r="D93" s="188"/>
      <c r="E93" s="186"/>
      <c r="F93">
        <f t="shared" si="4"/>
        <v>0</v>
      </c>
      <c r="G93" t="str">
        <f>IF(IFERROR(IF(Str_TypeDonneesCpt1=Cpt_Index,Tab_Compteur_1[[#This Row],[Index]]-E92,Tab_Compteur_1[[#This Row],[Quantité]])/Tab_Compteur_1[[#This Row],[Delta Jour]],"")&lt;0,"",IFERROR(IF(Str_TypeDonneesCpt1=Cpt_Index,Tab_Compteur_1[[#This Row],[Index]]-E92,Tab_Compteur_1[[#This Row],[Quantité]])/Tab_Compteur_1[[#This Row],[Delta Jour]],""))</f>
        <v/>
      </c>
      <c r="H93" t="str">
        <f>IFERROR(Tab_Compteur_1[[#This Row],[Montant]]/Tab_Compteur_1[[#This Row],[Delta Jour]],"")</f>
        <v/>
      </c>
      <c r="I93" s="208" t="str">
        <f t="shared" si="5"/>
        <v/>
      </c>
      <c r="J93" s="185"/>
      <c r="K93" s="38"/>
      <c r="L93" s="38"/>
      <c r="M93" s="38"/>
      <c r="N93" s="38"/>
      <c r="O93"/>
    </row>
    <row r="94" spans="1:15">
      <c r="A94" s="464">
        <f t="shared" si="6"/>
        <v>1</v>
      </c>
      <c r="B94" s="228"/>
      <c r="C94" s="189"/>
      <c r="D94" s="188"/>
      <c r="E94" s="186"/>
      <c r="F94">
        <f t="shared" si="4"/>
        <v>0</v>
      </c>
      <c r="G94" t="str">
        <f>IF(IFERROR(IF(Str_TypeDonneesCpt1=Cpt_Index,Tab_Compteur_1[[#This Row],[Index]]-E93,Tab_Compteur_1[[#This Row],[Quantité]])/Tab_Compteur_1[[#This Row],[Delta Jour]],"")&lt;0,"",IFERROR(IF(Str_TypeDonneesCpt1=Cpt_Index,Tab_Compteur_1[[#This Row],[Index]]-E93,Tab_Compteur_1[[#This Row],[Quantité]])/Tab_Compteur_1[[#This Row],[Delta Jour]],""))</f>
        <v/>
      </c>
      <c r="H94" t="str">
        <f>IFERROR(Tab_Compteur_1[[#This Row],[Montant]]/Tab_Compteur_1[[#This Row],[Delta Jour]],"")</f>
        <v/>
      </c>
      <c r="I94" s="208" t="str">
        <f t="shared" si="5"/>
        <v/>
      </c>
      <c r="J94" s="185"/>
      <c r="K94" s="38"/>
      <c r="L94" s="38"/>
      <c r="M94" s="38"/>
      <c r="N94" s="38"/>
      <c r="O94"/>
    </row>
    <row r="95" spans="1:15">
      <c r="A95" s="464">
        <f t="shared" si="6"/>
        <v>1</v>
      </c>
      <c r="B95" s="228"/>
      <c r="C95" s="189"/>
      <c r="D95" s="188"/>
      <c r="E95" s="186"/>
      <c r="F95">
        <f t="shared" si="4"/>
        <v>0</v>
      </c>
      <c r="G95" t="str">
        <f>IF(IFERROR(IF(Str_TypeDonneesCpt1=Cpt_Index,Tab_Compteur_1[[#This Row],[Index]]-E94,Tab_Compteur_1[[#This Row],[Quantité]])/Tab_Compteur_1[[#This Row],[Delta Jour]],"")&lt;0,"",IFERROR(IF(Str_TypeDonneesCpt1=Cpt_Index,Tab_Compteur_1[[#This Row],[Index]]-E94,Tab_Compteur_1[[#This Row],[Quantité]])/Tab_Compteur_1[[#This Row],[Delta Jour]],""))</f>
        <v/>
      </c>
      <c r="H95" t="str">
        <f>IFERROR(Tab_Compteur_1[[#This Row],[Montant]]/Tab_Compteur_1[[#This Row],[Delta Jour]],"")</f>
        <v/>
      </c>
      <c r="I95" s="208" t="str">
        <f t="shared" si="5"/>
        <v/>
      </c>
      <c r="J95" s="185"/>
      <c r="K95" s="38"/>
      <c r="L95" s="38"/>
      <c r="M95" s="38"/>
      <c r="N95" s="38"/>
      <c r="O95"/>
    </row>
    <row r="96" spans="1:15">
      <c r="A96" s="464">
        <f t="shared" si="6"/>
        <v>1</v>
      </c>
      <c r="B96" s="228"/>
      <c r="C96" s="189"/>
      <c r="D96" s="188"/>
      <c r="E96" s="186"/>
      <c r="F96">
        <f t="shared" si="4"/>
        <v>0</v>
      </c>
      <c r="G96" t="str">
        <f>IF(IFERROR(IF(Str_TypeDonneesCpt1=Cpt_Index,Tab_Compteur_1[[#This Row],[Index]]-E95,Tab_Compteur_1[[#This Row],[Quantité]])/Tab_Compteur_1[[#This Row],[Delta Jour]],"")&lt;0,"",IFERROR(IF(Str_TypeDonneesCpt1=Cpt_Index,Tab_Compteur_1[[#This Row],[Index]]-E95,Tab_Compteur_1[[#This Row],[Quantité]])/Tab_Compteur_1[[#This Row],[Delta Jour]],""))</f>
        <v/>
      </c>
      <c r="H96" t="str">
        <f>IFERROR(Tab_Compteur_1[[#This Row],[Montant]]/Tab_Compteur_1[[#This Row],[Delta Jour]],"")</f>
        <v/>
      </c>
      <c r="I96" s="208" t="str">
        <f t="shared" si="5"/>
        <v/>
      </c>
      <c r="J96" s="185"/>
      <c r="K96" s="38"/>
      <c r="L96" s="38"/>
      <c r="M96" s="38"/>
      <c r="N96" s="38"/>
      <c r="O96"/>
    </row>
    <row r="97" spans="1:15">
      <c r="A97" s="464">
        <f t="shared" si="6"/>
        <v>1</v>
      </c>
      <c r="B97" s="228"/>
      <c r="C97" s="189"/>
      <c r="D97" s="188"/>
      <c r="E97" s="186"/>
      <c r="F97">
        <f t="shared" si="4"/>
        <v>0</v>
      </c>
      <c r="G97" t="str">
        <f>IF(IFERROR(IF(Str_TypeDonneesCpt1=Cpt_Index,Tab_Compteur_1[[#This Row],[Index]]-E96,Tab_Compteur_1[[#This Row],[Quantité]])/Tab_Compteur_1[[#This Row],[Delta Jour]],"")&lt;0,"",IFERROR(IF(Str_TypeDonneesCpt1=Cpt_Index,Tab_Compteur_1[[#This Row],[Index]]-E96,Tab_Compteur_1[[#This Row],[Quantité]])/Tab_Compteur_1[[#This Row],[Delta Jour]],""))</f>
        <v/>
      </c>
      <c r="H97" t="str">
        <f>IFERROR(Tab_Compteur_1[[#This Row],[Montant]]/Tab_Compteur_1[[#This Row],[Delta Jour]],"")</f>
        <v/>
      </c>
      <c r="I97" s="208" t="str">
        <f t="shared" si="5"/>
        <v/>
      </c>
      <c r="J97" s="185"/>
      <c r="K97" s="38"/>
      <c r="L97" s="38"/>
      <c r="M97" s="38"/>
      <c r="N97" s="38"/>
      <c r="O97"/>
    </row>
    <row r="98" spans="1:15">
      <c r="A98" s="464">
        <f t="shared" si="6"/>
        <v>1</v>
      </c>
      <c r="B98" s="228"/>
      <c r="C98" s="189"/>
      <c r="D98" s="188"/>
      <c r="E98" s="186"/>
      <c r="F98">
        <f t="shared" si="4"/>
        <v>0</v>
      </c>
      <c r="G98" t="str">
        <f>IF(IFERROR(IF(Str_TypeDonneesCpt1=Cpt_Index,Tab_Compteur_1[[#This Row],[Index]]-E97,Tab_Compteur_1[[#This Row],[Quantité]])/Tab_Compteur_1[[#This Row],[Delta Jour]],"")&lt;0,"",IFERROR(IF(Str_TypeDonneesCpt1=Cpt_Index,Tab_Compteur_1[[#This Row],[Index]]-E97,Tab_Compteur_1[[#This Row],[Quantité]])/Tab_Compteur_1[[#This Row],[Delta Jour]],""))</f>
        <v/>
      </c>
      <c r="H98" t="str">
        <f>IFERROR(Tab_Compteur_1[[#This Row],[Montant]]/Tab_Compteur_1[[#This Row],[Delta Jour]],"")</f>
        <v/>
      </c>
      <c r="I98" s="208" t="str">
        <f t="shared" si="5"/>
        <v/>
      </c>
      <c r="J98" s="185"/>
      <c r="K98" s="38"/>
      <c r="L98" s="38"/>
      <c r="M98" s="38"/>
      <c r="N98" s="38"/>
      <c r="O98"/>
    </row>
    <row r="99" spans="1:15">
      <c r="A99" s="464">
        <f t="shared" si="6"/>
        <v>1</v>
      </c>
      <c r="B99" s="228"/>
      <c r="C99" s="189"/>
      <c r="D99" s="188"/>
      <c r="E99" s="186"/>
      <c r="F99">
        <f t="shared" si="4"/>
        <v>0</v>
      </c>
      <c r="G99" t="str">
        <f>IF(IFERROR(IF(Str_TypeDonneesCpt1=Cpt_Index,Tab_Compteur_1[[#This Row],[Index]]-E98,Tab_Compteur_1[[#This Row],[Quantité]])/Tab_Compteur_1[[#This Row],[Delta Jour]],"")&lt;0,"",IFERROR(IF(Str_TypeDonneesCpt1=Cpt_Index,Tab_Compteur_1[[#This Row],[Index]]-E98,Tab_Compteur_1[[#This Row],[Quantité]])/Tab_Compteur_1[[#This Row],[Delta Jour]],""))</f>
        <v/>
      </c>
      <c r="H99" t="str">
        <f>IFERROR(Tab_Compteur_1[[#This Row],[Montant]]/Tab_Compteur_1[[#This Row],[Delta Jour]],"")</f>
        <v/>
      </c>
      <c r="I99" s="208" t="str">
        <f t="shared" si="5"/>
        <v/>
      </c>
      <c r="J99" s="185"/>
      <c r="K99" s="38"/>
      <c r="L99" s="38"/>
      <c r="M99" s="38"/>
      <c r="N99" s="38"/>
      <c r="O99"/>
    </row>
    <row r="100" spans="1:15">
      <c r="A100" s="464">
        <f t="shared" si="6"/>
        <v>1</v>
      </c>
      <c r="B100" s="228"/>
      <c r="C100" s="189"/>
      <c r="D100" s="188"/>
      <c r="E100" s="186"/>
      <c r="F100">
        <f t="shared" si="4"/>
        <v>0</v>
      </c>
      <c r="G100" t="str">
        <f>IF(IFERROR(IF(Str_TypeDonneesCpt1=Cpt_Index,Tab_Compteur_1[[#This Row],[Index]]-E99,Tab_Compteur_1[[#This Row],[Quantité]])/Tab_Compteur_1[[#This Row],[Delta Jour]],"")&lt;0,"",IFERROR(IF(Str_TypeDonneesCpt1=Cpt_Index,Tab_Compteur_1[[#This Row],[Index]]-E99,Tab_Compteur_1[[#This Row],[Quantité]])/Tab_Compteur_1[[#This Row],[Delta Jour]],""))</f>
        <v/>
      </c>
      <c r="H100" t="str">
        <f>IFERROR(Tab_Compteur_1[[#This Row],[Montant]]/Tab_Compteur_1[[#This Row],[Delta Jour]],"")</f>
        <v/>
      </c>
      <c r="I100" s="208" t="str">
        <f t="shared" si="5"/>
        <v/>
      </c>
      <c r="J100" s="185"/>
      <c r="K100" s="38"/>
      <c r="L100" s="38"/>
      <c r="M100" s="38"/>
      <c r="N100" s="38"/>
      <c r="O100"/>
    </row>
    <row r="101" spans="1:15">
      <c r="A101" s="464">
        <f t="shared" si="6"/>
        <v>1</v>
      </c>
      <c r="B101" s="228"/>
      <c r="C101" s="189"/>
      <c r="D101" s="188"/>
      <c r="E101" s="186"/>
      <c r="F101">
        <f t="shared" si="4"/>
        <v>0</v>
      </c>
      <c r="G101" t="str">
        <f>IF(IFERROR(IF(Str_TypeDonneesCpt1=Cpt_Index,Tab_Compteur_1[[#This Row],[Index]]-E100,Tab_Compteur_1[[#This Row],[Quantité]])/Tab_Compteur_1[[#This Row],[Delta Jour]],"")&lt;0,"",IFERROR(IF(Str_TypeDonneesCpt1=Cpt_Index,Tab_Compteur_1[[#This Row],[Index]]-E100,Tab_Compteur_1[[#This Row],[Quantité]])/Tab_Compteur_1[[#This Row],[Delta Jour]],""))</f>
        <v/>
      </c>
      <c r="H101" t="str">
        <f>IFERROR(Tab_Compteur_1[[#This Row],[Montant]]/Tab_Compteur_1[[#This Row],[Delta Jour]],"")</f>
        <v/>
      </c>
      <c r="I101" s="208" t="str">
        <f t="shared" si="5"/>
        <v/>
      </c>
      <c r="J101" s="185"/>
      <c r="K101" s="38"/>
      <c r="L101" s="38"/>
      <c r="M101" s="38"/>
      <c r="N101" s="38"/>
      <c r="O101"/>
    </row>
    <row r="102" spans="1:15">
      <c r="A102" s="464">
        <f t="shared" si="6"/>
        <v>1</v>
      </c>
      <c r="B102" s="228"/>
      <c r="C102" s="189"/>
      <c r="D102" s="188"/>
      <c r="E102" s="186"/>
      <c r="F102">
        <f t="shared" si="4"/>
        <v>0</v>
      </c>
      <c r="G102" t="str">
        <f>IF(IFERROR(IF(Str_TypeDonneesCpt1=Cpt_Index,Tab_Compteur_1[[#This Row],[Index]]-E101,Tab_Compteur_1[[#This Row],[Quantité]])/Tab_Compteur_1[[#This Row],[Delta Jour]],"")&lt;0,"",IFERROR(IF(Str_TypeDonneesCpt1=Cpt_Index,Tab_Compteur_1[[#This Row],[Index]]-E101,Tab_Compteur_1[[#This Row],[Quantité]])/Tab_Compteur_1[[#This Row],[Delta Jour]],""))</f>
        <v/>
      </c>
      <c r="H102" t="str">
        <f>IFERROR(Tab_Compteur_1[[#This Row],[Montant]]/Tab_Compteur_1[[#This Row],[Delta Jour]],"")</f>
        <v/>
      </c>
      <c r="I102" s="208" t="str">
        <f t="shared" si="5"/>
        <v/>
      </c>
      <c r="J102" s="185"/>
      <c r="K102" s="38"/>
      <c r="L102" s="38"/>
      <c r="M102" s="38"/>
      <c r="N102" s="38"/>
      <c r="O102"/>
    </row>
    <row r="103" spans="1:15">
      <c r="A103" s="464">
        <f t="shared" si="6"/>
        <v>1</v>
      </c>
      <c r="B103" s="228"/>
      <c r="C103" s="189"/>
      <c r="D103" s="188"/>
      <c r="E103" s="186"/>
      <c r="F103">
        <f t="shared" si="4"/>
        <v>0</v>
      </c>
      <c r="G103" t="str">
        <f>IF(IFERROR(IF(Str_TypeDonneesCpt1=Cpt_Index,Tab_Compteur_1[[#This Row],[Index]]-E102,Tab_Compteur_1[[#This Row],[Quantité]])/Tab_Compteur_1[[#This Row],[Delta Jour]],"")&lt;0,"",IFERROR(IF(Str_TypeDonneesCpt1=Cpt_Index,Tab_Compteur_1[[#This Row],[Index]]-E102,Tab_Compteur_1[[#This Row],[Quantité]])/Tab_Compteur_1[[#This Row],[Delta Jour]],""))</f>
        <v/>
      </c>
      <c r="H103" t="str">
        <f>IFERROR(Tab_Compteur_1[[#This Row],[Montant]]/Tab_Compteur_1[[#This Row],[Delta Jour]],"")</f>
        <v/>
      </c>
      <c r="I103" s="208" t="str">
        <f t="shared" si="5"/>
        <v/>
      </c>
      <c r="J103" s="185"/>
      <c r="K103" s="38"/>
      <c r="L103" s="38"/>
      <c r="M103" s="38"/>
      <c r="N103" s="38"/>
      <c r="O103"/>
    </row>
    <row r="104" spans="1:15">
      <c r="A104" s="464">
        <f t="shared" si="6"/>
        <v>1</v>
      </c>
      <c r="B104" s="228"/>
      <c r="C104" s="189"/>
      <c r="D104" s="188"/>
      <c r="E104" s="186"/>
      <c r="F104">
        <f t="shared" si="4"/>
        <v>0</v>
      </c>
      <c r="G104" t="str">
        <f>IF(IFERROR(IF(Str_TypeDonneesCpt1=Cpt_Index,Tab_Compteur_1[[#This Row],[Index]]-E103,Tab_Compteur_1[[#This Row],[Quantité]])/Tab_Compteur_1[[#This Row],[Delta Jour]],"")&lt;0,"",IFERROR(IF(Str_TypeDonneesCpt1=Cpt_Index,Tab_Compteur_1[[#This Row],[Index]]-E103,Tab_Compteur_1[[#This Row],[Quantité]])/Tab_Compteur_1[[#This Row],[Delta Jour]],""))</f>
        <v/>
      </c>
      <c r="H104" t="str">
        <f>IFERROR(Tab_Compteur_1[[#This Row],[Montant]]/Tab_Compteur_1[[#This Row],[Delta Jour]],"")</f>
        <v/>
      </c>
      <c r="I104" s="208" t="str">
        <f t="shared" si="5"/>
        <v/>
      </c>
      <c r="J104" s="185"/>
      <c r="K104" s="38"/>
      <c r="L104" s="38"/>
      <c r="M104" s="38"/>
      <c r="N104" s="38"/>
      <c r="O104"/>
    </row>
    <row r="105" spans="1:15">
      <c r="A105" s="464">
        <f t="shared" si="6"/>
        <v>1</v>
      </c>
      <c r="B105" s="228"/>
      <c r="C105" s="189"/>
      <c r="D105" s="188"/>
      <c r="E105" s="186"/>
      <c r="F105">
        <f t="shared" si="4"/>
        <v>0</v>
      </c>
      <c r="G105" t="str">
        <f>IF(IFERROR(IF(Str_TypeDonneesCpt1=Cpt_Index,Tab_Compteur_1[[#This Row],[Index]]-E104,Tab_Compteur_1[[#This Row],[Quantité]])/Tab_Compteur_1[[#This Row],[Delta Jour]],"")&lt;0,"",IFERROR(IF(Str_TypeDonneesCpt1=Cpt_Index,Tab_Compteur_1[[#This Row],[Index]]-E104,Tab_Compteur_1[[#This Row],[Quantité]])/Tab_Compteur_1[[#This Row],[Delta Jour]],""))</f>
        <v/>
      </c>
      <c r="H105" t="str">
        <f>IFERROR(Tab_Compteur_1[[#This Row],[Montant]]/Tab_Compteur_1[[#This Row],[Delta Jour]],"")</f>
        <v/>
      </c>
      <c r="I105" s="208" t="str">
        <f t="shared" si="5"/>
        <v/>
      </c>
      <c r="J105" s="185"/>
      <c r="K105" s="38"/>
      <c r="L105" s="38"/>
      <c r="M105" s="38"/>
      <c r="N105" s="38"/>
      <c r="O105"/>
    </row>
    <row r="106" spans="1:15">
      <c r="A106" s="464">
        <f t="shared" si="6"/>
        <v>1</v>
      </c>
      <c r="B106" s="228"/>
      <c r="C106" s="189"/>
      <c r="D106" s="188"/>
      <c r="E106" s="186"/>
      <c r="F106">
        <f t="shared" si="4"/>
        <v>0</v>
      </c>
      <c r="G106" t="str">
        <f>IF(IFERROR(IF(Str_TypeDonneesCpt1=Cpt_Index,Tab_Compteur_1[[#This Row],[Index]]-E105,Tab_Compteur_1[[#This Row],[Quantité]])/Tab_Compteur_1[[#This Row],[Delta Jour]],"")&lt;0,"",IFERROR(IF(Str_TypeDonneesCpt1=Cpt_Index,Tab_Compteur_1[[#This Row],[Index]]-E105,Tab_Compteur_1[[#This Row],[Quantité]])/Tab_Compteur_1[[#This Row],[Delta Jour]],""))</f>
        <v/>
      </c>
      <c r="H106" t="str">
        <f>IFERROR(Tab_Compteur_1[[#This Row],[Montant]]/Tab_Compteur_1[[#This Row],[Delta Jour]],"")</f>
        <v/>
      </c>
      <c r="I106" s="208" t="str">
        <f t="shared" si="5"/>
        <v/>
      </c>
      <c r="J106" s="185"/>
      <c r="K106" s="38"/>
      <c r="L106" s="38"/>
      <c r="M106" s="38"/>
      <c r="N106" s="38"/>
      <c r="O106"/>
    </row>
    <row r="107" spans="1:15">
      <c r="A107" s="464">
        <f t="shared" si="6"/>
        <v>1</v>
      </c>
      <c r="B107" s="228"/>
      <c r="C107" s="189"/>
      <c r="D107" s="188"/>
      <c r="E107" s="186"/>
      <c r="F107">
        <f t="shared" si="4"/>
        <v>0</v>
      </c>
      <c r="G107" t="str">
        <f>IF(IFERROR(IF(Str_TypeDonneesCpt1=Cpt_Index,Tab_Compteur_1[[#This Row],[Index]]-E106,Tab_Compteur_1[[#This Row],[Quantité]])/Tab_Compteur_1[[#This Row],[Delta Jour]],"")&lt;0,"",IFERROR(IF(Str_TypeDonneesCpt1=Cpt_Index,Tab_Compteur_1[[#This Row],[Index]]-E106,Tab_Compteur_1[[#This Row],[Quantité]])/Tab_Compteur_1[[#This Row],[Delta Jour]],""))</f>
        <v/>
      </c>
      <c r="H107" t="str">
        <f>IFERROR(Tab_Compteur_1[[#This Row],[Montant]]/Tab_Compteur_1[[#This Row],[Delta Jour]],"")</f>
        <v/>
      </c>
      <c r="I107" s="208" t="str">
        <f t="shared" si="5"/>
        <v/>
      </c>
      <c r="J107" s="185"/>
      <c r="K107" s="38"/>
      <c r="L107" s="38"/>
      <c r="M107" s="38"/>
      <c r="N107" s="38"/>
      <c r="O107"/>
    </row>
    <row r="108" spans="1:15">
      <c r="A108" s="464">
        <f t="shared" si="6"/>
        <v>1</v>
      </c>
      <c r="B108" s="228"/>
      <c r="C108" s="189"/>
      <c r="D108" s="188"/>
      <c r="E108" s="186"/>
      <c r="F108">
        <f t="shared" si="4"/>
        <v>0</v>
      </c>
      <c r="G108" t="str">
        <f>IF(IFERROR(IF(Str_TypeDonneesCpt1=Cpt_Index,Tab_Compteur_1[[#This Row],[Index]]-E107,Tab_Compteur_1[[#This Row],[Quantité]])/Tab_Compteur_1[[#This Row],[Delta Jour]],"")&lt;0,"",IFERROR(IF(Str_TypeDonneesCpt1=Cpt_Index,Tab_Compteur_1[[#This Row],[Index]]-E107,Tab_Compteur_1[[#This Row],[Quantité]])/Tab_Compteur_1[[#This Row],[Delta Jour]],""))</f>
        <v/>
      </c>
      <c r="H108" t="str">
        <f>IFERROR(Tab_Compteur_1[[#This Row],[Montant]]/Tab_Compteur_1[[#This Row],[Delta Jour]],"")</f>
        <v/>
      </c>
      <c r="I108" s="208" t="str">
        <f t="shared" si="5"/>
        <v/>
      </c>
      <c r="J108" s="185"/>
      <c r="K108" s="38"/>
      <c r="L108" s="38"/>
      <c r="M108" s="38"/>
      <c r="N108" s="38"/>
      <c r="O108"/>
    </row>
    <row r="109" spans="1:15">
      <c r="A109" s="464">
        <f t="shared" si="6"/>
        <v>1</v>
      </c>
      <c r="B109" s="228"/>
      <c r="C109" s="189"/>
      <c r="D109" s="188"/>
      <c r="E109" s="186"/>
      <c r="F109">
        <f t="shared" si="4"/>
        <v>0</v>
      </c>
      <c r="G109" t="str">
        <f>IF(IFERROR(IF(Str_TypeDonneesCpt1=Cpt_Index,Tab_Compteur_1[[#This Row],[Index]]-E108,Tab_Compteur_1[[#This Row],[Quantité]])/Tab_Compteur_1[[#This Row],[Delta Jour]],"")&lt;0,"",IFERROR(IF(Str_TypeDonneesCpt1=Cpt_Index,Tab_Compteur_1[[#This Row],[Index]]-E108,Tab_Compteur_1[[#This Row],[Quantité]])/Tab_Compteur_1[[#This Row],[Delta Jour]],""))</f>
        <v/>
      </c>
      <c r="H109" t="str">
        <f>IFERROR(Tab_Compteur_1[[#This Row],[Montant]]/Tab_Compteur_1[[#This Row],[Delta Jour]],"")</f>
        <v/>
      </c>
      <c r="I109" s="208" t="str">
        <f t="shared" si="5"/>
        <v/>
      </c>
      <c r="J109" s="185"/>
      <c r="K109" s="38"/>
      <c r="L109" s="38"/>
      <c r="M109" s="38"/>
      <c r="N109" s="38"/>
      <c r="O109"/>
    </row>
    <row r="110" spans="1:15">
      <c r="A110" s="464">
        <f t="shared" si="6"/>
        <v>1</v>
      </c>
      <c r="B110" s="228"/>
      <c r="C110" s="189"/>
      <c r="D110" s="188"/>
      <c r="E110" s="186"/>
      <c r="F110">
        <f t="shared" si="4"/>
        <v>0</v>
      </c>
      <c r="G110" t="str">
        <f>IF(IFERROR(IF(Str_TypeDonneesCpt1=Cpt_Index,Tab_Compteur_1[[#This Row],[Index]]-E109,Tab_Compteur_1[[#This Row],[Quantité]])/Tab_Compteur_1[[#This Row],[Delta Jour]],"")&lt;0,"",IFERROR(IF(Str_TypeDonneesCpt1=Cpt_Index,Tab_Compteur_1[[#This Row],[Index]]-E109,Tab_Compteur_1[[#This Row],[Quantité]])/Tab_Compteur_1[[#This Row],[Delta Jour]],""))</f>
        <v/>
      </c>
      <c r="H110" t="str">
        <f>IFERROR(Tab_Compteur_1[[#This Row],[Montant]]/Tab_Compteur_1[[#This Row],[Delta Jour]],"")</f>
        <v/>
      </c>
      <c r="I110" s="208" t="str">
        <f t="shared" si="5"/>
        <v/>
      </c>
      <c r="J110" s="185"/>
      <c r="K110" s="38"/>
      <c r="L110" s="38"/>
      <c r="M110" s="38"/>
      <c r="N110" s="38"/>
      <c r="O110"/>
    </row>
    <row r="111" spans="1:15">
      <c r="A111" s="464">
        <f t="shared" si="6"/>
        <v>1</v>
      </c>
      <c r="B111" s="228"/>
      <c r="C111" s="189"/>
      <c r="D111" s="188"/>
      <c r="E111" s="186"/>
      <c r="F111">
        <f t="shared" si="4"/>
        <v>0</v>
      </c>
      <c r="G111" t="str">
        <f>IF(IFERROR(IF(Str_TypeDonneesCpt1=Cpt_Index,Tab_Compteur_1[[#This Row],[Index]]-E110,Tab_Compteur_1[[#This Row],[Quantité]])/Tab_Compteur_1[[#This Row],[Delta Jour]],"")&lt;0,"",IFERROR(IF(Str_TypeDonneesCpt1=Cpt_Index,Tab_Compteur_1[[#This Row],[Index]]-E110,Tab_Compteur_1[[#This Row],[Quantité]])/Tab_Compteur_1[[#This Row],[Delta Jour]],""))</f>
        <v/>
      </c>
      <c r="H111" t="str">
        <f>IFERROR(Tab_Compteur_1[[#This Row],[Montant]]/Tab_Compteur_1[[#This Row],[Delta Jour]],"")</f>
        <v/>
      </c>
      <c r="I111" s="208" t="str">
        <f t="shared" si="5"/>
        <v/>
      </c>
      <c r="J111" s="185"/>
      <c r="K111" s="38"/>
      <c r="L111" s="38"/>
      <c r="M111" s="38"/>
      <c r="N111" s="38"/>
      <c r="O111"/>
    </row>
    <row r="112" spans="1:15">
      <c r="A112" s="464">
        <f t="shared" si="6"/>
        <v>1</v>
      </c>
      <c r="B112" s="228"/>
      <c r="C112" s="189"/>
      <c r="D112" s="188"/>
      <c r="E112" s="186"/>
      <c r="F112">
        <f t="shared" si="4"/>
        <v>0</v>
      </c>
      <c r="G112" t="str">
        <f>IF(IFERROR(IF(Str_TypeDonneesCpt1=Cpt_Index,Tab_Compteur_1[[#This Row],[Index]]-E111,Tab_Compteur_1[[#This Row],[Quantité]])/Tab_Compteur_1[[#This Row],[Delta Jour]],"")&lt;0,"",IFERROR(IF(Str_TypeDonneesCpt1=Cpt_Index,Tab_Compteur_1[[#This Row],[Index]]-E111,Tab_Compteur_1[[#This Row],[Quantité]])/Tab_Compteur_1[[#This Row],[Delta Jour]],""))</f>
        <v/>
      </c>
      <c r="H112" t="str">
        <f>IFERROR(Tab_Compteur_1[[#This Row],[Montant]]/Tab_Compteur_1[[#This Row],[Delta Jour]],"")</f>
        <v/>
      </c>
      <c r="I112" s="208" t="str">
        <f t="shared" si="5"/>
        <v/>
      </c>
      <c r="J112" s="185"/>
      <c r="K112" s="38"/>
      <c r="L112" s="38"/>
      <c r="M112" s="38"/>
      <c r="N112" s="38"/>
      <c r="O112"/>
    </row>
    <row r="113" spans="1:15">
      <c r="A113" s="464">
        <f t="shared" si="6"/>
        <v>1</v>
      </c>
      <c r="B113" s="228"/>
      <c r="C113" s="189"/>
      <c r="D113" s="188"/>
      <c r="E113" s="186"/>
      <c r="F113">
        <f t="shared" si="4"/>
        <v>0</v>
      </c>
      <c r="G113" t="str">
        <f>IF(IFERROR(IF(Str_TypeDonneesCpt1=Cpt_Index,Tab_Compteur_1[[#This Row],[Index]]-E112,Tab_Compteur_1[[#This Row],[Quantité]])/Tab_Compteur_1[[#This Row],[Delta Jour]],"")&lt;0,"",IFERROR(IF(Str_TypeDonneesCpt1=Cpt_Index,Tab_Compteur_1[[#This Row],[Index]]-E112,Tab_Compteur_1[[#This Row],[Quantité]])/Tab_Compteur_1[[#This Row],[Delta Jour]],""))</f>
        <v/>
      </c>
      <c r="H113" t="str">
        <f>IFERROR(Tab_Compteur_1[[#This Row],[Montant]]/Tab_Compteur_1[[#This Row],[Delta Jour]],"")</f>
        <v/>
      </c>
      <c r="I113" s="208" t="str">
        <f t="shared" si="5"/>
        <v/>
      </c>
      <c r="J113" s="185"/>
      <c r="K113" s="38"/>
      <c r="L113" s="38"/>
      <c r="M113" s="38"/>
      <c r="N113" s="38"/>
      <c r="O113"/>
    </row>
    <row r="114" spans="1:15">
      <c r="A114" s="464">
        <f t="shared" si="6"/>
        <v>1</v>
      </c>
      <c r="B114" s="228"/>
      <c r="C114" s="189"/>
      <c r="D114" s="188"/>
      <c r="E114" s="186"/>
      <c r="F114">
        <f t="shared" si="4"/>
        <v>0</v>
      </c>
      <c r="G114" t="str">
        <f>IF(IFERROR(IF(Str_TypeDonneesCpt1=Cpt_Index,Tab_Compteur_1[[#This Row],[Index]]-E113,Tab_Compteur_1[[#This Row],[Quantité]])/Tab_Compteur_1[[#This Row],[Delta Jour]],"")&lt;0,"",IFERROR(IF(Str_TypeDonneesCpt1=Cpt_Index,Tab_Compteur_1[[#This Row],[Index]]-E113,Tab_Compteur_1[[#This Row],[Quantité]])/Tab_Compteur_1[[#This Row],[Delta Jour]],""))</f>
        <v/>
      </c>
      <c r="H114" t="str">
        <f>IFERROR(Tab_Compteur_1[[#This Row],[Montant]]/Tab_Compteur_1[[#This Row],[Delta Jour]],"")</f>
        <v/>
      </c>
      <c r="I114" s="208" t="str">
        <f t="shared" si="5"/>
        <v/>
      </c>
      <c r="J114" s="185"/>
      <c r="K114" s="38"/>
      <c r="L114" s="38"/>
      <c r="M114" s="38"/>
      <c r="N114" s="38"/>
      <c r="O114"/>
    </row>
    <row r="115" spans="1:15">
      <c r="A115" s="464">
        <f t="shared" si="6"/>
        <v>1</v>
      </c>
      <c r="B115" s="228"/>
      <c r="C115" s="189"/>
      <c r="D115" s="188"/>
      <c r="E115" s="186"/>
      <c r="F115">
        <f t="shared" si="4"/>
        <v>0</v>
      </c>
      <c r="G115" t="str">
        <f>IF(IFERROR(IF(Str_TypeDonneesCpt1=Cpt_Index,Tab_Compteur_1[[#This Row],[Index]]-E114,Tab_Compteur_1[[#This Row],[Quantité]])/Tab_Compteur_1[[#This Row],[Delta Jour]],"")&lt;0,"",IFERROR(IF(Str_TypeDonneesCpt1=Cpt_Index,Tab_Compteur_1[[#This Row],[Index]]-E114,Tab_Compteur_1[[#This Row],[Quantité]])/Tab_Compteur_1[[#This Row],[Delta Jour]],""))</f>
        <v/>
      </c>
      <c r="H115" t="str">
        <f>IFERROR(Tab_Compteur_1[[#This Row],[Montant]]/Tab_Compteur_1[[#This Row],[Delta Jour]],"")</f>
        <v/>
      </c>
      <c r="I115" s="208" t="str">
        <f t="shared" si="5"/>
        <v/>
      </c>
      <c r="J115" s="185"/>
      <c r="K115" s="38"/>
      <c r="L115" s="38"/>
      <c r="M115" s="38"/>
      <c r="N115" s="38"/>
      <c r="O115"/>
    </row>
    <row r="116" spans="1:15">
      <c r="A116" s="464">
        <f t="shared" si="6"/>
        <v>1</v>
      </c>
      <c r="B116" s="228"/>
      <c r="C116" s="189"/>
      <c r="D116" s="188"/>
      <c r="E116" s="186"/>
      <c r="F116">
        <f t="shared" si="4"/>
        <v>0</v>
      </c>
      <c r="G116" t="str">
        <f>IF(IFERROR(IF(Str_TypeDonneesCpt1=Cpt_Index,Tab_Compteur_1[[#This Row],[Index]]-E115,Tab_Compteur_1[[#This Row],[Quantité]])/Tab_Compteur_1[[#This Row],[Delta Jour]],"")&lt;0,"",IFERROR(IF(Str_TypeDonneesCpt1=Cpt_Index,Tab_Compteur_1[[#This Row],[Index]]-E115,Tab_Compteur_1[[#This Row],[Quantité]])/Tab_Compteur_1[[#This Row],[Delta Jour]],""))</f>
        <v/>
      </c>
      <c r="H116" t="str">
        <f>IFERROR(Tab_Compteur_1[[#This Row],[Montant]]/Tab_Compteur_1[[#This Row],[Delta Jour]],"")</f>
        <v/>
      </c>
      <c r="I116" s="208" t="str">
        <f t="shared" si="5"/>
        <v/>
      </c>
      <c r="J116" s="185"/>
      <c r="K116" s="38"/>
      <c r="L116" s="38"/>
      <c r="M116" s="38"/>
      <c r="N116" s="38"/>
      <c r="O116"/>
    </row>
    <row r="117" spans="1:15">
      <c r="A117" s="464">
        <f t="shared" si="6"/>
        <v>1</v>
      </c>
      <c r="B117" s="228"/>
      <c r="C117" s="189"/>
      <c r="D117" s="188"/>
      <c r="E117" s="186"/>
      <c r="F117">
        <f t="shared" si="4"/>
        <v>0</v>
      </c>
      <c r="G117" t="str">
        <f>IF(IFERROR(IF(Str_TypeDonneesCpt1=Cpt_Index,Tab_Compteur_1[[#This Row],[Index]]-E116,Tab_Compteur_1[[#This Row],[Quantité]])/Tab_Compteur_1[[#This Row],[Delta Jour]],"")&lt;0,"",IFERROR(IF(Str_TypeDonneesCpt1=Cpt_Index,Tab_Compteur_1[[#This Row],[Index]]-E116,Tab_Compteur_1[[#This Row],[Quantité]])/Tab_Compteur_1[[#This Row],[Delta Jour]],""))</f>
        <v/>
      </c>
      <c r="H117" t="str">
        <f>IFERROR(Tab_Compteur_1[[#This Row],[Montant]]/Tab_Compteur_1[[#This Row],[Delta Jour]],"")</f>
        <v/>
      </c>
      <c r="I117" s="208" t="str">
        <f t="shared" si="5"/>
        <v/>
      </c>
      <c r="J117" s="185"/>
      <c r="K117" s="38"/>
      <c r="L117" s="38"/>
      <c r="M117" s="38"/>
      <c r="N117" s="38"/>
      <c r="O117"/>
    </row>
    <row r="118" spans="1:15">
      <c r="A118" s="464">
        <f t="shared" si="6"/>
        <v>1</v>
      </c>
      <c r="B118" s="228"/>
      <c r="C118" s="189"/>
      <c r="D118" s="188"/>
      <c r="E118" s="186"/>
      <c r="F118">
        <f t="shared" si="4"/>
        <v>0</v>
      </c>
      <c r="G118" t="str">
        <f>IF(IFERROR(IF(Str_TypeDonneesCpt1=Cpt_Index,Tab_Compteur_1[[#This Row],[Index]]-E117,Tab_Compteur_1[[#This Row],[Quantité]])/Tab_Compteur_1[[#This Row],[Delta Jour]],"")&lt;0,"",IFERROR(IF(Str_TypeDonneesCpt1=Cpt_Index,Tab_Compteur_1[[#This Row],[Index]]-E117,Tab_Compteur_1[[#This Row],[Quantité]])/Tab_Compteur_1[[#This Row],[Delta Jour]],""))</f>
        <v/>
      </c>
      <c r="H118" t="str">
        <f>IFERROR(Tab_Compteur_1[[#This Row],[Montant]]/Tab_Compteur_1[[#This Row],[Delta Jour]],"")</f>
        <v/>
      </c>
      <c r="I118" s="208" t="str">
        <f t="shared" si="5"/>
        <v/>
      </c>
      <c r="J118" s="185"/>
      <c r="K118" s="38"/>
      <c r="L118" s="38"/>
      <c r="M118" s="38"/>
      <c r="N118" s="38"/>
      <c r="O118"/>
    </row>
    <row r="119" spans="1:15">
      <c r="A119" s="464">
        <f t="shared" si="6"/>
        <v>1</v>
      </c>
      <c r="B119" s="228"/>
      <c r="C119" s="189"/>
      <c r="D119" s="186"/>
      <c r="E119" s="186"/>
      <c r="F119">
        <f t="shared" si="4"/>
        <v>0</v>
      </c>
      <c r="G119" t="str">
        <f>IF(IFERROR(IF(Str_TypeDonneesCpt1=Cpt_Index,Tab_Compteur_1[[#This Row],[Index]]-E118,Tab_Compteur_1[[#This Row],[Quantité]])/Tab_Compteur_1[[#This Row],[Delta Jour]],"")&lt;0,"",IFERROR(IF(Str_TypeDonneesCpt1=Cpt_Index,Tab_Compteur_1[[#This Row],[Index]]-E118,Tab_Compteur_1[[#This Row],[Quantité]])/Tab_Compteur_1[[#This Row],[Delta Jour]],""))</f>
        <v/>
      </c>
      <c r="H119" t="str">
        <f>IFERROR(Tab_Compteur_1[[#This Row],[Montant]]/Tab_Compteur_1[[#This Row],[Delta Jour]],"")</f>
        <v/>
      </c>
      <c r="I119" s="208" t="str">
        <f t="shared" si="5"/>
        <v/>
      </c>
      <c r="J119" s="185"/>
      <c r="K119" s="38"/>
      <c r="L119" s="38"/>
      <c r="M119" s="38"/>
      <c r="N119" s="38"/>
      <c r="O119"/>
    </row>
    <row r="120" spans="1:15">
      <c r="A120" s="464">
        <f t="shared" si="6"/>
        <v>1</v>
      </c>
      <c r="B120" s="228"/>
      <c r="C120" s="189"/>
      <c r="D120" s="186"/>
      <c r="E120" s="186"/>
      <c r="F120">
        <f t="shared" si="4"/>
        <v>0</v>
      </c>
      <c r="G120" t="str">
        <f>IF(IFERROR(IF(Str_TypeDonneesCpt1=Cpt_Index,Tab_Compteur_1[[#This Row],[Index]]-E119,Tab_Compteur_1[[#This Row],[Quantité]])/Tab_Compteur_1[[#This Row],[Delta Jour]],"")&lt;0,"",IFERROR(IF(Str_TypeDonneesCpt1=Cpt_Index,Tab_Compteur_1[[#This Row],[Index]]-E119,Tab_Compteur_1[[#This Row],[Quantité]])/Tab_Compteur_1[[#This Row],[Delta Jour]],""))</f>
        <v/>
      </c>
      <c r="H120" t="str">
        <f>IFERROR(Tab_Compteur_1[[#This Row],[Montant]]/Tab_Compteur_1[[#This Row],[Delta Jour]],"")</f>
        <v/>
      </c>
      <c r="I120" s="208" t="str">
        <f t="shared" si="5"/>
        <v/>
      </c>
      <c r="J120" s="185"/>
      <c r="K120" s="38"/>
      <c r="L120" s="38"/>
      <c r="M120" s="38"/>
      <c r="N120" s="38"/>
      <c r="O120"/>
    </row>
    <row r="121" spans="1:15">
      <c r="A121" s="464">
        <f t="shared" si="6"/>
        <v>1</v>
      </c>
      <c r="B121" s="228"/>
      <c r="C121" s="189"/>
      <c r="D121" s="186"/>
      <c r="E121" s="186"/>
      <c r="F121">
        <f t="shared" si="4"/>
        <v>0</v>
      </c>
      <c r="G121" t="str">
        <f>IF(IFERROR(IF(Str_TypeDonneesCpt1=Cpt_Index,Tab_Compteur_1[[#This Row],[Index]]-E120,Tab_Compteur_1[[#This Row],[Quantité]])/Tab_Compteur_1[[#This Row],[Delta Jour]],"")&lt;0,"",IFERROR(IF(Str_TypeDonneesCpt1=Cpt_Index,Tab_Compteur_1[[#This Row],[Index]]-E120,Tab_Compteur_1[[#This Row],[Quantité]])/Tab_Compteur_1[[#This Row],[Delta Jour]],""))</f>
        <v/>
      </c>
      <c r="H121" t="str">
        <f>IFERROR(Tab_Compteur_1[[#This Row],[Montant]]/Tab_Compteur_1[[#This Row],[Delta Jour]],"")</f>
        <v/>
      </c>
      <c r="I121" s="208" t="str">
        <f t="shared" si="5"/>
        <v/>
      </c>
      <c r="J121" s="185"/>
      <c r="K121" s="38"/>
      <c r="L121" s="38"/>
      <c r="M121" s="38"/>
      <c r="N121" s="38"/>
      <c r="O121"/>
    </row>
    <row r="122" spans="1:15">
      <c r="A122" s="464">
        <f t="shared" si="6"/>
        <v>1</v>
      </c>
      <c r="B122" s="228"/>
      <c r="C122" s="189"/>
      <c r="D122" s="186"/>
      <c r="E122" s="186"/>
      <c r="F122">
        <f t="shared" si="4"/>
        <v>0</v>
      </c>
      <c r="G122" t="str">
        <f>IF(IFERROR(IF(Str_TypeDonneesCpt1=Cpt_Index,Tab_Compteur_1[[#This Row],[Index]]-E121,Tab_Compteur_1[[#This Row],[Quantité]])/Tab_Compteur_1[[#This Row],[Delta Jour]],"")&lt;0,"",IFERROR(IF(Str_TypeDonneesCpt1=Cpt_Index,Tab_Compteur_1[[#This Row],[Index]]-E121,Tab_Compteur_1[[#This Row],[Quantité]])/Tab_Compteur_1[[#This Row],[Delta Jour]],""))</f>
        <v/>
      </c>
      <c r="H122" t="str">
        <f>IFERROR(Tab_Compteur_1[[#This Row],[Montant]]/Tab_Compteur_1[[#This Row],[Delta Jour]],"")</f>
        <v/>
      </c>
      <c r="I122" s="208" t="str">
        <f t="shared" si="5"/>
        <v/>
      </c>
      <c r="J122" s="185"/>
      <c r="K122" s="38"/>
      <c r="L122" s="38"/>
      <c r="M122" s="38"/>
      <c r="N122" s="38"/>
      <c r="O122"/>
    </row>
    <row r="123" spans="1:15">
      <c r="A123" s="464">
        <f t="shared" si="6"/>
        <v>1</v>
      </c>
      <c r="B123" s="228"/>
      <c r="C123" s="189"/>
      <c r="D123" s="186"/>
      <c r="E123" s="186"/>
      <c r="F123">
        <f t="shared" si="4"/>
        <v>0</v>
      </c>
      <c r="G123" t="str">
        <f>IF(IFERROR(IF(Str_TypeDonneesCpt1=Cpt_Index,Tab_Compteur_1[[#This Row],[Index]]-E122,Tab_Compteur_1[[#This Row],[Quantité]])/Tab_Compteur_1[[#This Row],[Delta Jour]],"")&lt;0,"",IFERROR(IF(Str_TypeDonneesCpt1=Cpt_Index,Tab_Compteur_1[[#This Row],[Index]]-E122,Tab_Compteur_1[[#This Row],[Quantité]])/Tab_Compteur_1[[#This Row],[Delta Jour]],""))</f>
        <v/>
      </c>
      <c r="H123" t="str">
        <f>IFERROR(Tab_Compteur_1[[#This Row],[Montant]]/Tab_Compteur_1[[#This Row],[Delta Jour]],"")</f>
        <v/>
      </c>
      <c r="I123" s="208" t="str">
        <f t="shared" si="5"/>
        <v/>
      </c>
      <c r="J123" s="185"/>
      <c r="K123" s="38"/>
      <c r="L123" s="38"/>
      <c r="M123" s="38"/>
      <c r="N123" s="38"/>
      <c r="O123"/>
    </row>
    <row r="124" spans="1:15">
      <c r="A124" s="464">
        <f t="shared" si="6"/>
        <v>1</v>
      </c>
      <c r="B124" s="228"/>
      <c r="C124" s="189"/>
      <c r="D124" s="186"/>
      <c r="E124" s="186"/>
      <c r="F124">
        <f t="shared" si="4"/>
        <v>0</v>
      </c>
      <c r="G124" t="str">
        <f>IF(IFERROR(IF(Str_TypeDonneesCpt1=Cpt_Index,Tab_Compteur_1[[#This Row],[Index]]-E123,Tab_Compteur_1[[#This Row],[Quantité]])/Tab_Compteur_1[[#This Row],[Delta Jour]],"")&lt;0,"",IFERROR(IF(Str_TypeDonneesCpt1=Cpt_Index,Tab_Compteur_1[[#This Row],[Index]]-E123,Tab_Compteur_1[[#This Row],[Quantité]])/Tab_Compteur_1[[#This Row],[Delta Jour]],""))</f>
        <v/>
      </c>
      <c r="H124" t="str">
        <f>IFERROR(Tab_Compteur_1[[#This Row],[Montant]]/Tab_Compteur_1[[#This Row],[Delta Jour]],"")</f>
        <v/>
      </c>
      <c r="I124" s="208" t="str">
        <f t="shared" si="5"/>
        <v/>
      </c>
      <c r="J124" s="185"/>
      <c r="K124" s="38"/>
      <c r="L124" s="38"/>
      <c r="M124" s="38"/>
      <c r="N124" s="38"/>
      <c r="O124"/>
    </row>
    <row r="125" spans="1:15">
      <c r="A125" s="464">
        <f t="shared" si="6"/>
        <v>1</v>
      </c>
      <c r="B125" s="228"/>
      <c r="C125" s="189"/>
      <c r="D125" s="186"/>
      <c r="E125" s="186"/>
      <c r="F125">
        <f t="shared" si="4"/>
        <v>0</v>
      </c>
      <c r="G125" t="str">
        <f>IF(IFERROR(IF(Str_TypeDonneesCpt1=Cpt_Index,Tab_Compteur_1[[#This Row],[Index]]-E124,Tab_Compteur_1[[#This Row],[Quantité]])/Tab_Compteur_1[[#This Row],[Delta Jour]],"")&lt;0,"",IFERROR(IF(Str_TypeDonneesCpt1=Cpt_Index,Tab_Compteur_1[[#This Row],[Index]]-E124,Tab_Compteur_1[[#This Row],[Quantité]])/Tab_Compteur_1[[#This Row],[Delta Jour]],""))</f>
        <v/>
      </c>
      <c r="H125" t="str">
        <f>IFERROR(Tab_Compteur_1[[#This Row],[Montant]]/Tab_Compteur_1[[#This Row],[Delta Jour]],"")</f>
        <v/>
      </c>
      <c r="I125" s="208" t="str">
        <f t="shared" si="5"/>
        <v/>
      </c>
      <c r="J125" s="185"/>
      <c r="K125" s="38"/>
      <c r="L125" s="38"/>
      <c r="M125" s="38"/>
      <c r="N125" s="38"/>
      <c r="O125"/>
    </row>
    <row r="126" spans="1:15">
      <c r="A126" s="464">
        <f t="shared" si="6"/>
        <v>1</v>
      </c>
      <c r="B126" s="228"/>
      <c r="C126" s="189"/>
      <c r="D126" s="186"/>
      <c r="E126" s="186"/>
      <c r="F126">
        <f t="shared" si="4"/>
        <v>0</v>
      </c>
      <c r="G126" t="str">
        <f>IF(IFERROR(IF(Str_TypeDonneesCpt1=Cpt_Index,Tab_Compteur_1[[#This Row],[Index]]-E125,Tab_Compteur_1[[#This Row],[Quantité]])/Tab_Compteur_1[[#This Row],[Delta Jour]],"")&lt;0,"",IFERROR(IF(Str_TypeDonneesCpt1=Cpt_Index,Tab_Compteur_1[[#This Row],[Index]]-E125,Tab_Compteur_1[[#This Row],[Quantité]])/Tab_Compteur_1[[#This Row],[Delta Jour]],""))</f>
        <v/>
      </c>
      <c r="H126" t="str">
        <f>IFERROR(Tab_Compteur_1[[#This Row],[Montant]]/Tab_Compteur_1[[#This Row],[Delta Jour]],"")</f>
        <v/>
      </c>
      <c r="I126" s="208" t="str">
        <f t="shared" si="5"/>
        <v/>
      </c>
      <c r="J126" s="185"/>
      <c r="K126" s="38"/>
      <c r="L126" s="38"/>
      <c r="M126" s="38"/>
      <c r="N126" s="38"/>
      <c r="O126"/>
    </row>
    <row r="127" spans="1:15">
      <c r="A127" s="464">
        <f t="shared" si="6"/>
        <v>1</v>
      </c>
      <c r="B127" s="228"/>
      <c r="C127" s="189"/>
      <c r="D127" s="186"/>
      <c r="E127" s="186"/>
      <c r="F127">
        <f t="shared" si="4"/>
        <v>0</v>
      </c>
      <c r="G127" t="str">
        <f>IF(IFERROR(IF(Str_TypeDonneesCpt1=Cpt_Index,Tab_Compteur_1[[#This Row],[Index]]-E126,Tab_Compteur_1[[#This Row],[Quantité]])/Tab_Compteur_1[[#This Row],[Delta Jour]],"")&lt;0,"",IFERROR(IF(Str_TypeDonneesCpt1=Cpt_Index,Tab_Compteur_1[[#This Row],[Index]]-E126,Tab_Compteur_1[[#This Row],[Quantité]])/Tab_Compteur_1[[#This Row],[Delta Jour]],""))</f>
        <v/>
      </c>
      <c r="H127" t="str">
        <f>IFERROR(Tab_Compteur_1[[#This Row],[Montant]]/Tab_Compteur_1[[#This Row],[Delta Jour]],"")</f>
        <v/>
      </c>
      <c r="I127" s="208" t="str">
        <f t="shared" si="5"/>
        <v/>
      </c>
      <c r="J127" s="185"/>
      <c r="K127" s="38"/>
      <c r="L127" s="38"/>
      <c r="M127" s="38"/>
      <c r="N127" s="38"/>
      <c r="O127"/>
    </row>
    <row r="128" spans="1:15">
      <c r="A128" s="464">
        <f t="shared" si="6"/>
        <v>1</v>
      </c>
      <c r="B128" s="228"/>
      <c r="C128" s="189"/>
      <c r="D128" s="186"/>
      <c r="E128" s="186"/>
      <c r="F128">
        <f t="shared" si="4"/>
        <v>0</v>
      </c>
      <c r="G128" t="str">
        <f>IF(IFERROR(IF(Str_TypeDonneesCpt1=Cpt_Index,Tab_Compteur_1[[#This Row],[Index]]-E127,Tab_Compteur_1[[#This Row],[Quantité]])/Tab_Compteur_1[[#This Row],[Delta Jour]],"")&lt;0,"",IFERROR(IF(Str_TypeDonneesCpt1=Cpt_Index,Tab_Compteur_1[[#This Row],[Index]]-E127,Tab_Compteur_1[[#This Row],[Quantité]])/Tab_Compteur_1[[#This Row],[Delta Jour]],""))</f>
        <v/>
      </c>
      <c r="H128" t="str">
        <f>IFERROR(Tab_Compteur_1[[#This Row],[Montant]]/Tab_Compteur_1[[#This Row],[Delta Jour]],"")</f>
        <v/>
      </c>
      <c r="I128" s="208" t="str">
        <f t="shared" si="5"/>
        <v/>
      </c>
      <c r="J128" s="185"/>
      <c r="K128" s="38"/>
      <c r="L128" s="38"/>
      <c r="M128" s="38"/>
      <c r="N128" s="38"/>
      <c r="O128"/>
    </row>
    <row r="129" spans="1:15">
      <c r="A129" s="464">
        <f t="shared" si="6"/>
        <v>1</v>
      </c>
      <c r="B129" s="228"/>
      <c r="C129" s="189"/>
      <c r="D129" s="186"/>
      <c r="E129" s="186"/>
      <c r="F129">
        <f t="shared" si="4"/>
        <v>0</v>
      </c>
      <c r="G129" t="str">
        <f>IF(IFERROR(IF(Str_TypeDonneesCpt1=Cpt_Index,Tab_Compteur_1[[#This Row],[Index]]-E128,Tab_Compteur_1[[#This Row],[Quantité]])/Tab_Compteur_1[[#This Row],[Delta Jour]],"")&lt;0,"",IFERROR(IF(Str_TypeDonneesCpt1=Cpt_Index,Tab_Compteur_1[[#This Row],[Index]]-E128,Tab_Compteur_1[[#This Row],[Quantité]])/Tab_Compteur_1[[#This Row],[Delta Jour]],""))</f>
        <v/>
      </c>
      <c r="H129" t="str">
        <f>IFERROR(Tab_Compteur_1[[#This Row],[Montant]]/Tab_Compteur_1[[#This Row],[Delta Jour]],"")</f>
        <v/>
      </c>
      <c r="I129" s="208" t="str">
        <f t="shared" si="5"/>
        <v/>
      </c>
      <c r="J129" s="185"/>
      <c r="K129" s="38"/>
      <c r="L129" s="38"/>
      <c r="M129" s="38"/>
      <c r="N129" s="38"/>
      <c r="O129"/>
    </row>
    <row r="130" spans="1:15">
      <c r="A130" s="464">
        <f t="shared" si="6"/>
        <v>1</v>
      </c>
      <c r="B130" s="228"/>
      <c r="C130" s="189"/>
      <c r="D130" s="186"/>
      <c r="E130" s="186"/>
      <c r="F130">
        <f t="shared" si="4"/>
        <v>0</v>
      </c>
      <c r="G130" t="str">
        <f>IF(IFERROR(IF(Str_TypeDonneesCpt1=Cpt_Index,Tab_Compteur_1[[#This Row],[Index]]-E129,Tab_Compteur_1[[#This Row],[Quantité]])/Tab_Compteur_1[[#This Row],[Delta Jour]],"")&lt;0,"",IFERROR(IF(Str_TypeDonneesCpt1=Cpt_Index,Tab_Compteur_1[[#This Row],[Index]]-E129,Tab_Compteur_1[[#This Row],[Quantité]])/Tab_Compteur_1[[#This Row],[Delta Jour]],""))</f>
        <v/>
      </c>
      <c r="H130" t="str">
        <f>IFERROR(Tab_Compteur_1[[#This Row],[Montant]]/Tab_Compteur_1[[#This Row],[Delta Jour]],"")</f>
        <v/>
      </c>
      <c r="I130" s="208" t="str">
        <f t="shared" si="5"/>
        <v/>
      </c>
      <c r="J130" s="185"/>
      <c r="K130" s="38"/>
      <c r="L130" s="38"/>
      <c r="M130" s="38"/>
      <c r="N130" s="38"/>
      <c r="O130"/>
    </row>
    <row r="131" spans="1:15">
      <c r="A131" s="464">
        <f t="shared" si="6"/>
        <v>1</v>
      </c>
      <c r="B131" s="228"/>
      <c r="C131" s="189"/>
      <c r="D131" s="186"/>
      <c r="E131" s="186"/>
      <c r="F131">
        <f t="shared" ref="F131:F194" si="7">IFERROR(B131-A131+1,"")</f>
        <v>0</v>
      </c>
      <c r="G131" t="str">
        <f>IF(IFERROR(IF(Str_TypeDonneesCpt1=Cpt_Index,Tab_Compteur_1[[#This Row],[Index]]-E130,Tab_Compteur_1[[#This Row],[Quantité]])/Tab_Compteur_1[[#This Row],[Delta Jour]],"")&lt;0,"",IFERROR(IF(Str_TypeDonneesCpt1=Cpt_Index,Tab_Compteur_1[[#This Row],[Index]]-E130,Tab_Compteur_1[[#This Row],[Quantité]])/Tab_Compteur_1[[#This Row],[Delta Jour]],""))</f>
        <v/>
      </c>
      <c r="H131" t="str">
        <f>IFERROR(Tab_Compteur_1[[#This Row],[Montant]]/Tab_Compteur_1[[#This Row],[Delta Jour]],"")</f>
        <v/>
      </c>
      <c r="I131" s="208" t="str">
        <f t="shared" si="5"/>
        <v/>
      </c>
      <c r="J131" s="185"/>
      <c r="K131" s="38"/>
      <c r="L131" s="38"/>
      <c r="M131" s="38"/>
      <c r="N131" s="38"/>
      <c r="O131"/>
    </row>
    <row r="132" spans="1:15">
      <c r="A132" s="464">
        <f t="shared" si="6"/>
        <v>1</v>
      </c>
      <c r="B132" s="228"/>
      <c r="C132" s="189"/>
      <c r="D132" s="186"/>
      <c r="E132" s="186"/>
      <c r="F132">
        <f t="shared" si="7"/>
        <v>0</v>
      </c>
      <c r="G132" t="str">
        <f>IF(IFERROR(IF(Str_TypeDonneesCpt1=Cpt_Index,Tab_Compteur_1[[#This Row],[Index]]-E131,Tab_Compteur_1[[#This Row],[Quantité]])/Tab_Compteur_1[[#This Row],[Delta Jour]],"")&lt;0,"",IFERROR(IF(Str_TypeDonneesCpt1=Cpt_Index,Tab_Compteur_1[[#This Row],[Index]]-E131,Tab_Compteur_1[[#This Row],[Quantité]])/Tab_Compteur_1[[#This Row],[Delta Jour]],""))</f>
        <v/>
      </c>
      <c r="H132" t="str">
        <f>IFERROR(Tab_Compteur_1[[#This Row],[Montant]]/Tab_Compteur_1[[#This Row],[Delta Jour]],"")</f>
        <v/>
      </c>
      <c r="I132" s="208" t="str">
        <f t="shared" si="5"/>
        <v/>
      </c>
      <c r="J132" s="185"/>
      <c r="K132" s="38"/>
      <c r="L132" s="38"/>
      <c r="M132" s="38"/>
      <c r="N132" s="38"/>
      <c r="O132"/>
    </row>
    <row r="133" spans="1:15">
      <c r="A133" s="464">
        <f t="shared" si="6"/>
        <v>1</v>
      </c>
      <c r="B133" s="228"/>
      <c r="C133" s="189"/>
      <c r="D133" s="186"/>
      <c r="E133" s="186"/>
      <c r="F133">
        <f t="shared" si="7"/>
        <v>0</v>
      </c>
      <c r="G133" t="str">
        <f>IF(IFERROR(IF(Str_TypeDonneesCpt1=Cpt_Index,Tab_Compteur_1[[#This Row],[Index]]-E132,Tab_Compteur_1[[#This Row],[Quantité]])/Tab_Compteur_1[[#This Row],[Delta Jour]],"")&lt;0,"",IFERROR(IF(Str_TypeDonneesCpt1=Cpt_Index,Tab_Compteur_1[[#This Row],[Index]]-E132,Tab_Compteur_1[[#This Row],[Quantité]])/Tab_Compteur_1[[#This Row],[Delta Jour]],""))</f>
        <v/>
      </c>
      <c r="H133" t="str">
        <f>IFERROR(Tab_Compteur_1[[#This Row],[Montant]]/Tab_Compteur_1[[#This Row],[Delta Jour]],"")</f>
        <v/>
      </c>
      <c r="I133" s="208" t="str">
        <f t="shared" ref="I133:I196" si="8">G133</f>
        <v/>
      </c>
      <c r="J133" s="185"/>
      <c r="K133" s="38"/>
      <c r="L133" s="38"/>
      <c r="M133" s="38"/>
      <c r="N133" s="38"/>
      <c r="O133"/>
    </row>
    <row r="134" spans="1:15">
      <c r="A134" s="464">
        <f t="shared" ref="A134:A197" si="9">IFERROR(B133+1,0)</f>
        <v>1</v>
      </c>
      <c r="B134" s="228"/>
      <c r="C134" s="189"/>
      <c r="D134" s="186"/>
      <c r="E134" s="186"/>
      <c r="F134">
        <f t="shared" si="7"/>
        <v>0</v>
      </c>
      <c r="G134" t="str">
        <f>IF(IFERROR(IF(Str_TypeDonneesCpt1=Cpt_Index,Tab_Compteur_1[[#This Row],[Index]]-E133,Tab_Compteur_1[[#This Row],[Quantité]])/Tab_Compteur_1[[#This Row],[Delta Jour]],"")&lt;0,"",IFERROR(IF(Str_TypeDonneesCpt1=Cpt_Index,Tab_Compteur_1[[#This Row],[Index]]-E133,Tab_Compteur_1[[#This Row],[Quantité]])/Tab_Compteur_1[[#This Row],[Delta Jour]],""))</f>
        <v/>
      </c>
      <c r="H134" t="str">
        <f>IFERROR(Tab_Compteur_1[[#This Row],[Montant]]/Tab_Compteur_1[[#This Row],[Delta Jour]],"")</f>
        <v/>
      </c>
      <c r="I134" s="208" t="str">
        <f t="shared" si="8"/>
        <v/>
      </c>
      <c r="J134" s="185"/>
      <c r="K134" s="38"/>
      <c r="L134" s="38"/>
      <c r="M134" s="38"/>
      <c r="N134" s="38"/>
      <c r="O134"/>
    </row>
    <row r="135" spans="1:15">
      <c r="A135" s="464">
        <f t="shared" si="9"/>
        <v>1</v>
      </c>
      <c r="B135" s="228"/>
      <c r="C135" s="189"/>
      <c r="D135" s="186"/>
      <c r="E135" s="186"/>
      <c r="F135">
        <f t="shared" si="7"/>
        <v>0</v>
      </c>
      <c r="G135" t="str">
        <f>IF(IFERROR(IF(Str_TypeDonneesCpt1=Cpt_Index,Tab_Compteur_1[[#This Row],[Index]]-E134,Tab_Compteur_1[[#This Row],[Quantité]])/Tab_Compteur_1[[#This Row],[Delta Jour]],"")&lt;0,"",IFERROR(IF(Str_TypeDonneesCpt1=Cpt_Index,Tab_Compteur_1[[#This Row],[Index]]-E134,Tab_Compteur_1[[#This Row],[Quantité]])/Tab_Compteur_1[[#This Row],[Delta Jour]],""))</f>
        <v/>
      </c>
      <c r="H135" t="str">
        <f>IFERROR(Tab_Compteur_1[[#This Row],[Montant]]/Tab_Compteur_1[[#This Row],[Delta Jour]],"")</f>
        <v/>
      </c>
      <c r="I135" s="208" t="str">
        <f t="shared" si="8"/>
        <v/>
      </c>
      <c r="J135" s="185"/>
      <c r="K135" s="38"/>
      <c r="L135" s="38"/>
      <c r="M135" s="38"/>
      <c r="N135" s="38"/>
      <c r="O135"/>
    </row>
    <row r="136" spans="1:15">
      <c r="A136" s="464">
        <f t="shared" si="9"/>
        <v>1</v>
      </c>
      <c r="B136" s="228"/>
      <c r="C136" s="189"/>
      <c r="D136" s="186"/>
      <c r="E136" s="186"/>
      <c r="F136">
        <f t="shared" si="7"/>
        <v>0</v>
      </c>
      <c r="G136" t="str">
        <f>IF(IFERROR(IF(Str_TypeDonneesCpt1=Cpt_Index,Tab_Compteur_1[[#This Row],[Index]]-E135,Tab_Compteur_1[[#This Row],[Quantité]])/Tab_Compteur_1[[#This Row],[Delta Jour]],"")&lt;0,"",IFERROR(IF(Str_TypeDonneesCpt1=Cpt_Index,Tab_Compteur_1[[#This Row],[Index]]-E135,Tab_Compteur_1[[#This Row],[Quantité]])/Tab_Compteur_1[[#This Row],[Delta Jour]],""))</f>
        <v/>
      </c>
      <c r="H136" t="str">
        <f>IFERROR(Tab_Compteur_1[[#This Row],[Montant]]/Tab_Compteur_1[[#This Row],[Delta Jour]],"")</f>
        <v/>
      </c>
      <c r="I136" s="208" t="str">
        <f t="shared" si="8"/>
        <v/>
      </c>
      <c r="J136" s="185"/>
      <c r="K136" s="38"/>
      <c r="L136" s="38"/>
      <c r="M136" s="38"/>
      <c r="N136" s="38"/>
      <c r="O136"/>
    </row>
    <row r="137" spans="1:15">
      <c r="A137" s="464">
        <f t="shared" si="9"/>
        <v>1</v>
      </c>
      <c r="B137" s="228"/>
      <c r="C137" s="189"/>
      <c r="D137" s="186"/>
      <c r="E137" s="186"/>
      <c r="F137">
        <f t="shared" si="7"/>
        <v>0</v>
      </c>
      <c r="G137" t="str">
        <f>IF(IFERROR(IF(Str_TypeDonneesCpt1=Cpt_Index,Tab_Compteur_1[[#This Row],[Index]]-E136,Tab_Compteur_1[[#This Row],[Quantité]])/Tab_Compteur_1[[#This Row],[Delta Jour]],"")&lt;0,"",IFERROR(IF(Str_TypeDonneesCpt1=Cpt_Index,Tab_Compteur_1[[#This Row],[Index]]-E136,Tab_Compteur_1[[#This Row],[Quantité]])/Tab_Compteur_1[[#This Row],[Delta Jour]],""))</f>
        <v/>
      </c>
      <c r="H137" t="str">
        <f>IFERROR(Tab_Compteur_1[[#This Row],[Montant]]/Tab_Compteur_1[[#This Row],[Delta Jour]],"")</f>
        <v/>
      </c>
      <c r="I137" s="208" t="str">
        <f t="shared" si="8"/>
        <v/>
      </c>
      <c r="J137" s="185"/>
      <c r="K137" s="38"/>
      <c r="L137" s="38"/>
      <c r="M137" s="38"/>
      <c r="N137" s="38"/>
      <c r="O137"/>
    </row>
    <row r="138" spans="1:15">
      <c r="A138" s="464">
        <f t="shared" si="9"/>
        <v>1</v>
      </c>
      <c r="B138" s="228"/>
      <c r="C138" s="189"/>
      <c r="D138" s="200"/>
      <c r="E138" s="186"/>
      <c r="F138">
        <f t="shared" si="7"/>
        <v>0</v>
      </c>
      <c r="G138" t="str">
        <f>IF(IFERROR(IF(Str_TypeDonneesCpt1=Cpt_Index,Tab_Compteur_1[[#This Row],[Index]]-E137,Tab_Compteur_1[[#This Row],[Quantité]])/Tab_Compteur_1[[#This Row],[Delta Jour]],"")&lt;0,"",IFERROR(IF(Str_TypeDonneesCpt1=Cpt_Index,Tab_Compteur_1[[#This Row],[Index]]-E137,Tab_Compteur_1[[#This Row],[Quantité]])/Tab_Compteur_1[[#This Row],[Delta Jour]],""))</f>
        <v/>
      </c>
      <c r="H138" t="str">
        <f>IFERROR(Tab_Compteur_1[[#This Row],[Montant]]/Tab_Compteur_1[[#This Row],[Delta Jour]],"")</f>
        <v/>
      </c>
      <c r="I138" s="208" t="str">
        <f t="shared" si="8"/>
        <v/>
      </c>
      <c r="J138" s="185"/>
      <c r="K138" s="38"/>
      <c r="L138" s="38"/>
      <c r="M138" s="38"/>
      <c r="N138" s="38"/>
      <c r="O138"/>
    </row>
    <row r="139" spans="1:15">
      <c r="A139" s="464">
        <f t="shared" si="9"/>
        <v>1</v>
      </c>
      <c r="B139" s="228"/>
      <c r="C139" s="189"/>
      <c r="D139" s="200"/>
      <c r="E139" s="186"/>
      <c r="F139">
        <f t="shared" si="7"/>
        <v>0</v>
      </c>
      <c r="G139" t="str">
        <f>IF(IFERROR(IF(Str_TypeDonneesCpt1=Cpt_Index,Tab_Compteur_1[[#This Row],[Index]]-E138,Tab_Compteur_1[[#This Row],[Quantité]])/Tab_Compteur_1[[#This Row],[Delta Jour]],"")&lt;0,"",IFERROR(IF(Str_TypeDonneesCpt1=Cpt_Index,Tab_Compteur_1[[#This Row],[Index]]-E138,Tab_Compteur_1[[#This Row],[Quantité]])/Tab_Compteur_1[[#This Row],[Delta Jour]],""))</f>
        <v/>
      </c>
      <c r="H139" t="str">
        <f>IFERROR(Tab_Compteur_1[[#This Row],[Montant]]/Tab_Compteur_1[[#This Row],[Delta Jour]],"")</f>
        <v/>
      </c>
      <c r="I139" s="208" t="str">
        <f t="shared" si="8"/>
        <v/>
      </c>
      <c r="J139" s="185"/>
      <c r="K139" s="38"/>
      <c r="L139" s="38"/>
      <c r="M139" s="38"/>
      <c r="N139" s="38"/>
      <c r="O139"/>
    </row>
    <row r="140" spans="1:15">
      <c r="A140" s="464">
        <f t="shared" si="9"/>
        <v>1</v>
      </c>
      <c r="B140" s="228"/>
      <c r="C140" s="189"/>
      <c r="D140" s="200"/>
      <c r="E140" s="186"/>
      <c r="F140">
        <f t="shared" si="7"/>
        <v>0</v>
      </c>
      <c r="G140" t="str">
        <f>IF(IFERROR(IF(Str_TypeDonneesCpt1=Cpt_Index,Tab_Compteur_1[[#This Row],[Index]]-E139,Tab_Compteur_1[[#This Row],[Quantité]])/Tab_Compteur_1[[#This Row],[Delta Jour]],"")&lt;0,"",IFERROR(IF(Str_TypeDonneesCpt1=Cpt_Index,Tab_Compteur_1[[#This Row],[Index]]-E139,Tab_Compteur_1[[#This Row],[Quantité]])/Tab_Compteur_1[[#This Row],[Delta Jour]],""))</f>
        <v/>
      </c>
      <c r="H140" t="str">
        <f>IFERROR(Tab_Compteur_1[[#This Row],[Montant]]/Tab_Compteur_1[[#This Row],[Delta Jour]],"")</f>
        <v/>
      </c>
      <c r="I140" s="208" t="str">
        <f t="shared" si="8"/>
        <v/>
      </c>
      <c r="J140" s="185"/>
      <c r="K140" s="38"/>
      <c r="L140" s="38"/>
      <c r="M140" s="38"/>
      <c r="N140" s="38"/>
      <c r="O140"/>
    </row>
    <row r="141" spans="1:15">
      <c r="A141" s="464">
        <f t="shared" si="9"/>
        <v>1</v>
      </c>
      <c r="B141" s="228"/>
      <c r="C141" s="189"/>
      <c r="D141" s="200"/>
      <c r="E141" s="186"/>
      <c r="F141">
        <f t="shared" si="7"/>
        <v>0</v>
      </c>
      <c r="G141" t="str">
        <f>IF(IFERROR(IF(Str_TypeDonneesCpt1=Cpt_Index,Tab_Compteur_1[[#This Row],[Index]]-E140,Tab_Compteur_1[[#This Row],[Quantité]])/Tab_Compteur_1[[#This Row],[Delta Jour]],"")&lt;0,"",IFERROR(IF(Str_TypeDonneesCpt1=Cpt_Index,Tab_Compteur_1[[#This Row],[Index]]-E140,Tab_Compteur_1[[#This Row],[Quantité]])/Tab_Compteur_1[[#This Row],[Delta Jour]],""))</f>
        <v/>
      </c>
      <c r="H141" t="str">
        <f>IFERROR(Tab_Compteur_1[[#This Row],[Montant]]/Tab_Compteur_1[[#This Row],[Delta Jour]],"")</f>
        <v/>
      </c>
      <c r="I141" s="208" t="str">
        <f t="shared" si="8"/>
        <v/>
      </c>
      <c r="J141" s="185"/>
      <c r="K141" s="38"/>
      <c r="L141" s="38"/>
      <c r="M141" s="38"/>
      <c r="N141" s="38"/>
      <c r="O141"/>
    </row>
    <row r="142" spans="1:15">
      <c r="A142" s="464">
        <f t="shared" si="9"/>
        <v>1</v>
      </c>
      <c r="B142" s="228"/>
      <c r="C142" s="186"/>
      <c r="D142" s="186"/>
      <c r="E142" s="186"/>
      <c r="F142">
        <f t="shared" si="7"/>
        <v>0</v>
      </c>
      <c r="G142" t="str">
        <f>IF(IFERROR(IF(Str_TypeDonneesCpt1=Cpt_Index,Tab_Compteur_1[[#This Row],[Index]]-E141,Tab_Compteur_1[[#This Row],[Quantité]])/Tab_Compteur_1[[#This Row],[Delta Jour]],"")&lt;0,"",IFERROR(IF(Str_TypeDonneesCpt1=Cpt_Index,Tab_Compteur_1[[#This Row],[Index]]-E141,Tab_Compteur_1[[#This Row],[Quantité]])/Tab_Compteur_1[[#This Row],[Delta Jour]],""))</f>
        <v/>
      </c>
      <c r="H142" t="str">
        <f>IFERROR(Tab_Compteur_1[[#This Row],[Montant]]/Tab_Compteur_1[[#This Row],[Delta Jour]],"")</f>
        <v/>
      </c>
      <c r="I142" s="208" t="str">
        <f t="shared" si="8"/>
        <v/>
      </c>
      <c r="J142" s="185"/>
      <c r="K142" s="38"/>
      <c r="L142" s="38"/>
      <c r="M142" s="38"/>
      <c r="N142" s="38"/>
      <c r="O142"/>
    </row>
    <row r="143" spans="1:15">
      <c r="A143" s="464">
        <f t="shared" si="9"/>
        <v>1</v>
      </c>
      <c r="B143" s="228"/>
      <c r="C143" s="186"/>
      <c r="D143" s="186"/>
      <c r="E143" s="186"/>
      <c r="F143">
        <f t="shared" si="7"/>
        <v>0</v>
      </c>
      <c r="G143" t="str">
        <f>IF(IFERROR(IF(Str_TypeDonneesCpt1=Cpt_Index,Tab_Compteur_1[[#This Row],[Index]]-E142,Tab_Compteur_1[[#This Row],[Quantité]])/Tab_Compteur_1[[#This Row],[Delta Jour]],"")&lt;0,"",IFERROR(IF(Str_TypeDonneesCpt1=Cpt_Index,Tab_Compteur_1[[#This Row],[Index]]-E142,Tab_Compteur_1[[#This Row],[Quantité]])/Tab_Compteur_1[[#This Row],[Delta Jour]],""))</f>
        <v/>
      </c>
      <c r="H143" t="str">
        <f>IFERROR(Tab_Compteur_1[[#This Row],[Montant]]/Tab_Compteur_1[[#This Row],[Delta Jour]],"")</f>
        <v/>
      </c>
      <c r="I143" s="208" t="str">
        <f t="shared" si="8"/>
        <v/>
      </c>
      <c r="J143" s="185"/>
      <c r="K143" s="38"/>
      <c r="L143" s="38"/>
      <c r="M143" s="38"/>
      <c r="N143" s="38"/>
      <c r="O143"/>
    </row>
    <row r="144" spans="1:15">
      <c r="A144" s="464">
        <f t="shared" si="9"/>
        <v>1</v>
      </c>
      <c r="B144" s="228"/>
      <c r="C144" s="186"/>
      <c r="D144" s="186"/>
      <c r="E144" s="186"/>
      <c r="F144">
        <f t="shared" si="7"/>
        <v>0</v>
      </c>
      <c r="G144" t="str">
        <f>IF(IFERROR(IF(Str_TypeDonneesCpt1=Cpt_Index,Tab_Compteur_1[[#This Row],[Index]]-E143,Tab_Compteur_1[[#This Row],[Quantité]])/Tab_Compteur_1[[#This Row],[Delta Jour]],"")&lt;0,"",IFERROR(IF(Str_TypeDonneesCpt1=Cpt_Index,Tab_Compteur_1[[#This Row],[Index]]-E143,Tab_Compteur_1[[#This Row],[Quantité]])/Tab_Compteur_1[[#This Row],[Delta Jour]],""))</f>
        <v/>
      </c>
      <c r="H144" t="str">
        <f>IFERROR(Tab_Compteur_1[[#This Row],[Montant]]/Tab_Compteur_1[[#This Row],[Delta Jour]],"")</f>
        <v/>
      </c>
      <c r="I144" s="208" t="str">
        <f t="shared" si="8"/>
        <v/>
      </c>
      <c r="J144" s="185"/>
      <c r="K144" s="38"/>
      <c r="L144" s="38"/>
      <c r="M144" s="38"/>
      <c r="N144" s="38"/>
      <c r="O144"/>
    </row>
    <row r="145" spans="1:15">
      <c r="A145" s="464">
        <f t="shared" si="9"/>
        <v>1</v>
      </c>
      <c r="B145" s="228"/>
      <c r="C145" s="186"/>
      <c r="D145" s="186"/>
      <c r="E145" s="186"/>
      <c r="F145">
        <f t="shared" si="7"/>
        <v>0</v>
      </c>
      <c r="G145" t="str">
        <f>IF(IFERROR(IF(Str_TypeDonneesCpt1=Cpt_Index,Tab_Compteur_1[[#This Row],[Index]]-E144,Tab_Compteur_1[[#This Row],[Quantité]])/Tab_Compteur_1[[#This Row],[Delta Jour]],"")&lt;0,"",IFERROR(IF(Str_TypeDonneesCpt1=Cpt_Index,Tab_Compteur_1[[#This Row],[Index]]-E144,Tab_Compteur_1[[#This Row],[Quantité]])/Tab_Compteur_1[[#This Row],[Delta Jour]],""))</f>
        <v/>
      </c>
      <c r="H145" t="str">
        <f>IFERROR(Tab_Compteur_1[[#This Row],[Montant]]/Tab_Compteur_1[[#This Row],[Delta Jour]],"")</f>
        <v/>
      </c>
      <c r="I145" s="208" t="str">
        <f t="shared" si="8"/>
        <v/>
      </c>
      <c r="J145" s="185"/>
      <c r="K145" s="38"/>
      <c r="L145" s="38"/>
      <c r="M145" s="38"/>
      <c r="N145" s="38"/>
      <c r="O145"/>
    </row>
    <row r="146" spans="1:15">
      <c r="A146" s="464">
        <f t="shared" si="9"/>
        <v>1</v>
      </c>
      <c r="B146" s="228"/>
      <c r="C146" s="186"/>
      <c r="D146" s="186"/>
      <c r="E146" s="186"/>
      <c r="F146">
        <f t="shared" si="7"/>
        <v>0</v>
      </c>
      <c r="G146" t="str">
        <f>IF(IFERROR(IF(Str_TypeDonneesCpt1=Cpt_Index,Tab_Compteur_1[[#This Row],[Index]]-E145,Tab_Compteur_1[[#This Row],[Quantité]])/Tab_Compteur_1[[#This Row],[Delta Jour]],"")&lt;0,"",IFERROR(IF(Str_TypeDonneesCpt1=Cpt_Index,Tab_Compteur_1[[#This Row],[Index]]-E145,Tab_Compteur_1[[#This Row],[Quantité]])/Tab_Compteur_1[[#This Row],[Delta Jour]],""))</f>
        <v/>
      </c>
      <c r="H146" t="str">
        <f>IFERROR(Tab_Compteur_1[[#This Row],[Montant]]/Tab_Compteur_1[[#This Row],[Delta Jour]],"")</f>
        <v/>
      </c>
      <c r="I146" s="208" t="str">
        <f t="shared" si="8"/>
        <v/>
      </c>
      <c r="J146" s="185"/>
      <c r="K146" s="38"/>
      <c r="L146" s="38"/>
      <c r="M146" s="38"/>
      <c r="N146" s="38"/>
      <c r="O146"/>
    </row>
    <row r="147" spans="1:15">
      <c r="A147" s="464">
        <f t="shared" si="9"/>
        <v>1</v>
      </c>
      <c r="B147" s="228"/>
      <c r="C147" s="186"/>
      <c r="D147" s="186"/>
      <c r="E147" s="186"/>
      <c r="F147">
        <f t="shared" si="7"/>
        <v>0</v>
      </c>
      <c r="G147" t="str">
        <f>IF(IFERROR(IF(Str_TypeDonneesCpt1=Cpt_Index,Tab_Compteur_1[[#This Row],[Index]]-E146,Tab_Compteur_1[[#This Row],[Quantité]])/Tab_Compteur_1[[#This Row],[Delta Jour]],"")&lt;0,"",IFERROR(IF(Str_TypeDonneesCpt1=Cpt_Index,Tab_Compteur_1[[#This Row],[Index]]-E146,Tab_Compteur_1[[#This Row],[Quantité]])/Tab_Compteur_1[[#This Row],[Delta Jour]],""))</f>
        <v/>
      </c>
      <c r="H147" t="str">
        <f>IFERROR(Tab_Compteur_1[[#This Row],[Montant]]/Tab_Compteur_1[[#This Row],[Delta Jour]],"")</f>
        <v/>
      </c>
      <c r="I147" s="208" t="str">
        <f t="shared" si="8"/>
        <v/>
      </c>
      <c r="J147" s="185"/>
      <c r="K147" s="38"/>
      <c r="L147" s="38"/>
      <c r="M147" s="38"/>
      <c r="N147" s="38"/>
      <c r="O147"/>
    </row>
    <row r="148" spans="1:15">
      <c r="A148" s="464">
        <f t="shared" si="9"/>
        <v>1</v>
      </c>
      <c r="B148" s="228"/>
      <c r="C148" s="186"/>
      <c r="D148" s="186"/>
      <c r="E148" s="186"/>
      <c r="F148">
        <f t="shared" si="7"/>
        <v>0</v>
      </c>
      <c r="G148" t="str">
        <f>IF(IFERROR(IF(Str_TypeDonneesCpt1=Cpt_Index,Tab_Compteur_1[[#This Row],[Index]]-E147,Tab_Compteur_1[[#This Row],[Quantité]])/Tab_Compteur_1[[#This Row],[Delta Jour]],"")&lt;0,"",IFERROR(IF(Str_TypeDonneesCpt1=Cpt_Index,Tab_Compteur_1[[#This Row],[Index]]-E147,Tab_Compteur_1[[#This Row],[Quantité]])/Tab_Compteur_1[[#This Row],[Delta Jour]],""))</f>
        <v/>
      </c>
      <c r="H148" t="str">
        <f>IFERROR(Tab_Compteur_1[[#This Row],[Montant]]/Tab_Compteur_1[[#This Row],[Delta Jour]],"")</f>
        <v/>
      </c>
      <c r="I148" s="208" t="str">
        <f t="shared" si="8"/>
        <v/>
      </c>
      <c r="J148" s="185"/>
      <c r="K148" s="38"/>
      <c r="L148" s="38"/>
      <c r="M148" s="38"/>
      <c r="N148" s="38"/>
      <c r="O148"/>
    </row>
    <row r="149" spans="1:15">
      <c r="A149" s="464">
        <f t="shared" si="9"/>
        <v>1</v>
      </c>
      <c r="B149" s="228"/>
      <c r="C149" s="186"/>
      <c r="D149" s="186"/>
      <c r="E149" s="186"/>
      <c r="F149">
        <f t="shared" si="7"/>
        <v>0</v>
      </c>
      <c r="G149" t="str">
        <f>IF(IFERROR(IF(Str_TypeDonneesCpt1=Cpt_Index,Tab_Compteur_1[[#This Row],[Index]]-E148,Tab_Compteur_1[[#This Row],[Quantité]])/Tab_Compteur_1[[#This Row],[Delta Jour]],"")&lt;0,"",IFERROR(IF(Str_TypeDonneesCpt1=Cpt_Index,Tab_Compteur_1[[#This Row],[Index]]-E148,Tab_Compteur_1[[#This Row],[Quantité]])/Tab_Compteur_1[[#This Row],[Delta Jour]],""))</f>
        <v/>
      </c>
      <c r="H149" t="str">
        <f>IFERROR(Tab_Compteur_1[[#This Row],[Montant]]/Tab_Compteur_1[[#This Row],[Delta Jour]],"")</f>
        <v/>
      </c>
      <c r="I149" s="208" t="str">
        <f t="shared" si="8"/>
        <v/>
      </c>
      <c r="J149" s="185"/>
      <c r="K149" s="38"/>
      <c r="L149" s="38"/>
      <c r="M149" s="38"/>
      <c r="N149" s="38"/>
      <c r="O149"/>
    </row>
    <row r="150" spans="1:15">
      <c r="A150" s="464">
        <f t="shared" si="9"/>
        <v>1</v>
      </c>
      <c r="B150" s="228"/>
      <c r="C150" s="186"/>
      <c r="D150" s="186"/>
      <c r="E150" s="186"/>
      <c r="F150">
        <f t="shared" si="7"/>
        <v>0</v>
      </c>
      <c r="G150" t="str">
        <f>IF(IFERROR(IF(Str_TypeDonneesCpt1=Cpt_Index,Tab_Compteur_1[[#This Row],[Index]]-E149,Tab_Compteur_1[[#This Row],[Quantité]])/Tab_Compteur_1[[#This Row],[Delta Jour]],"")&lt;0,"",IFERROR(IF(Str_TypeDonneesCpt1=Cpt_Index,Tab_Compteur_1[[#This Row],[Index]]-E149,Tab_Compteur_1[[#This Row],[Quantité]])/Tab_Compteur_1[[#This Row],[Delta Jour]],""))</f>
        <v/>
      </c>
      <c r="H150" t="str">
        <f>IFERROR(Tab_Compteur_1[[#This Row],[Montant]]/Tab_Compteur_1[[#This Row],[Delta Jour]],"")</f>
        <v/>
      </c>
      <c r="I150" s="208" t="str">
        <f t="shared" si="8"/>
        <v/>
      </c>
      <c r="J150" s="185"/>
      <c r="K150" s="38"/>
      <c r="L150" s="38"/>
      <c r="M150" s="38"/>
      <c r="N150" s="38"/>
      <c r="O150"/>
    </row>
    <row r="151" spans="1:15">
      <c r="A151" s="464">
        <f t="shared" si="9"/>
        <v>1</v>
      </c>
      <c r="B151" s="228"/>
      <c r="C151" s="186"/>
      <c r="D151" s="186"/>
      <c r="E151" s="186"/>
      <c r="F151">
        <f t="shared" si="7"/>
        <v>0</v>
      </c>
      <c r="G151" t="str">
        <f>IF(IFERROR(IF(Str_TypeDonneesCpt1=Cpt_Index,Tab_Compteur_1[[#This Row],[Index]]-E150,Tab_Compteur_1[[#This Row],[Quantité]])/Tab_Compteur_1[[#This Row],[Delta Jour]],"")&lt;0,"",IFERROR(IF(Str_TypeDonneesCpt1=Cpt_Index,Tab_Compteur_1[[#This Row],[Index]]-E150,Tab_Compteur_1[[#This Row],[Quantité]])/Tab_Compteur_1[[#This Row],[Delta Jour]],""))</f>
        <v/>
      </c>
      <c r="H151" t="str">
        <f>IFERROR(Tab_Compteur_1[[#This Row],[Montant]]/Tab_Compteur_1[[#This Row],[Delta Jour]],"")</f>
        <v/>
      </c>
      <c r="I151" s="208" t="str">
        <f t="shared" si="8"/>
        <v/>
      </c>
      <c r="J151" s="185"/>
      <c r="K151" s="38"/>
      <c r="L151" s="38"/>
      <c r="M151" s="38"/>
      <c r="N151" s="38"/>
      <c r="O151"/>
    </row>
    <row r="152" spans="1:15">
      <c r="A152" s="464">
        <f t="shared" si="9"/>
        <v>1</v>
      </c>
      <c r="B152" s="228"/>
      <c r="C152" s="186"/>
      <c r="D152" s="186"/>
      <c r="E152" s="186"/>
      <c r="F152">
        <f t="shared" si="7"/>
        <v>0</v>
      </c>
      <c r="G152" t="str">
        <f>IF(IFERROR(IF(Str_TypeDonneesCpt1=Cpt_Index,Tab_Compteur_1[[#This Row],[Index]]-E151,Tab_Compteur_1[[#This Row],[Quantité]])/Tab_Compteur_1[[#This Row],[Delta Jour]],"")&lt;0,"",IFERROR(IF(Str_TypeDonneesCpt1=Cpt_Index,Tab_Compteur_1[[#This Row],[Index]]-E151,Tab_Compteur_1[[#This Row],[Quantité]])/Tab_Compteur_1[[#This Row],[Delta Jour]],""))</f>
        <v/>
      </c>
      <c r="H152" t="str">
        <f>IFERROR(Tab_Compteur_1[[#This Row],[Montant]]/Tab_Compteur_1[[#This Row],[Delta Jour]],"")</f>
        <v/>
      </c>
      <c r="I152" s="208" t="str">
        <f t="shared" si="8"/>
        <v/>
      </c>
      <c r="J152" s="185"/>
      <c r="K152" s="38"/>
      <c r="L152" s="38"/>
      <c r="M152" s="38"/>
      <c r="N152" s="38"/>
      <c r="O152"/>
    </row>
    <row r="153" spans="1:15">
      <c r="A153" s="464">
        <f t="shared" si="9"/>
        <v>1</v>
      </c>
      <c r="B153" s="228"/>
      <c r="C153" s="186"/>
      <c r="D153" s="186"/>
      <c r="E153" s="186"/>
      <c r="F153">
        <f t="shared" si="7"/>
        <v>0</v>
      </c>
      <c r="G153" t="str">
        <f>IF(IFERROR(IF(Str_TypeDonneesCpt1=Cpt_Index,Tab_Compteur_1[[#This Row],[Index]]-E152,Tab_Compteur_1[[#This Row],[Quantité]])/Tab_Compteur_1[[#This Row],[Delta Jour]],"")&lt;0,"",IFERROR(IF(Str_TypeDonneesCpt1=Cpt_Index,Tab_Compteur_1[[#This Row],[Index]]-E152,Tab_Compteur_1[[#This Row],[Quantité]])/Tab_Compteur_1[[#This Row],[Delta Jour]],""))</f>
        <v/>
      </c>
      <c r="H153" t="str">
        <f>IFERROR(Tab_Compteur_1[[#This Row],[Montant]]/Tab_Compteur_1[[#This Row],[Delta Jour]],"")</f>
        <v/>
      </c>
      <c r="I153" s="208" t="str">
        <f t="shared" si="8"/>
        <v/>
      </c>
      <c r="J153" s="185"/>
      <c r="K153" s="38"/>
      <c r="L153" s="38"/>
      <c r="M153" s="38"/>
      <c r="N153" s="38"/>
      <c r="O153"/>
    </row>
    <row r="154" spans="1:15">
      <c r="A154" s="464">
        <f t="shared" si="9"/>
        <v>1</v>
      </c>
      <c r="B154" s="460"/>
      <c r="C154" s="465"/>
      <c r="D154" s="465"/>
      <c r="E154" s="186"/>
      <c r="F154">
        <f t="shared" si="7"/>
        <v>0</v>
      </c>
      <c r="G154" t="str">
        <f>IF(IFERROR(IF(Str_TypeDonneesCpt1=Cpt_Index,Tab_Compteur_1[[#This Row],[Index]]-E153,Tab_Compteur_1[[#This Row],[Quantité]])/Tab_Compteur_1[[#This Row],[Delta Jour]],"")&lt;0,"",IFERROR(IF(Str_TypeDonneesCpt1=Cpt_Index,Tab_Compteur_1[[#This Row],[Index]]-E153,Tab_Compteur_1[[#This Row],[Quantité]])/Tab_Compteur_1[[#This Row],[Delta Jour]],""))</f>
        <v/>
      </c>
      <c r="H154" t="str">
        <f>IFERROR(Tab_Compteur_1[[#This Row],[Montant]]/Tab_Compteur_1[[#This Row],[Delta Jour]],"")</f>
        <v/>
      </c>
      <c r="I154" s="208" t="str">
        <f t="shared" si="8"/>
        <v/>
      </c>
      <c r="J154" s="185"/>
      <c r="K154" s="38"/>
      <c r="L154" s="38"/>
      <c r="M154" s="38"/>
      <c r="N154" s="38"/>
      <c r="O154"/>
    </row>
    <row r="155" spans="1:15">
      <c r="A155" s="464">
        <f t="shared" si="9"/>
        <v>1</v>
      </c>
      <c r="B155" s="460"/>
      <c r="C155" s="465"/>
      <c r="D155" s="465"/>
      <c r="E155" s="186"/>
      <c r="F155">
        <f t="shared" si="7"/>
        <v>0</v>
      </c>
      <c r="G155" t="str">
        <f>IF(IFERROR(IF(Str_TypeDonneesCpt1=Cpt_Index,Tab_Compteur_1[[#This Row],[Index]]-E154,Tab_Compteur_1[[#This Row],[Quantité]])/Tab_Compteur_1[[#This Row],[Delta Jour]],"")&lt;0,"",IFERROR(IF(Str_TypeDonneesCpt1=Cpt_Index,Tab_Compteur_1[[#This Row],[Index]]-E154,Tab_Compteur_1[[#This Row],[Quantité]])/Tab_Compteur_1[[#This Row],[Delta Jour]],""))</f>
        <v/>
      </c>
      <c r="H155" t="str">
        <f>IFERROR(Tab_Compteur_1[[#This Row],[Montant]]/Tab_Compteur_1[[#This Row],[Delta Jour]],"")</f>
        <v/>
      </c>
      <c r="I155" s="208" t="str">
        <f t="shared" si="8"/>
        <v/>
      </c>
      <c r="J155" s="185"/>
      <c r="K155" s="38"/>
      <c r="L155" s="38"/>
      <c r="M155" s="38"/>
      <c r="N155" s="38"/>
      <c r="O155"/>
    </row>
    <row r="156" spans="1:15">
      <c r="A156" s="464">
        <f t="shared" si="9"/>
        <v>1</v>
      </c>
      <c r="B156" s="460"/>
      <c r="C156" s="465"/>
      <c r="D156" s="465"/>
      <c r="E156" s="186"/>
      <c r="F156">
        <f t="shared" si="7"/>
        <v>0</v>
      </c>
      <c r="G156" t="str">
        <f>IF(IFERROR(IF(Str_TypeDonneesCpt1=Cpt_Index,Tab_Compteur_1[[#This Row],[Index]]-E155,Tab_Compteur_1[[#This Row],[Quantité]])/Tab_Compteur_1[[#This Row],[Delta Jour]],"")&lt;0,"",IFERROR(IF(Str_TypeDonneesCpt1=Cpt_Index,Tab_Compteur_1[[#This Row],[Index]]-E155,Tab_Compteur_1[[#This Row],[Quantité]])/Tab_Compteur_1[[#This Row],[Delta Jour]],""))</f>
        <v/>
      </c>
      <c r="H156" t="str">
        <f>IFERROR(Tab_Compteur_1[[#This Row],[Montant]]/Tab_Compteur_1[[#This Row],[Delta Jour]],"")</f>
        <v/>
      </c>
      <c r="I156" s="208" t="str">
        <f t="shared" si="8"/>
        <v/>
      </c>
      <c r="J156" s="185"/>
      <c r="K156" s="38"/>
      <c r="L156" s="38"/>
      <c r="M156" s="38"/>
      <c r="N156" s="38"/>
      <c r="O156"/>
    </row>
    <row r="157" spans="1:15">
      <c r="A157" s="464">
        <f t="shared" si="9"/>
        <v>1</v>
      </c>
      <c r="B157" s="460"/>
      <c r="C157" s="465"/>
      <c r="D157" s="465"/>
      <c r="E157" s="186"/>
      <c r="F157">
        <f t="shared" si="7"/>
        <v>0</v>
      </c>
      <c r="G157" t="str">
        <f>IF(IFERROR(IF(Str_TypeDonneesCpt1=Cpt_Index,Tab_Compteur_1[[#This Row],[Index]]-E156,Tab_Compteur_1[[#This Row],[Quantité]])/Tab_Compteur_1[[#This Row],[Delta Jour]],"")&lt;0,"",IFERROR(IF(Str_TypeDonneesCpt1=Cpt_Index,Tab_Compteur_1[[#This Row],[Index]]-E156,Tab_Compteur_1[[#This Row],[Quantité]])/Tab_Compteur_1[[#This Row],[Delta Jour]],""))</f>
        <v/>
      </c>
      <c r="H157" t="str">
        <f>IFERROR(Tab_Compteur_1[[#This Row],[Montant]]/Tab_Compteur_1[[#This Row],[Delta Jour]],"")</f>
        <v/>
      </c>
      <c r="I157" s="208" t="str">
        <f t="shared" si="8"/>
        <v/>
      </c>
      <c r="J157" s="185"/>
      <c r="K157" s="38"/>
      <c r="L157" s="38"/>
      <c r="M157" s="38"/>
      <c r="N157" s="38"/>
      <c r="O157"/>
    </row>
    <row r="158" spans="1:15">
      <c r="A158" s="464">
        <f t="shared" si="9"/>
        <v>1</v>
      </c>
      <c r="B158" s="460"/>
      <c r="C158" s="465"/>
      <c r="D158" s="465"/>
      <c r="E158" s="186"/>
      <c r="F158">
        <f t="shared" si="7"/>
        <v>0</v>
      </c>
      <c r="G158" t="str">
        <f>IF(IFERROR(IF(Str_TypeDonneesCpt1=Cpt_Index,Tab_Compteur_1[[#This Row],[Index]]-E157,Tab_Compteur_1[[#This Row],[Quantité]])/Tab_Compteur_1[[#This Row],[Delta Jour]],"")&lt;0,"",IFERROR(IF(Str_TypeDonneesCpt1=Cpt_Index,Tab_Compteur_1[[#This Row],[Index]]-E157,Tab_Compteur_1[[#This Row],[Quantité]])/Tab_Compteur_1[[#This Row],[Delta Jour]],""))</f>
        <v/>
      </c>
      <c r="H158" t="str">
        <f>IFERROR(Tab_Compteur_1[[#This Row],[Montant]]/Tab_Compteur_1[[#This Row],[Delta Jour]],"")</f>
        <v/>
      </c>
      <c r="I158" s="208" t="str">
        <f t="shared" si="8"/>
        <v/>
      </c>
      <c r="J158" s="185"/>
      <c r="K158" s="38"/>
      <c r="L158" s="38"/>
      <c r="M158" s="38"/>
      <c r="N158" s="38"/>
      <c r="O158"/>
    </row>
    <row r="159" spans="1:15">
      <c r="A159" s="464">
        <f t="shared" si="9"/>
        <v>1</v>
      </c>
      <c r="B159" s="460"/>
      <c r="C159" s="465"/>
      <c r="D159" s="465"/>
      <c r="E159" s="186"/>
      <c r="F159">
        <f t="shared" si="7"/>
        <v>0</v>
      </c>
      <c r="G159" t="str">
        <f>IF(IFERROR(IF(Str_TypeDonneesCpt1=Cpt_Index,Tab_Compteur_1[[#This Row],[Index]]-E158,Tab_Compteur_1[[#This Row],[Quantité]])/Tab_Compteur_1[[#This Row],[Delta Jour]],"")&lt;0,"",IFERROR(IF(Str_TypeDonneesCpt1=Cpt_Index,Tab_Compteur_1[[#This Row],[Index]]-E158,Tab_Compteur_1[[#This Row],[Quantité]])/Tab_Compteur_1[[#This Row],[Delta Jour]],""))</f>
        <v/>
      </c>
      <c r="H159" t="str">
        <f>IFERROR(Tab_Compteur_1[[#This Row],[Montant]]/Tab_Compteur_1[[#This Row],[Delta Jour]],"")</f>
        <v/>
      </c>
      <c r="I159" s="208" t="str">
        <f t="shared" si="8"/>
        <v/>
      </c>
      <c r="J159" s="185"/>
      <c r="K159" s="38"/>
      <c r="L159" s="38"/>
      <c r="M159" s="38"/>
      <c r="N159" s="38"/>
      <c r="O159"/>
    </row>
    <row r="160" spans="1:15">
      <c r="A160" s="464">
        <f t="shared" si="9"/>
        <v>1</v>
      </c>
      <c r="B160" s="460"/>
      <c r="C160" s="465"/>
      <c r="D160" s="465"/>
      <c r="E160" s="186"/>
      <c r="F160">
        <f t="shared" si="7"/>
        <v>0</v>
      </c>
      <c r="G160" t="str">
        <f>IF(IFERROR(IF(Str_TypeDonneesCpt1=Cpt_Index,Tab_Compteur_1[[#This Row],[Index]]-E159,Tab_Compteur_1[[#This Row],[Quantité]])/Tab_Compteur_1[[#This Row],[Delta Jour]],"")&lt;0,"",IFERROR(IF(Str_TypeDonneesCpt1=Cpt_Index,Tab_Compteur_1[[#This Row],[Index]]-E159,Tab_Compteur_1[[#This Row],[Quantité]])/Tab_Compteur_1[[#This Row],[Delta Jour]],""))</f>
        <v/>
      </c>
      <c r="H160" t="str">
        <f>IFERROR(Tab_Compteur_1[[#This Row],[Montant]]/Tab_Compteur_1[[#This Row],[Delta Jour]],"")</f>
        <v/>
      </c>
      <c r="I160" s="208" t="str">
        <f t="shared" si="8"/>
        <v/>
      </c>
      <c r="J160" s="185"/>
      <c r="K160" s="38"/>
      <c r="L160" s="38"/>
      <c r="M160" s="38"/>
      <c r="N160" s="38"/>
      <c r="O160"/>
    </row>
    <row r="161" spans="1:15">
      <c r="A161" s="464">
        <f t="shared" si="9"/>
        <v>1</v>
      </c>
      <c r="B161" s="460"/>
      <c r="C161" s="465"/>
      <c r="D161" s="465"/>
      <c r="E161" s="186"/>
      <c r="F161">
        <f t="shared" si="7"/>
        <v>0</v>
      </c>
      <c r="G161" t="str">
        <f>IF(IFERROR(IF(Str_TypeDonneesCpt1=Cpt_Index,Tab_Compteur_1[[#This Row],[Index]]-E160,Tab_Compteur_1[[#This Row],[Quantité]])/Tab_Compteur_1[[#This Row],[Delta Jour]],"")&lt;0,"",IFERROR(IF(Str_TypeDonneesCpt1=Cpt_Index,Tab_Compteur_1[[#This Row],[Index]]-E160,Tab_Compteur_1[[#This Row],[Quantité]])/Tab_Compteur_1[[#This Row],[Delta Jour]],""))</f>
        <v/>
      </c>
      <c r="H161" t="str">
        <f>IFERROR(Tab_Compteur_1[[#This Row],[Montant]]/Tab_Compteur_1[[#This Row],[Delta Jour]],"")</f>
        <v/>
      </c>
      <c r="I161" s="208" t="str">
        <f t="shared" si="8"/>
        <v/>
      </c>
      <c r="J161" s="185"/>
      <c r="K161" s="38"/>
      <c r="L161" s="38"/>
      <c r="M161" s="38"/>
      <c r="N161" s="38"/>
      <c r="O161"/>
    </row>
    <row r="162" spans="1:15">
      <c r="A162" s="464">
        <f t="shared" si="9"/>
        <v>1</v>
      </c>
      <c r="B162" s="228"/>
      <c r="C162" s="189"/>
      <c r="D162" s="188"/>
      <c r="E162" s="186"/>
      <c r="F162">
        <f t="shared" si="7"/>
        <v>0</v>
      </c>
      <c r="G162" t="str">
        <f>IF(IFERROR(IF(Str_TypeDonneesCpt1=Cpt_Index,Tab_Compteur_1[[#This Row],[Index]]-E161,Tab_Compteur_1[[#This Row],[Quantité]])/Tab_Compteur_1[[#This Row],[Delta Jour]],"")&lt;0,"",IFERROR(IF(Str_TypeDonneesCpt1=Cpt_Index,Tab_Compteur_1[[#This Row],[Index]]-E161,Tab_Compteur_1[[#This Row],[Quantité]])/Tab_Compteur_1[[#This Row],[Delta Jour]],""))</f>
        <v/>
      </c>
      <c r="H162" t="str">
        <f>IFERROR(Tab_Compteur_1[[#This Row],[Montant]]/Tab_Compteur_1[[#This Row],[Delta Jour]],"")</f>
        <v/>
      </c>
      <c r="I162" s="208" t="str">
        <f t="shared" si="8"/>
        <v/>
      </c>
      <c r="J162" s="185"/>
      <c r="K162" s="38"/>
      <c r="L162" s="38"/>
      <c r="M162" s="38"/>
      <c r="N162" s="38"/>
      <c r="O162"/>
    </row>
    <row r="163" spans="1:15">
      <c r="A163" s="464">
        <f t="shared" si="9"/>
        <v>1</v>
      </c>
      <c r="B163" s="228"/>
      <c r="C163" s="189"/>
      <c r="D163" s="188"/>
      <c r="E163" s="186"/>
      <c r="F163">
        <f t="shared" si="7"/>
        <v>0</v>
      </c>
      <c r="G163" t="str">
        <f>IF(IFERROR(IF(Str_TypeDonneesCpt1=Cpt_Index,Tab_Compteur_1[[#This Row],[Index]]-E162,Tab_Compteur_1[[#This Row],[Quantité]])/Tab_Compteur_1[[#This Row],[Delta Jour]],"")&lt;0,"",IFERROR(IF(Str_TypeDonneesCpt1=Cpt_Index,Tab_Compteur_1[[#This Row],[Index]]-E162,Tab_Compteur_1[[#This Row],[Quantité]])/Tab_Compteur_1[[#This Row],[Delta Jour]],""))</f>
        <v/>
      </c>
      <c r="H163" t="str">
        <f>IFERROR(Tab_Compteur_1[[#This Row],[Montant]]/Tab_Compteur_1[[#This Row],[Delta Jour]],"")</f>
        <v/>
      </c>
      <c r="I163" s="208" t="str">
        <f t="shared" si="8"/>
        <v/>
      </c>
      <c r="J163" s="185"/>
      <c r="K163" s="38"/>
      <c r="L163" s="38"/>
      <c r="M163" s="38"/>
      <c r="N163" s="38"/>
      <c r="O163"/>
    </row>
    <row r="164" spans="1:15">
      <c r="A164" s="464">
        <f t="shared" si="9"/>
        <v>1</v>
      </c>
      <c r="B164" s="228"/>
      <c r="C164" s="189"/>
      <c r="D164" s="188"/>
      <c r="E164" s="186"/>
      <c r="F164">
        <f t="shared" si="7"/>
        <v>0</v>
      </c>
      <c r="G164" t="str">
        <f>IF(IFERROR(IF(Str_TypeDonneesCpt1=Cpt_Index,Tab_Compteur_1[[#This Row],[Index]]-E163,Tab_Compteur_1[[#This Row],[Quantité]])/Tab_Compteur_1[[#This Row],[Delta Jour]],"")&lt;0,"",IFERROR(IF(Str_TypeDonneesCpt1=Cpt_Index,Tab_Compteur_1[[#This Row],[Index]]-E163,Tab_Compteur_1[[#This Row],[Quantité]])/Tab_Compteur_1[[#This Row],[Delta Jour]],""))</f>
        <v/>
      </c>
      <c r="H164" t="str">
        <f>IFERROR(Tab_Compteur_1[[#This Row],[Montant]]/Tab_Compteur_1[[#This Row],[Delta Jour]],"")</f>
        <v/>
      </c>
      <c r="I164" s="208" t="str">
        <f t="shared" si="8"/>
        <v/>
      </c>
      <c r="J164" s="185"/>
      <c r="K164" s="38"/>
      <c r="L164" s="38"/>
      <c r="M164" s="38"/>
      <c r="N164" s="38"/>
      <c r="O164"/>
    </row>
    <row r="165" spans="1:15">
      <c r="A165" s="464">
        <f t="shared" si="9"/>
        <v>1</v>
      </c>
      <c r="B165" s="228"/>
      <c r="C165" s="189"/>
      <c r="D165" s="188"/>
      <c r="E165" s="186"/>
      <c r="F165">
        <f t="shared" si="7"/>
        <v>0</v>
      </c>
      <c r="G165" t="str">
        <f>IF(IFERROR(IF(Str_TypeDonneesCpt1=Cpt_Index,Tab_Compteur_1[[#This Row],[Index]]-E164,Tab_Compteur_1[[#This Row],[Quantité]])/Tab_Compteur_1[[#This Row],[Delta Jour]],"")&lt;0,"",IFERROR(IF(Str_TypeDonneesCpt1=Cpt_Index,Tab_Compteur_1[[#This Row],[Index]]-E164,Tab_Compteur_1[[#This Row],[Quantité]])/Tab_Compteur_1[[#This Row],[Delta Jour]],""))</f>
        <v/>
      </c>
      <c r="H165" t="str">
        <f>IFERROR(Tab_Compteur_1[[#This Row],[Montant]]/Tab_Compteur_1[[#This Row],[Delta Jour]],"")</f>
        <v/>
      </c>
      <c r="I165" s="208" t="str">
        <f t="shared" si="8"/>
        <v/>
      </c>
      <c r="J165" s="185"/>
      <c r="K165" s="38"/>
      <c r="L165" s="38"/>
      <c r="M165" s="38"/>
      <c r="N165" s="38"/>
      <c r="O165"/>
    </row>
    <row r="166" spans="1:15">
      <c r="A166" s="464">
        <f t="shared" si="9"/>
        <v>1</v>
      </c>
      <c r="B166" s="228"/>
      <c r="C166" s="189"/>
      <c r="D166" s="188"/>
      <c r="E166" s="186"/>
      <c r="F166">
        <f t="shared" si="7"/>
        <v>0</v>
      </c>
      <c r="G166" t="str">
        <f>IF(IFERROR(IF(Str_TypeDonneesCpt1=Cpt_Index,Tab_Compteur_1[[#This Row],[Index]]-E165,Tab_Compteur_1[[#This Row],[Quantité]])/Tab_Compteur_1[[#This Row],[Delta Jour]],"")&lt;0,"",IFERROR(IF(Str_TypeDonneesCpt1=Cpt_Index,Tab_Compteur_1[[#This Row],[Index]]-E165,Tab_Compteur_1[[#This Row],[Quantité]])/Tab_Compteur_1[[#This Row],[Delta Jour]],""))</f>
        <v/>
      </c>
      <c r="H166" t="str">
        <f>IFERROR(Tab_Compteur_1[[#This Row],[Montant]]/Tab_Compteur_1[[#This Row],[Delta Jour]],"")</f>
        <v/>
      </c>
      <c r="I166" s="208" t="str">
        <f t="shared" si="8"/>
        <v/>
      </c>
      <c r="J166" s="185"/>
      <c r="K166" s="38"/>
      <c r="L166" s="38"/>
      <c r="M166" s="38"/>
      <c r="N166" s="38"/>
      <c r="O166"/>
    </row>
    <row r="167" spans="1:15">
      <c r="A167" s="464">
        <f t="shared" si="9"/>
        <v>1</v>
      </c>
      <c r="B167" s="228"/>
      <c r="C167" s="189"/>
      <c r="D167" s="188"/>
      <c r="E167" s="186"/>
      <c r="F167">
        <f t="shared" si="7"/>
        <v>0</v>
      </c>
      <c r="G167" t="str">
        <f>IF(IFERROR(IF(Str_TypeDonneesCpt1=Cpt_Index,Tab_Compteur_1[[#This Row],[Index]]-E166,Tab_Compteur_1[[#This Row],[Quantité]])/Tab_Compteur_1[[#This Row],[Delta Jour]],"")&lt;0,"",IFERROR(IF(Str_TypeDonneesCpt1=Cpt_Index,Tab_Compteur_1[[#This Row],[Index]]-E166,Tab_Compteur_1[[#This Row],[Quantité]])/Tab_Compteur_1[[#This Row],[Delta Jour]],""))</f>
        <v/>
      </c>
      <c r="H167" t="str">
        <f>IFERROR(Tab_Compteur_1[[#This Row],[Montant]]/Tab_Compteur_1[[#This Row],[Delta Jour]],"")</f>
        <v/>
      </c>
      <c r="I167" s="208" t="str">
        <f t="shared" si="8"/>
        <v/>
      </c>
      <c r="J167" s="185"/>
      <c r="K167" s="38"/>
      <c r="L167" s="38"/>
      <c r="M167" s="38"/>
      <c r="N167" s="38"/>
      <c r="O167"/>
    </row>
    <row r="168" spans="1:15">
      <c r="A168" s="464">
        <f t="shared" si="9"/>
        <v>1</v>
      </c>
      <c r="B168" s="228"/>
      <c r="C168" s="189"/>
      <c r="D168" s="188"/>
      <c r="E168" s="186"/>
      <c r="F168">
        <f t="shared" si="7"/>
        <v>0</v>
      </c>
      <c r="G168" t="str">
        <f>IF(IFERROR(IF(Str_TypeDonneesCpt1=Cpt_Index,Tab_Compteur_1[[#This Row],[Index]]-E167,Tab_Compteur_1[[#This Row],[Quantité]])/Tab_Compteur_1[[#This Row],[Delta Jour]],"")&lt;0,"",IFERROR(IF(Str_TypeDonneesCpt1=Cpt_Index,Tab_Compteur_1[[#This Row],[Index]]-E167,Tab_Compteur_1[[#This Row],[Quantité]])/Tab_Compteur_1[[#This Row],[Delta Jour]],""))</f>
        <v/>
      </c>
      <c r="H168" t="str">
        <f>IFERROR(Tab_Compteur_1[[#This Row],[Montant]]/Tab_Compteur_1[[#This Row],[Delta Jour]],"")</f>
        <v/>
      </c>
      <c r="I168" s="208" t="str">
        <f t="shared" si="8"/>
        <v/>
      </c>
      <c r="J168" s="185"/>
      <c r="K168" s="38"/>
      <c r="L168" s="38"/>
      <c r="M168" s="38"/>
      <c r="N168" s="38"/>
      <c r="O168"/>
    </row>
    <row r="169" spans="1:15">
      <c r="A169" s="464">
        <f t="shared" si="9"/>
        <v>1</v>
      </c>
      <c r="B169" s="228"/>
      <c r="C169" s="189"/>
      <c r="D169" s="188"/>
      <c r="E169" s="186"/>
      <c r="F169">
        <f t="shared" si="7"/>
        <v>0</v>
      </c>
      <c r="G169" t="str">
        <f>IF(IFERROR(IF(Str_TypeDonneesCpt1=Cpt_Index,Tab_Compteur_1[[#This Row],[Index]]-E168,Tab_Compteur_1[[#This Row],[Quantité]])/Tab_Compteur_1[[#This Row],[Delta Jour]],"")&lt;0,"",IFERROR(IF(Str_TypeDonneesCpt1=Cpt_Index,Tab_Compteur_1[[#This Row],[Index]]-E168,Tab_Compteur_1[[#This Row],[Quantité]])/Tab_Compteur_1[[#This Row],[Delta Jour]],""))</f>
        <v/>
      </c>
      <c r="H169" t="str">
        <f>IFERROR(Tab_Compteur_1[[#This Row],[Montant]]/Tab_Compteur_1[[#This Row],[Delta Jour]],"")</f>
        <v/>
      </c>
      <c r="I169" s="208" t="str">
        <f t="shared" si="8"/>
        <v/>
      </c>
      <c r="J169" s="185"/>
      <c r="K169" s="38"/>
      <c r="L169" s="38"/>
      <c r="M169" s="38"/>
      <c r="N169" s="38"/>
      <c r="O169"/>
    </row>
    <row r="170" spans="1:15">
      <c r="A170" s="464">
        <f t="shared" si="9"/>
        <v>1</v>
      </c>
      <c r="B170" s="228"/>
      <c r="C170" s="189"/>
      <c r="D170" s="188"/>
      <c r="E170" s="186"/>
      <c r="F170">
        <f t="shared" si="7"/>
        <v>0</v>
      </c>
      <c r="G170" t="str">
        <f>IF(IFERROR(IF(Str_TypeDonneesCpt1=Cpt_Index,Tab_Compteur_1[[#This Row],[Index]]-E169,Tab_Compteur_1[[#This Row],[Quantité]])/Tab_Compteur_1[[#This Row],[Delta Jour]],"")&lt;0,"",IFERROR(IF(Str_TypeDonneesCpt1=Cpt_Index,Tab_Compteur_1[[#This Row],[Index]]-E169,Tab_Compteur_1[[#This Row],[Quantité]])/Tab_Compteur_1[[#This Row],[Delta Jour]],""))</f>
        <v/>
      </c>
      <c r="H170" t="str">
        <f>IFERROR(Tab_Compteur_1[[#This Row],[Montant]]/Tab_Compteur_1[[#This Row],[Delta Jour]],"")</f>
        <v/>
      </c>
      <c r="I170" s="208" t="str">
        <f t="shared" si="8"/>
        <v/>
      </c>
      <c r="J170" s="185"/>
      <c r="K170" s="38"/>
      <c r="L170" s="38"/>
      <c r="M170" s="38"/>
      <c r="N170" s="38"/>
      <c r="O170"/>
    </row>
    <row r="171" spans="1:15">
      <c r="A171" s="464">
        <f t="shared" si="9"/>
        <v>1</v>
      </c>
      <c r="B171" s="228"/>
      <c r="C171" s="189"/>
      <c r="D171" s="188"/>
      <c r="E171" s="186"/>
      <c r="F171">
        <f t="shared" si="7"/>
        <v>0</v>
      </c>
      <c r="G171" t="str">
        <f>IF(IFERROR(IF(Str_TypeDonneesCpt1=Cpt_Index,Tab_Compteur_1[[#This Row],[Index]]-E170,Tab_Compteur_1[[#This Row],[Quantité]])/Tab_Compteur_1[[#This Row],[Delta Jour]],"")&lt;0,"",IFERROR(IF(Str_TypeDonneesCpt1=Cpt_Index,Tab_Compteur_1[[#This Row],[Index]]-E170,Tab_Compteur_1[[#This Row],[Quantité]])/Tab_Compteur_1[[#This Row],[Delta Jour]],""))</f>
        <v/>
      </c>
      <c r="H171" t="str">
        <f>IFERROR(Tab_Compteur_1[[#This Row],[Montant]]/Tab_Compteur_1[[#This Row],[Delta Jour]],"")</f>
        <v/>
      </c>
      <c r="I171" s="208" t="str">
        <f t="shared" si="8"/>
        <v/>
      </c>
      <c r="J171" s="185"/>
      <c r="K171" s="38"/>
      <c r="L171" s="38"/>
      <c r="M171" s="38"/>
      <c r="N171" s="38"/>
      <c r="O171"/>
    </row>
    <row r="172" spans="1:15">
      <c r="A172" s="464">
        <f t="shared" si="9"/>
        <v>1</v>
      </c>
      <c r="B172" s="228"/>
      <c r="C172" s="189"/>
      <c r="D172" s="188"/>
      <c r="E172" s="186"/>
      <c r="F172">
        <f t="shared" si="7"/>
        <v>0</v>
      </c>
      <c r="G172" t="str">
        <f>IF(IFERROR(IF(Str_TypeDonneesCpt1=Cpt_Index,Tab_Compteur_1[[#This Row],[Index]]-E171,Tab_Compteur_1[[#This Row],[Quantité]])/Tab_Compteur_1[[#This Row],[Delta Jour]],"")&lt;0,"",IFERROR(IF(Str_TypeDonneesCpt1=Cpt_Index,Tab_Compteur_1[[#This Row],[Index]]-E171,Tab_Compteur_1[[#This Row],[Quantité]])/Tab_Compteur_1[[#This Row],[Delta Jour]],""))</f>
        <v/>
      </c>
      <c r="H172" t="str">
        <f>IFERROR(Tab_Compteur_1[[#This Row],[Montant]]/Tab_Compteur_1[[#This Row],[Delta Jour]],"")</f>
        <v/>
      </c>
      <c r="I172" s="208" t="str">
        <f t="shared" si="8"/>
        <v/>
      </c>
      <c r="J172" s="185"/>
      <c r="K172" s="38"/>
      <c r="L172" s="38"/>
      <c r="M172" s="38"/>
      <c r="N172" s="38"/>
      <c r="O172"/>
    </row>
    <row r="173" spans="1:15">
      <c r="A173" s="464">
        <f t="shared" si="9"/>
        <v>1</v>
      </c>
      <c r="B173" s="228"/>
      <c r="C173" s="189"/>
      <c r="D173" s="188"/>
      <c r="E173" s="186"/>
      <c r="F173">
        <f t="shared" si="7"/>
        <v>0</v>
      </c>
      <c r="G173" t="str">
        <f>IF(IFERROR(IF(Str_TypeDonneesCpt1=Cpt_Index,Tab_Compteur_1[[#This Row],[Index]]-E172,Tab_Compteur_1[[#This Row],[Quantité]])/Tab_Compteur_1[[#This Row],[Delta Jour]],"")&lt;0,"",IFERROR(IF(Str_TypeDonneesCpt1=Cpt_Index,Tab_Compteur_1[[#This Row],[Index]]-E172,Tab_Compteur_1[[#This Row],[Quantité]])/Tab_Compteur_1[[#This Row],[Delta Jour]],""))</f>
        <v/>
      </c>
      <c r="H173" t="str">
        <f>IFERROR(Tab_Compteur_1[[#This Row],[Montant]]/Tab_Compteur_1[[#This Row],[Delta Jour]],"")</f>
        <v/>
      </c>
      <c r="I173" s="208" t="str">
        <f t="shared" si="8"/>
        <v/>
      </c>
      <c r="J173" s="185"/>
      <c r="K173" s="38"/>
      <c r="L173" s="38"/>
      <c r="M173" s="38"/>
      <c r="N173" s="38"/>
      <c r="O173"/>
    </row>
    <row r="174" spans="1:15">
      <c r="A174" s="464">
        <f t="shared" si="9"/>
        <v>1</v>
      </c>
      <c r="B174" s="228"/>
      <c r="C174" s="189"/>
      <c r="D174" s="188"/>
      <c r="E174" s="186"/>
      <c r="F174">
        <f t="shared" si="7"/>
        <v>0</v>
      </c>
      <c r="G174" t="str">
        <f>IF(IFERROR(IF(Str_TypeDonneesCpt1=Cpt_Index,Tab_Compteur_1[[#This Row],[Index]]-E173,Tab_Compteur_1[[#This Row],[Quantité]])/Tab_Compteur_1[[#This Row],[Delta Jour]],"")&lt;0,"",IFERROR(IF(Str_TypeDonneesCpt1=Cpt_Index,Tab_Compteur_1[[#This Row],[Index]]-E173,Tab_Compteur_1[[#This Row],[Quantité]])/Tab_Compteur_1[[#This Row],[Delta Jour]],""))</f>
        <v/>
      </c>
      <c r="H174" t="str">
        <f>IFERROR(Tab_Compteur_1[[#This Row],[Montant]]/Tab_Compteur_1[[#This Row],[Delta Jour]],"")</f>
        <v/>
      </c>
      <c r="I174" s="208" t="str">
        <f t="shared" si="8"/>
        <v/>
      </c>
      <c r="J174" s="185"/>
      <c r="K174" s="38"/>
      <c r="L174" s="38"/>
      <c r="M174" s="38"/>
      <c r="N174" s="38"/>
      <c r="O174"/>
    </row>
    <row r="175" spans="1:15">
      <c r="A175" s="464">
        <f t="shared" si="9"/>
        <v>1</v>
      </c>
      <c r="B175" s="228"/>
      <c r="C175" s="189"/>
      <c r="D175" s="188"/>
      <c r="E175" s="186"/>
      <c r="F175">
        <f t="shared" si="7"/>
        <v>0</v>
      </c>
      <c r="G175" t="str">
        <f>IF(IFERROR(IF(Str_TypeDonneesCpt1=Cpt_Index,Tab_Compteur_1[[#This Row],[Index]]-E174,Tab_Compteur_1[[#This Row],[Quantité]])/Tab_Compteur_1[[#This Row],[Delta Jour]],"")&lt;0,"",IFERROR(IF(Str_TypeDonneesCpt1=Cpt_Index,Tab_Compteur_1[[#This Row],[Index]]-E174,Tab_Compteur_1[[#This Row],[Quantité]])/Tab_Compteur_1[[#This Row],[Delta Jour]],""))</f>
        <v/>
      </c>
      <c r="H175" t="str">
        <f>IFERROR(Tab_Compteur_1[[#This Row],[Montant]]/Tab_Compteur_1[[#This Row],[Delta Jour]],"")</f>
        <v/>
      </c>
      <c r="I175" s="208" t="str">
        <f t="shared" si="8"/>
        <v/>
      </c>
      <c r="J175" s="185"/>
      <c r="K175" s="38"/>
      <c r="L175" s="38"/>
      <c r="M175" s="38"/>
      <c r="N175" s="38"/>
      <c r="O175"/>
    </row>
    <row r="176" spans="1:15">
      <c r="A176" s="464">
        <f t="shared" si="9"/>
        <v>1</v>
      </c>
      <c r="B176" s="228"/>
      <c r="C176" s="189"/>
      <c r="D176" s="188"/>
      <c r="E176" s="186"/>
      <c r="F176">
        <f t="shared" si="7"/>
        <v>0</v>
      </c>
      <c r="G176" t="str">
        <f>IF(IFERROR(IF(Str_TypeDonneesCpt1=Cpt_Index,Tab_Compteur_1[[#This Row],[Index]]-E175,Tab_Compteur_1[[#This Row],[Quantité]])/Tab_Compteur_1[[#This Row],[Delta Jour]],"")&lt;0,"",IFERROR(IF(Str_TypeDonneesCpt1=Cpt_Index,Tab_Compteur_1[[#This Row],[Index]]-E175,Tab_Compteur_1[[#This Row],[Quantité]])/Tab_Compteur_1[[#This Row],[Delta Jour]],""))</f>
        <v/>
      </c>
      <c r="H176" t="str">
        <f>IFERROR(Tab_Compteur_1[[#This Row],[Montant]]/Tab_Compteur_1[[#This Row],[Delta Jour]],"")</f>
        <v/>
      </c>
      <c r="I176" s="208" t="str">
        <f t="shared" si="8"/>
        <v/>
      </c>
      <c r="J176" s="185"/>
      <c r="K176" s="38"/>
      <c r="L176" s="38"/>
      <c r="M176" s="38"/>
      <c r="N176" s="38"/>
      <c r="O176"/>
    </row>
    <row r="177" spans="1:15">
      <c r="A177" s="464">
        <f t="shared" si="9"/>
        <v>1</v>
      </c>
      <c r="B177" s="228"/>
      <c r="C177" s="189"/>
      <c r="D177" s="188"/>
      <c r="E177" s="186"/>
      <c r="F177">
        <f t="shared" si="7"/>
        <v>0</v>
      </c>
      <c r="G177" t="str">
        <f>IF(IFERROR(IF(Str_TypeDonneesCpt1=Cpt_Index,Tab_Compteur_1[[#This Row],[Index]]-E176,Tab_Compteur_1[[#This Row],[Quantité]])/Tab_Compteur_1[[#This Row],[Delta Jour]],"")&lt;0,"",IFERROR(IF(Str_TypeDonneesCpt1=Cpt_Index,Tab_Compteur_1[[#This Row],[Index]]-E176,Tab_Compteur_1[[#This Row],[Quantité]])/Tab_Compteur_1[[#This Row],[Delta Jour]],""))</f>
        <v/>
      </c>
      <c r="H177" t="str">
        <f>IFERROR(Tab_Compteur_1[[#This Row],[Montant]]/Tab_Compteur_1[[#This Row],[Delta Jour]],"")</f>
        <v/>
      </c>
      <c r="I177" s="208" t="str">
        <f t="shared" si="8"/>
        <v/>
      </c>
      <c r="J177" s="185"/>
      <c r="K177" s="38"/>
      <c r="L177" s="38"/>
      <c r="M177" s="38"/>
      <c r="N177" s="38"/>
      <c r="O177"/>
    </row>
    <row r="178" spans="1:15">
      <c r="A178" s="464">
        <f t="shared" si="9"/>
        <v>1</v>
      </c>
      <c r="B178" s="228"/>
      <c r="C178" s="189"/>
      <c r="D178" s="188"/>
      <c r="E178" s="186"/>
      <c r="F178">
        <f t="shared" si="7"/>
        <v>0</v>
      </c>
      <c r="G178" t="str">
        <f>IF(IFERROR(IF(Str_TypeDonneesCpt1=Cpt_Index,Tab_Compteur_1[[#This Row],[Index]]-E177,Tab_Compteur_1[[#This Row],[Quantité]])/Tab_Compteur_1[[#This Row],[Delta Jour]],"")&lt;0,"",IFERROR(IF(Str_TypeDonneesCpt1=Cpt_Index,Tab_Compteur_1[[#This Row],[Index]]-E177,Tab_Compteur_1[[#This Row],[Quantité]])/Tab_Compteur_1[[#This Row],[Delta Jour]],""))</f>
        <v/>
      </c>
      <c r="H178" t="str">
        <f>IFERROR(Tab_Compteur_1[[#This Row],[Montant]]/Tab_Compteur_1[[#This Row],[Delta Jour]],"")</f>
        <v/>
      </c>
      <c r="I178" s="208" t="str">
        <f t="shared" si="8"/>
        <v/>
      </c>
      <c r="J178" s="185"/>
      <c r="K178" s="38"/>
      <c r="L178" s="38"/>
      <c r="M178" s="38"/>
      <c r="N178" s="38"/>
      <c r="O178"/>
    </row>
    <row r="179" spans="1:15">
      <c r="A179" s="464">
        <f t="shared" si="9"/>
        <v>1</v>
      </c>
      <c r="B179" s="228"/>
      <c r="C179" s="189"/>
      <c r="D179" s="188"/>
      <c r="E179" s="186"/>
      <c r="F179">
        <f t="shared" si="7"/>
        <v>0</v>
      </c>
      <c r="G179" t="str">
        <f>IF(IFERROR(IF(Str_TypeDonneesCpt1=Cpt_Index,Tab_Compteur_1[[#This Row],[Index]]-E178,Tab_Compteur_1[[#This Row],[Quantité]])/Tab_Compteur_1[[#This Row],[Delta Jour]],"")&lt;0,"",IFERROR(IF(Str_TypeDonneesCpt1=Cpt_Index,Tab_Compteur_1[[#This Row],[Index]]-E178,Tab_Compteur_1[[#This Row],[Quantité]])/Tab_Compteur_1[[#This Row],[Delta Jour]],""))</f>
        <v/>
      </c>
      <c r="H179" t="str">
        <f>IFERROR(Tab_Compteur_1[[#This Row],[Montant]]/Tab_Compteur_1[[#This Row],[Delta Jour]],"")</f>
        <v/>
      </c>
      <c r="I179" s="208" t="str">
        <f t="shared" si="8"/>
        <v/>
      </c>
      <c r="J179" s="185"/>
      <c r="K179" s="38"/>
      <c r="L179" s="38"/>
      <c r="M179" s="38"/>
      <c r="N179" s="38"/>
      <c r="O179"/>
    </row>
    <row r="180" spans="1:15">
      <c r="A180" s="464">
        <f t="shared" si="9"/>
        <v>1</v>
      </c>
      <c r="B180" s="228"/>
      <c r="C180" s="189"/>
      <c r="D180" s="188"/>
      <c r="E180" s="186"/>
      <c r="F180">
        <f t="shared" si="7"/>
        <v>0</v>
      </c>
      <c r="G180" t="str">
        <f>IF(IFERROR(IF(Str_TypeDonneesCpt1=Cpt_Index,Tab_Compteur_1[[#This Row],[Index]]-E179,Tab_Compteur_1[[#This Row],[Quantité]])/Tab_Compteur_1[[#This Row],[Delta Jour]],"")&lt;0,"",IFERROR(IF(Str_TypeDonneesCpt1=Cpt_Index,Tab_Compteur_1[[#This Row],[Index]]-E179,Tab_Compteur_1[[#This Row],[Quantité]])/Tab_Compteur_1[[#This Row],[Delta Jour]],""))</f>
        <v/>
      </c>
      <c r="H180" t="str">
        <f>IFERROR(Tab_Compteur_1[[#This Row],[Montant]]/Tab_Compteur_1[[#This Row],[Delta Jour]],"")</f>
        <v/>
      </c>
      <c r="I180" s="208" t="str">
        <f t="shared" si="8"/>
        <v/>
      </c>
      <c r="J180" s="185"/>
      <c r="K180" s="38"/>
      <c r="L180" s="38"/>
      <c r="M180" s="38"/>
      <c r="N180" s="38"/>
      <c r="O180"/>
    </row>
    <row r="181" spans="1:15">
      <c r="A181" s="464">
        <f t="shared" si="9"/>
        <v>1</v>
      </c>
      <c r="B181" s="228"/>
      <c r="C181" s="189"/>
      <c r="D181" s="188"/>
      <c r="E181" s="186"/>
      <c r="F181">
        <f t="shared" si="7"/>
        <v>0</v>
      </c>
      <c r="G181" t="str">
        <f>IF(IFERROR(IF(Str_TypeDonneesCpt1=Cpt_Index,Tab_Compteur_1[[#This Row],[Index]]-E180,Tab_Compteur_1[[#This Row],[Quantité]])/Tab_Compteur_1[[#This Row],[Delta Jour]],"")&lt;0,"",IFERROR(IF(Str_TypeDonneesCpt1=Cpt_Index,Tab_Compteur_1[[#This Row],[Index]]-E180,Tab_Compteur_1[[#This Row],[Quantité]])/Tab_Compteur_1[[#This Row],[Delta Jour]],""))</f>
        <v/>
      </c>
      <c r="H181" t="str">
        <f>IFERROR(Tab_Compteur_1[[#This Row],[Montant]]/Tab_Compteur_1[[#This Row],[Delta Jour]],"")</f>
        <v/>
      </c>
      <c r="I181" s="208" t="str">
        <f t="shared" si="8"/>
        <v/>
      </c>
      <c r="J181" s="185"/>
      <c r="K181" s="38"/>
      <c r="L181" s="38"/>
      <c r="M181" s="38"/>
      <c r="N181" s="38"/>
      <c r="O181"/>
    </row>
    <row r="182" spans="1:15">
      <c r="A182" s="464">
        <f t="shared" si="9"/>
        <v>1</v>
      </c>
      <c r="B182" s="228"/>
      <c r="C182" s="189"/>
      <c r="D182" s="188"/>
      <c r="E182" s="186"/>
      <c r="F182">
        <f t="shared" si="7"/>
        <v>0</v>
      </c>
      <c r="G182" t="str">
        <f>IF(IFERROR(IF(Str_TypeDonneesCpt1=Cpt_Index,Tab_Compteur_1[[#This Row],[Index]]-E181,Tab_Compteur_1[[#This Row],[Quantité]])/Tab_Compteur_1[[#This Row],[Delta Jour]],"")&lt;0,"",IFERROR(IF(Str_TypeDonneesCpt1=Cpt_Index,Tab_Compteur_1[[#This Row],[Index]]-E181,Tab_Compteur_1[[#This Row],[Quantité]])/Tab_Compteur_1[[#This Row],[Delta Jour]],""))</f>
        <v/>
      </c>
      <c r="H182" t="str">
        <f>IFERROR(Tab_Compteur_1[[#This Row],[Montant]]/Tab_Compteur_1[[#This Row],[Delta Jour]],"")</f>
        <v/>
      </c>
      <c r="I182" s="208" t="str">
        <f t="shared" si="8"/>
        <v/>
      </c>
      <c r="J182" s="185"/>
      <c r="K182" s="38"/>
      <c r="L182" s="38"/>
      <c r="M182" s="38"/>
      <c r="N182" s="38"/>
      <c r="O182"/>
    </row>
    <row r="183" spans="1:15">
      <c r="A183" s="464">
        <f t="shared" si="9"/>
        <v>1</v>
      </c>
      <c r="B183" s="228"/>
      <c r="C183" s="189"/>
      <c r="D183" s="188"/>
      <c r="E183" s="186"/>
      <c r="F183">
        <f t="shared" si="7"/>
        <v>0</v>
      </c>
      <c r="G183" t="str">
        <f>IF(IFERROR(IF(Str_TypeDonneesCpt1=Cpt_Index,Tab_Compteur_1[[#This Row],[Index]]-E182,Tab_Compteur_1[[#This Row],[Quantité]])/Tab_Compteur_1[[#This Row],[Delta Jour]],"")&lt;0,"",IFERROR(IF(Str_TypeDonneesCpt1=Cpt_Index,Tab_Compteur_1[[#This Row],[Index]]-E182,Tab_Compteur_1[[#This Row],[Quantité]])/Tab_Compteur_1[[#This Row],[Delta Jour]],""))</f>
        <v/>
      </c>
      <c r="H183" t="str">
        <f>IFERROR(Tab_Compteur_1[[#This Row],[Montant]]/Tab_Compteur_1[[#This Row],[Delta Jour]],"")</f>
        <v/>
      </c>
      <c r="I183" s="208" t="str">
        <f t="shared" si="8"/>
        <v/>
      </c>
      <c r="J183" s="185"/>
      <c r="K183" s="38"/>
      <c r="L183" s="38"/>
      <c r="M183" s="38"/>
      <c r="N183" s="38"/>
      <c r="O183"/>
    </row>
    <row r="184" spans="1:15">
      <c r="A184" s="464">
        <f t="shared" si="9"/>
        <v>1</v>
      </c>
      <c r="B184" s="228"/>
      <c r="C184" s="189"/>
      <c r="D184" s="188"/>
      <c r="E184" s="186"/>
      <c r="F184">
        <f t="shared" si="7"/>
        <v>0</v>
      </c>
      <c r="G184" t="str">
        <f>IF(IFERROR(IF(Str_TypeDonneesCpt1=Cpt_Index,Tab_Compteur_1[[#This Row],[Index]]-E183,Tab_Compteur_1[[#This Row],[Quantité]])/Tab_Compteur_1[[#This Row],[Delta Jour]],"")&lt;0,"",IFERROR(IF(Str_TypeDonneesCpt1=Cpt_Index,Tab_Compteur_1[[#This Row],[Index]]-E183,Tab_Compteur_1[[#This Row],[Quantité]])/Tab_Compteur_1[[#This Row],[Delta Jour]],""))</f>
        <v/>
      </c>
      <c r="H184" t="str">
        <f>IFERROR(Tab_Compteur_1[[#This Row],[Montant]]/Tab_Compteur_1[[#This Row],[Delta Jour]],"")</f>
        <v/>
      </c>
      <c r="I184" s="208" t="str">
        <f t="shared" si="8"/>
        <v/>
      </c>
      <c r="J184" s="185"/>
      <c r="K184" s="38"/>
      <c r="L184" s="38"/>
      <c r="M184" s="38"/>
      <c r="N184" s="38"/>
      <c r="O184"/>
    </row>
    <row r="185" spans="1:15">
      <c r="A185" s="464">
        <f t="shared" si="9"/>
        <v>1</v>
      </c>
      <c r="B185" s="228"/>
      <c r="C185" s="189"/>
      <c r="D185" s="188"/>
      <c r="E185" s="186"/>
      <c r="F185">
        <f t="shared" si="7"/>
        <v>0</v>
      </c>
      <c r="G185" t="str">
        <f>IF(IFERROR(IF(Str_TypeDonneesCpt1=Cpt_Index,Tab_Compteur_1[[#This Row],[Index]]-E184,Tab_Compteur_1[[#This Row],[Quantité]])/Tab_Compteur_1[[#This Row],[Delta Jour]],"")&lt;0,"",IFERROR(IF(Str_TypeDonneesCpt1=Cpt_Index,Tab_Compteur_1[[#This Row],[Index]]-E184,Tab_Compteur_1[[#This Row],[Quantité]])/Tab_Compteur_1[[#This Row],[Delta Jour]],""))</f>
        <v/>
      </c>
      <c r="H185" t="str">
        <f>IFERROR(Tab_Compteur_1[[#This Row],[Montant]]/Tab_Compteur_1[[#This Row],[Delta Jour]],"")</f>
        <v/>
      </c>
      <c r="I185" s="208" t="str">
        <f t="shared" si="8"/>
        <v/>
      </c>
      <c r="J185" s="185"/>
      <c r="K185" s="38"/>
      <c r="L185" s="38"/>
      <c r="M185" s="38"/>
      <c r="N185" s="38"/>
      <c r="O185"/>
    </row>
    <row r="186" spans="1:15">
      <c r="A186" s="464">
        <f t="shared" si="9"/>
        <v>1</v>
      </c>
      <c r="B186" s="228"/>
      <c r="C186" s="189"/>
      <c r="D186" s="188"/>
      <c r="E186" s="186"/>
      <c r="F186">
        <f t="shared" si="7"/>
        <v>0</v>
      </c>
      <c r="G186" t="str">
        <f>IF(IFERROR(IF(Str_TypeDonneesCpt1=Cpt_Index,Tab_Compteur_1[[#This Row],[Index]]-E185,Tab_Compteur_1[[#This Row],[Quantité]])/Tab_Compteur_1[[#This Row],[Delta Jour]],"")&lt;0,"",IFERROR(IF(Str_TypeDonneesCpt1=Cpt_Index,Tab_Compteur_1[[#This Row],[Index]]-E185,Tab_Compteur_1[[#This Row],[Quantité]])/Tab_Compteur_1[[#This Row],[Delta Jour]],""))</f>
        <v/>
      </c>
      <c r="H186" t="str">
        <f>IFERROR(Tab_Compteur_1[[#This Row],[Montant]]/Tab_Compteur_1[[#This Row],[Delta Jour]],"")</f>
        <v/>
      </c>
      <c r="I186" s="208" t="str">
        <f t="shared" si="8"/>
        <v/>
      </c>
      <c r="J186" s="185"/>
      <c r="K186" s="38"/>
      <c r="L186" s="38"/>
      <c r="M186" s="38"/>
      <c r="N186" s="38"/>
      <c r="O186"/>
    </row>
    <row r="187" spans="1:15">
      <c r="A187" s="464">
        <f t="shared" si="9"/>
        <v>1</v>
      </c>
      <c r="B187" s="228"/>
      <c r="C187" s="189"/>
      <c r="D187" s="188"/>
      <c r="E187" s="186"/>
      <c r="F187">
        <f t="shared" si="7"/>
        <v>0</v>
      </c>
      <c r="G187" t="str">
        <f>IF(IFERROR(IF(Str_TypeDonneesCpt1=Cpt_Index,Tab_Compteur_1[[#This Row],[Index]]-E186,Tab_Compteur_1[[#This Row],[Quantité]])/Tab_Compteur_1[[#This Row],[Delta Jour]],"")&lt;0,"",IFERROR(IF(Str_TypeDonneesCpt1=Cpt_Index,Tab_Compteur_1[[#This Row],[Index]]-E186,Tab_Compteur_1[[#This Row],[Quantité]])/Tab_Compteur_1[[#This Row],[Delta Jour]],""))</f>
        <v/>
      </c>
      <c r="H187" t="str">
        <f>IFERROR(Tab_Compteur_1[[#This Row],[Montant]]/Tab_Compteur_1[[#This Row],[Delta Jour]],"")</f>
        <v/>
      </c>
      <c r="I187" s="208" t="str">
        <f t="shared" si="8"/>
        <v/>
      </c>
      <c r="J187" s="185"/>
      <c r="K187" s="38"/>
      <c r="L187" s="38"/>
      <c r="M187" s="38"/>
      <c r="N187" s="38"/>
      <c r="O187"/>
    </row>
    <row r="188" spans="1:15">
      <c r="A188" s="464">
        <f t="shared" si="9"/>
        <v>1</v>
      </c>
      <c r="B188" s="228"/>
      <c r="C188" s="189"/>
      <c r="D188" s="188"/>
      <c r="E188" s="186"/>
      <c r="F188">
        <f t="shared" si="7"/>
        <v>0</v>
      </c>
      <c r="G188" t="str">
        <f>IF(IFERROR(IF(Str_TypeDonneesCpt1=Cpt_Index,Tab_Compteur_1[[#This Row],[Index]]-E187,Tab_Compteur_1[[#This Row],[Quantité]])/Tab_Compteur_1[[#This Row],[Delta Jour]],"")&lt;0,"",IFERROR(IF(Str_TypeDonneesCpt1=Cpt_Index,Tab_Compteur_1[[#This Row],[Index]]-E187,Tab_Compteur_1[[#This Row],[Quantité]])/Tab_Compteur_1[[#This Row],[Delta Jour]],""))</f>
        <v/>
      </c>
      <c r="H188" t="str">
        <f>IFERROR(Tab_Compteur_1[[#This Row],[Montant]]/Tab_Compteur_1[[#This Row],[Delta Jour]],"")</f>
        <v/>
      </c>
      <c r="I188" s="208" t="str">
        <f t="shared" si="8"/>
        <v/>
      </c>
      <c r="J188" s="185"/>
      <c r="K188" s="38"/>
      <c r="L188" s="38"/>
      <c r="M188" s="38"/>
      <c r="N188" s="38"/>
      <c r="O188"/>
    </row>
    <row r="189" spans="1:15">
      <c r="A189" s="464">
        <f t="shared" si="9"/>
        <v>1</v>
      </c>
      <c r="B189" s="228"/>
      <c r="C189" s="189"/>
      <c r="D189" s="188"/>
      <c r="E189" s="186"/>
      <c r="F189">
        <f t="shared" si="7"/>
        <v>0</v>
      </c>
      <c r="G189" t="str">
        <f>IF(IFERROR(IF(Str_TypeDonneesCpt1=Cpt_Index,Tab_Compteur_1[[#This Row],[Index]]-E188,Tab_Compteur_1[[#This Row],[Quantité]])/Tab_Compteur_1[[#This Row],[Delta Jour]],"")&lt;0,"",IFERROR(IF(Str_TypeDonneesCpt1=Cpt_Index,Tab_Compteur_1[[#This Row],[Index]]-E188,Tab_Compteur_1[[#This Row],[Quantité]])/Tab_Compteur_1[[#This Row],[Delta Jour]],""))</f>
        <v/>
      </c>
      <c r="H189" t="str">
        <f>IFERROR(Tab_Compteur_1[[#This Row],[Montant]]/Tab_Compteur_1[[#This Row],[Delta Jour]],"")</f>
        <v/>
      </c>
      <c r="I189" s="208" t="str">
        <f t="shared" si="8"/>
        <v/>
      </c>
      <c r="J189" s="185"/>
      <c r="K189" s="38"/>
      <c r="L189" s="38"/>
      <c r="M189" s="38"/>
      <c r="N189" s="38"/>
      <c r="O189"/>
    </row>
    <row r="190" spans="1:15">
      <c r="A190" s="464">
        <f t="shared" si="9"/>
        <v>1</v>
      </c>
      <c r="B190" s="228"/>
      <c r="C190" s="189"/>
      <c r="D190" s="188"/>
      <c r="E190" s="186"/>
      <c r="F190">
        <f t="shared" si="7"/>
        <v>0</v>
      </c>
      <c r="G190" t="str">
        <f>IF(IFERROR(IF(Str_TypeDonneesCpt1=Cpt_Index,Tab_Compteur_1[[#This Row],[Index]]-E189,Tab_Compteur_1[[#This Row],[Quantité]])/Tab_Compteur_1[[#This Row],[Delta Jour]],"")&lt;0,"",IFERROR(IF(Str_TypeDonneesCpt1=Cpt_Index,Tab_Compteur_1[[#This Row],[Index]]-E189,Tab_Compteur_1[[#This Row],[Quantité]])/Tab_Compteur_1[[#This Row],[Delta Jour]],""))</f>
        <v/>
      </c>
      <c r="H190" t="str">
        <f>IFERROR(Tab_Compteur_1[[#This Row],[Montant]]/Tab_Compteur_1[[#This Row],[Delta Jour]],"")</f>
        <v/>
      </c>
      <c r="I190" s="208" t="str">
        <f t="shared" si="8"/>
        <v/>
      </c>
      <c r="J190" s="185"/>
      <c r="K190" s="38"/>
      <c r="L190" s="38"/>
      <c r="M190" s="38"/>
      <c r="N190" s="38"/>
      <c r="O190"/>
    </row>
    <row r="191" spans="1:15">
      <c r="A191" s="464">
        <f t="shared" si="9"/>
        <v>1</v>
      </c>
      <c r="B191" s="228"/>
      <c r="C191" s="189"/>
      <c r="D191" s="188"/>
      <c r="E191" s="186"/>
      <c r="F191">
        <f t="shared" si="7"/>
        <v>0</v>
      </c>
      <c r="G191" t="str">
        <f>IF(IFERROR(IF(Str_TypeDonneesCpt1=Cpt_Index,Tab_Compteur_1[[#This Row],[Index]]-E190,Tab_Compteur_1[[#This Row],[Quantité]])/Tab_Compteur_1[[#This Row],[Delta Jour]],"")&lt;0,"",IFERROR(IF(Str_TypeDonneesCpt1=Cpt_Index,Tab_Compteur_1[[#This Row],[Index]]-E190,Tab_Compteur_1[[#This Row],[Quantité]])/Tab_Compteur_1[[#This Row],[Delta Jour]],""))</f>
        <v/>
      </c>
      <c r="H191" t="str">
        <f>IFERROR(Tab_Compteur_1[[#This Row],[Montant]]/Tab_Compteur_1[[#This Row],[Delta Jour]],"")</f>
        <v/>
      </c>
      <c r="I191" s="208" t="str">
        <f t="shared" si="8"/>
        <v/>
      </c>
      <c r="J191" s="185"/>
      <c r="K191" s="38"/>
      <c r="L191" s="38"/>
      <c r="M191" s="38"/>
      <c r="N191" s="38"/>
      <c r="O191"/>
    </row>
    <row r="192" spans="1:15">
      <c r="A192" s="464">
        <f t="shared" si="9"/>
        <v>1</v>
      </c>
      <c r="B192" s="228"/>
      <c r="C192" s="189"/>
      <c r="D192" s="188"/>
      <c r="E192" s="186"/>
      <c r="F192">
        <f t="shared" si="7"/>
        <v>0</v>
      </c>
      <c r="G192" t="str">
        <f>IF(IFERROR(IF(Str_TypeDonneesCpt1=Cpt_Index,Tab_Compteur_1[[#This Row],[Index]]-E191,Tab_Compteur_1[[#This Row],[Quantité]])/Tab_Compteur_1[[#This Row],[Delta Jour]],"")&lt;0,"",IFERROR(IF(Str_TypeDonneesCpt1=Cpt_Index,Tab_Compteur_1[[#This Row],[Index]]-E191,Tab_Compteur_1[[#This Row],[Quantité]])/Tab_Compteur_1[[#This Row],[Delta Jour]],""))</f>
        <v/>
      </c>
      <c r="H192" t="str">
        <f>IFERROR(Tab_Compteur_1[[#This Row],[Montant]]/Tab_Compteur_1[[#This Row],[Delta Jour]],"")</f>
        <v/>
      </c>
      <c r="I192" s="208" t="str">
        <f t="shared" si="8"/>
        <v/>
      </c>
      <c r="J192" s="185"/>
      <c r="K192" s="38"/>
      <c r="L192" s="38"/>
      <c r="M192" s="38"/>
      <c r="N192" s="38"/>
      <c r="O192"/>
    </row>
    <row r="193" spans="1:15">
      <c r="A193" s="464">
        <f t="shared" si="9"/>
        <v>1</v>
      </c>
      <c r="B193" s="228"/>
      <c r="C193" s="189"/>
      <c r="D193" s="188"/>
      <c r="E193" s="186"/>
      <c r="F193">
        <f t="shared" si="7"/>
        <v>0</v>
      </c>
      <c r="G193" t="str">
        <f>IF(IFERROR(IF(Str_TypeDonneesCpt1=Cpt_Index,Tab_Compteur_1[[#This Row],[Index]]-E192,Tab_Compteur_1[[#This Row],[Quantité]])/Tab_Compteur_1[[#This Row],[Delta Jour]],"")&lt;0,"",IFERROR(IF(Str_TypeDonneesCpt1=Cpt_Index,Tab_Compteur_1[[#This Row],[Index]]-E192,Tab_Compteur_1[[#This Row],[Quantité]])/Tab_Compteur_1[[#This Row],[Delta Jour]],""))</f>
        <v/>
      </c>
      <c r="H193" t="str">
        <f>IFERROR(Tab_Compteur_1[[#This Row],[Montant]]/Tab_Compteur_1[[#This Row],[Delta Jour]],"")</f>
        <v/>
      </c>
      <c r="I193" s="208" t="str">
        <f t="shared" si="8"/>
        <v/>
      </c>
      <c r="J193" s="185"/>
      <c r="K193" s="38"/>
      <c r="L193" s="38"/>
      <c r="M193" s="38"/>
      <c r="N193" s="38"/>
      <c r="O193"/>
    </row>
    <row r="194" spans="1:15">
      <c r="A194" s="464">
        <f t="shared" si="9"/>
        <v>1</v>
      </c>
      <c r="B194" s="228"/>
      <c r="C194" s="189"/>
      <c r="D194" s="188"/>
      <c r="E194" s="186"/>
      <c r="F194">
        <f t="shared" si="7"/>
        <v>0</v>
      </c>
      <c r="G194" t="str">
        <f>IF(IFERROR(IF(Str_TypeDonneesCpt1=Cpt_Index,Tab_Compteur_1[[#This Row],[Index]]-E193,Tab_Compteur_1[[#This Row],[Quantité]])/Tab_Compteur_1[[#This Row],[Delta Jour]],"")&lt;0,"",IFERROR(IF(Str_TypeDonneesCpt1=Cpt_Index,Tab_Compteur_1[[#This Row],[Index]]-E193,Tab_Compteur_1[[#This Row],[Quantité]])/Tab_Compteur_1[[#This Row],[Delta Jour]],""))</f>
        <v/>
      </c>
      <c r="H194" t="str">
        <f>IFERROR(Tab_Compteur_1[[#This Row],[Montant]]/Tab_Compteur_1[[#This Row],[Delta Jour]],"")</f>
        <v/>
      </c>
      <c r="I194" s="208" t="str">
        <f t="shared" si="8"/>
        <v/>
      </c>
      <c r="J194" s="185"/>
      <c r="K194" s="38"/>
      <c r="L194" s="38"/>
      <c r="M194" s="38"/>
      <c r="N194" s="38"/>
      <c r="O194"/>
    </row>
    <row r="195" spans="1:15">
      <c r="A195" s="464">
        <f t="shared" si="9"/>
        <v>1</v>
      </c>
      <c r="B195" s="228"/>
      <c r="C195" s="189"/>
      <c r="D195" s="188"/>
      <c r="E195" s="186"/>
      <c r="F195">
        <f t="shared" ref="F195:F243" si="10">IFERROR(B195-A195+1,"")</f>
        <v>0</v>
      </c>
      <c r="G195" t="str">
        <f>IF(IFERROR(IF(Str_TypeDonneesCpt1=Cpt_Index,Tab_Compteur_1[[#This Row],[Index]]-E194,Tab_Compteur_1[[#This Row],[Quantité]])/Tab_Compteur_1[[#This Row],[Delta Jour]],"")&lt;0,"",IFERROR(IF(Str_TypeDonneesCpt1=Cpt_Index,Tab_Compteur_1[[#This Row],[Index]]-E194,Tab_Compteur_1[[#This Row],[Quantité]])/Tab_Compteur_1[[#This Row],[Delta Jour]],""))</f>
        <v/>
      </c>
      <c r="H195" t="str">
        <f>IFERROR(Tab_Compteur_1[[#This Row],[Montant]]/Tab_Compteur_1[[#This Row],[Delta Jour]],"")</f>
        <v/>
      </c>
      <c r="I195" s="208" t="str">
        <f t="shared" si="8"/>
        <v/>
      </c>
      <c r="J195" s="185"/>
      <c r="K195" s="38"/>
      <c r="L195" s="38"/>
      <c r="M195" s="38"/>
      <c r="N195" s="38"/>
      <c r="O195"/>
    </row>
    <row r="196" spans="1:15">
      <c r="A196" s="464">
        <f t="shared" si="9"/>
        <v>1</v>
      </c>
      <c r="B196" s="228"/>
      <c r="C196" s="474"/>
      <c r="D196" s="188"/>
      <c r="E196" s="186"/>
      <c r="F196">
        <f t="shared" si="10"/>
        <v>0</v>
      </c>
      <c r="G196" t="str">
        <f>IF(IFERROR(IF(Str_TypeDonneesCpt1=Cpt_Index,Tab_Compteur_1[[#This Row],[Index]]-E195,Tab_Compteur_1[[#This Row],[Quantité]])/Tab_Compteur_1[[#This Row],[Delta Jour]],"")&lt;0,"",IFERROR(IF(Str_TypeDonneesCpt1=Cpt_Index,Tab_Compteur_1[[#This Row],[Index]]-E195,Tab_Compteur_1[[#This Row],[Quantité]])/Tab_Compteur_1[[#This Row],[Delta Jour]],""))</f>
        <v/>
      </c>
      <c r="H196" t="str">
        <f>IFERROR(Tab_Compteur_1[[#This Row],[Montant]]/Tab_Compteur_1[[#This Row],[Delta Jour]],"")</f>
        <v/>
      </c>
      <c r="I196" s="208" t="str">
        <f t="shared" si="8"/>
        <v/>
      </c>
      <c r="J196" s="185"/>
      <c r="K196" s="38"/>
      <c r="L196" s="38"/>
      <c r="M196" s="38"/>
      <c r="N196" s="38"/>
      <c r="O196"/>
    </row>
    <row r="197" spans="1:15">
      <c r="A197" s="464">
        <f t="shared" si="9"/>
        <v>1</v>
      </c>
      <c r="B197" s="228"/>
      <c r="C197" s="186"/>
      <c r="D197" s="188"/>
      <c r="E197" s="186"/>
      <c r="F197">
        <f t="shared" si="10"/>
        <v>0</v>
      </c>
      <c r="G197" t="str">
        <f>IF(IFERROR(IF(Str_TypeDonneesCpt1=Cpt_Index,Tab_Compteur_1[[#This Row],[Index]]-E196,Tab_Compteur_1[[#This Row],[Quantité]])/Tab_Compteur_1[[#This Row],[Delta Jour]],"")&lt;0,"",IFERROR(IF(Str_TypeDonneesCpt1=Cpt_Index,Tab_Compteur_1[[#This Row],[Index]]-E196,Tab_Compteur_1[[#This Row],[Quantité]])/Tab_Compteur_1[[#This Row],[Delta Jour]],""))</f>
        <v/>
      </c>
      <c r="H197" t="str">
        <f>IFERROR(Tab_Compteur_1[[#This Row],[Montant]]/Tab_Compteur_1[[#This Row],[Delta Jour]],"")</f>
        <v/>
      </c>
      <c r="I197" s="208" t="str">
        <f t="shared" ref="I197:I243" si="11">G197</f>
        <v/>
      </c>
      <c r="J197" s="185"/>
      <c r="K197" s="38"/>
      <c r="L197" s="38"/>
      <c r="M197" s="38"/>
      <c r="N197" s="38"/>
      <c r="O197"/>
    </row>
    <row r="198" spans="1:15">
      <c r="A198" s="464">
        <f t="shared" ref="A198:A243" si="12">IFERROR(B197+1,0)</f>
        <v>1</v>
      </c>
      <c r="B198" s="228"/>
      <c r="C198" s="186"/>
      <c r="D198" s="188"/>
      <c r="E198" s="186"/>
      <c r="F198">
        <f t="shared" si="10"/>
        <v>0</v>
      </c>
      <c r="G198" t="str">
        <f>IF(IFERROR(IF(Str_TypeDonneesCpt1=Cpt_Index,Tab_Compteur_1[[#This Row],[Index]]-E197,Tab_Compteur_1[[#This Row],[Quantité]])/Tab_Compteur_1[[#This Row],[Delta Jour]],"")&lt;0,"",IFERROR(IF(Str_TypeDonneesCpt1=Cpt_Index,Tab_Compteur_1[[#This Row],[Index]]-E197,Tab_Compteur_1[[#This Row],[Quantité]])/Tab_Compteur_1[[#This Row],[Delta Jour]],""))</f>
        <v/>
      </c>
      <c r="H198" t="str">
        <f>IFERROR(Tab_Compteur_1[[#This Row],[Montant]]/Tab_Compteur_1[[#This Row],[Delta Jour]],"")</f>
        <v/>
      </c>
      <c r="I198" s="208" t="str">
        <f t="shared" si="11"/>
        <v/>
      </c>
      <c r="J198" s="185"/>
      <c r="K198" s="38"/>
      <c r="L198" s="38"/>
      <c r="M198" s="38"/>
      <c r="N198" s="38"/>
      <c r="O198"/>
    </row>
    <row r="199" spans="1:15">
      <c r="A199" s="464">
        <f t="shared" si="12"/>
        <v>1</v>
      </c>
      <c r="B199" s="228"/>
      <c r="C199" s="186"/>
      <c r="D199" s="188"/>
      <c r="E199" s="186"/>
      <c r="F199">
        <f t="shared" si="10"/>
        <v>0</v>
      </c>
      <c r="G199" t="str">
        <f>IF(IFERROR(IF(Str_TypeDonneesCpt1=Cpt_Index,Tab_Compteur_1[[#This Row],[Index]]-E198,Tab_Compteur_1[[#This Row],[Quantité]])/Tab_Compteur_1[[#This Row],[Delta Jour]],"")&lt;0,"",IFERROR(IF(Str_TypeDonneesCpt1=Cpt_Index,Tab_Compteur_1[[#This Row],[Index]]-E198,Tab_Compteur_1[[#This Row],[Quantité]])/Tab_Compteur_1[[#This Row],[Delta Jour]],""))</f>
        <v/>
      </c>
      <c r="H199" t="str">
        <f>IFERROR(Tab_Compteur_1[[#This Row],[Montant]]/Tab_Compteur_1[[#This Row],[Delta Jour]],"")</f>
        <v/>
      </c>
      <c r="I199" s="208" t="str">
        <f t="shared" si="11"/>
        <v/>
      </c>
      <c r="J199" s="469"/>
      <c r="K199" s="38"/>
      <c r="L199" s="38"/>
      <c r="M199" s="38"/>
      <c r="N199" s="38"/>
      <c r="O199"/>
    </row>
    <row r="200" spans="1:15">
      <c r="A200" s="464">
        <f t="shared" si="12"/>
        <v>1</v>
      </c>
      <c r="B200" s="228"/>
      <c r="C200" s="186"/>
      <c r="D200" s="188"/>
      <c r="E200" s="186"/>
      <c r="F200">
        <f t="shared" si="10"/>
        <v>0</v>
      </c>
      <c r="G200" t="str">
        <f>IF(IFERROR(IF(Str_TypeDonneesCpt1=Cpt_Index,Tab_Compteur_1[[#This Row],[Index]]-E199,Tab_Compteur_1[[#This Row],[Quantité]])/Tab_Compteur_1[[#This Row],[Delta Jour]],"")&lt;0,"",IFERROR(IF(Str_TypeDonneesCpt1=Cpt_Index,Tab_Compteur_1[[#This Row],[Index]]-E199,Tab_Compteur_1[[#This Row],[Quantité]])/Tab_Compteur_1[[#This Row],[Delta Jour]],""))</f>
        <v/>
      </c>
      <c r="H200" t="str">
        <f>IFERROR(Tab_Compteur_1[[#This Row],[Montant]]/Tab_Compteur_1[[#This Row],[Delta Jour]],"")</f>
        <v/>
      </c>
      <c r="I200" s="208" t="str">
        <f t="shared" si="11"/>
        <v/>
      </c>
      <c r="J200" s="185"/>
      <c r="K200" s="38"/>
      <c r="L200" s="38"/>
      <c r="M200" s="38"/>
      <c r="N200" s="38"/>
      <c r="O200"/>
    </row>
    <row r="201" spans="1:15">
      <c r="A201" s="464">
        <f t="shared" si="12"/>
        <v>1</v>
      </c>
      <c r="B201" s="228"/>
      <c r="C201" s="186"/>
      <c r="D201" s="188"/>
      <c r="E201" s="186"/>
      <c r="F201">
        <f t="shared" si="10"/>
        <v>0</v>
      </c>
      <c r="G201" t="str">
        <f>IF(IFERROR(IF(Str_TypeDonneesCpt1=Cpt_Index,Tab_Compteur_1[[#This Row],[Index]]-E200,Tab_Compteur_1[[#This Row],[Quantité]])/Tab_Compteur_1[[#This Row],[Delta Jour]],"")&lt;0,"",IFERROR(IF(Str_TypeDonneesCpt1=Cpt_Index,Tab_Compteur_1[[#This Row],[Index]]-E200,Tab_Compteur_1[[#This Row],[Quantité]])/Tab_Compteur_1[[#This Row],[Delta Jour]],""))</f>
        <v/>
      </c>
      <c r="H201" t="str">
        <f>IFERROR(Tab_Compteur_1[[#This Row],[Montant]]/Tab_Compteur_1[[#This Row],[Delta Jour]],"")</f>
        <v/>
      </c>
      <c r="I201" s="208" t="str">
        <f t="shared" si="11"/>
        <v/>
      </c>
      <c r="J201" s="469"/>
      <c r="K201" s="38"/>
      <c r="L201" s="38"/>
      <c r="M201" s="38"/>
      <c r="N201" s="38"/>
      <c r="O201"/>
    </row>
    <row r="202" spans="1:15">
      <c r="A202" s="464">
        <f t="shared" si="12"/>
        <v>1</v>
      </c>
      <c r="B202" s="228"/>
      <c r="C202" s="186"/>
      <c r="D202" s="188"/>
      <c r="E202" s="186"/>
      <c r="F202">
        <f t="shared" si="10"/>
        <v>0</v>
      </c>
      <c r="G202" t="str">
        <f>IF(IFERROR(IF(Str_TypeDonneesCpt1=Cpt_Index,Tab_Compteur_1[[#This Row],[Index]]-E201,Tab_Compteur_1[[#This Row],[Quantité]])/Tab_Compteur_1[[#This Row],[Delta Jour]],"")&lt;0,"",IFERROR(IF(Str_TypeDonneesCpt1=Cpt_Index,Tab_Compteur_1[[#This Row],[Index]]-E201,Tab_Compteur_1[[#This Row],[Quantité]])/Tab_Compteur_1[[#This Row],[Delta Jour]],""))</f>
        <v/>
      </c>
      <c r="H202" t="str">
        <f>IFERROR(Tab_Compteur_1[[#This Row],[Montant]]/Tab_Compteur_1[[#This Row],[Delta Jour]],"")</f>
        <v/>
      </c>
      <c r="I202" s="208" t="str">
        <f t="shared" si="11"/>
        <v/>
      </c>
      <c r="J202" s="185"/>
      <c r="K202" s="38"/>
      <c r="L202" s="38"/>
      <c r="M202" s="38"/>
      <c r="N202" s="38"/>
      <c r="O202"/>
    </row>
    <row r="203" spans="1:15">
      <c r="A203" s="464">
        <f t="shared" si="12"/>
        <v>1</v>
      </c>
      <c r="B203" s="228"/>
      <c r="C203" s="186"/>
      <c r="D203" s="188"/>
      <c r="E203" s="186"/>
      <c r="F203">
        <f t="shared" si="10"/>
        <v>0</v>
      </c>
      <c r="G203" t="str">
        <f>IF(IFERROR(IF(Str_TypeDonneesCpt1=Cpt_Index,Tab_Compteur_1[[#This Row],[Index]]-E202,Tab_Compteur_1[[#This Row],[Quantité]])/Tab_Compteur_1[[#This Row],[Delta Jour]],"")&lt;0,"",IFERROR(IF(Str_TypeDonneesCpt1=Cpt_Index,Tab_Compteur_1[[#This Row],[Index]]-E202,Tab_Compteur_1[[#This Row],[Quantité]])/Tab_Compteur_1[[#This Row],[Delta Jour]],""))</f>
        <v/>
      </c>
      <c r="H203" t="str">
        <f>IFERROR(Tab_Compteur_1[[#This Row],[Montant]]/Tab_Compteur_1[[#This Row],[Delta Jour]],"")</f>
        <v/>
      </c>
      <c r="I203" s="208" t="str">
        <f t="shared" si="11"/>
        <v/>
      </c>
      <c r="J203" s="470"/>
      <c r="K203" s="38"/>
      <c r="L203" s="38"/>
      <c r="M203" s="38"/>
      <c r="N203" s="38"/>
      <c r="O203"/>
    </row>
    <row r="204" spans="1:15">
      <c r="A204" s="464">
        <f t="shared" si="12"/>
        <v>1</v>
      </c>
      <c r="B204" s="228"/>
      <c r="C204" s="186"/>
      <c r="D204" s="188"/>
      <c r="E204" s="186"/>
      <c r="F204">
        <f t="shared" si="10"/>
        <v>0</v>
      </c>
      <c r="G204" t="str">
        <f>IF(IFERROR(IF(Str_TypeDonneesCpt1=Cpt_Index,Tab_Compteur_1[[#This Row],[Index]]-E203,Tab_Compteur_1[[#This Row],[Quantité]])/Tab_Compteur_1[[#This Row],[Delta Jour]],"")&lt;0,"",IFERROR(IF(Str_TypeDonneesCpt1=Cpt_Index,Tab_Compteur_1[[#This Row],[Index]]-E203,Tab_Compteur_1[[#This Row],[Quantité]])/Tab_Compteur_1[[#This Row],[Delta Jour]],""))</f>
        <v/>
      </c>
      <c r="H204" t="str">
        <f>IFERROR(Tab_Compteur_1[[#This Row],[Montant]]/Tab_Compteur_1[[#This Row],[Delta Jour]],"")</f>
        <v/>
      </c>
      <c r="I204" s="208" t="str">
        <f t="shared" si="11"/>
        <v/>
      </c>
      <c r="J204" s="470"/>
      <c r="K204" s="38"/>
      <c r="L204" s="38"/>
      <c r="M204" s="38"/>
      <c r="N204" s="38"/>
      <c r="O204"/>
    </row>
    <row r="205" spans="1:15">
      <c r="A205" s="464">
        <f t="shared" si="12"/>
        <v>1</v>
      </c>
      <c r="B205" s="228"/>
      <c r="C205" s="186"/>
      <c r="D205" s="188"/>
      <c r="E205" s="186"/>
      <c r="F205">
        <f t="shared" si="10"/>
        <v>0</v>
      </c>
      <c r="G205" t="str">
        <f>IF(IFERROR(IF(Str_TypeDonneesCpt1=Cpt_Index,Tab_Compteur_1[[#This Row],[Index]]-E204,Tab_Compteur_1[[#This Row],[Quantité]])/Tab_Compteur_1[[#This Row],[Delta Jour]],"")&lt;0,"",IFERROR(IF(Str_TypeDonneesCpt1=Cpt_Index,Tab_Compteur_1[[#This Row],[Index]]-E204,Tab_Compteur_1[[#This Row],[Quantité]])/Tab_Compteur_1[[#This Row],[Delta Jour]],""))</f>
        <v/>
      </c>
      <c r="H205" t="str">
        <f>IFERROR(Tab_Compteur_1[[#This Row],[Montant]]/Tab_Compteur_1[[#This Row],[Delta Jour]],"")</f>
        <v/>
      </c>
      <c r="I205" s="208" t="str">
        <f t="shared" si="11"/>
        <v/>
      </c>
      <c r="J205" s="470"/>
      <c r="K205" s="38"/>
      <c r="L205" s="38"/>
      <c r="M205" s="38"/>
      <c r="N205" s="38"/>
      <c r="O205"/>
    </row>
    <row r="206" spans="1:15">
      <c r="A206" s="464">
        <f t="shared" si="12"/>
        <v>1</v>
      </c>
      <c r="B206" s="228"/>
      <c r="C206" s="186"/>
      <c r="D206" s="188"/>
      <c r="E206" s="186"/>
      <c r="F206">
        <f t="shared" si="10"/>
        <v>0</v>
      </c>
      <c r="G206" t="str">
        <f>IF(IFERROR(IF(Str_TypeDonneesCpt1=Cpt_Index,Tab_Compteur_1[[#This Row],[Index]]-E205,Tab_Compteur_1[[#This Row],[Quantité]])/Tab_Compteur_1[[#This Row],[Delta Jour]],"")&lt;0,"",IFERROR(IF(Str_TypeDonneesCpt1=Cpt_Index,Tab_Compteur_1[[#This Row],[Index]]-E205,Tab_Compteur_1[[#This Row],[Quantité]])/Tab_Compteur_1[[#This Row],[Delta Jour]],""))</f>
        <v/>
      </c>
      <c r="H206" t="str">
        <f>IFERROR(Tab_Compteur_1[[#This Row],[Montant]]/Tab_Compteur_1[[#This Row],[Delta Jour]],"")</f>
        <v/>
      </c>
      <c r="I206" s="208" t="str">
        <f t="shared" si="11"/>
        <v/>
      </c>
      <c r="J206" s="470"/>
      <c r="K206" s="38"/>
      <c r="L206" s="38"/>
      <c r="M206" s="38"/>
      <c r="N206" s="38"/>
      <c r="O206"/>
    </row>
    <row r="207" spans="1:15">
      <c r="A207" s="464">
        <f t="shared" si="12"/>
        <v>1</v>
      </c>
      <c r="B207" s="228"/>
      <c r="C207" s="186"/>
      <c r="D207" s="188"/>
      <c r="E207" s="186"/>
      <c r="F207">
        <f t="shared" si="10"/>
        <v>0</v>
      </c>
      <c r="G207" t="str">
        <f>IF(IFERROR(IF(Str_TypeDonneesCpt1=Cpt_Index,Tab_Compteur_1[[#This Row],[Index]]-E206,Tab_Compteur_1[[#This Row],[Quantité]])/Tab_Compteur_1[[#This Row],[Delta Jour]],"")&lt;0,"",IFERROR(IF(Str_TypeDonneesCpt1=Cpt_Index,Tab_Compteur_1[[#This Row],[Index]]-E206,Tab_Compteur_1[[#This Row],[Quantité]])/Tab_Compteur_1[[#This Row],[Delta Jour]],""))</f>
        <v/>
      </c>
      <c r="H207" t="str">
        <f>IFERROR(Tab_Compteur_1[[#This Row],[Montant]]/Tab_Compteur_1[[#This Row],[Delta Jour]],"")</f>
        <v/>
      </c>
      <c r="I207" s="208" t="str">
        <f t="shared" si="11"/>
        <v/>
      </c>
      <c r="J207" s="470"/>
      <c r="K207" s="38"/>
      <c r="L207" s="38"/>
      <c r="M207" s="38"/>
      <c r="N207" s="38"/>
      <c r="O207"/>
    </row>
    <row r="208" spans="1:15">
      <c r="A208" s="464">
        <f t="shared" si="12"/>
        <v>1</v>
      </c>
      <c r="B208" s="228"/>
      <c r="C208" s="186"/>
      <c r="D208" s="188"/>
      <c r="E208" s="186"/>
      <c r="F208">
        <f t="shared" si="10"/>
        <v>0</v>
      </c>
      <c r="G208" t="str">
        <f>IF(IFERROR(IF(Str_TypeDonneesCpt1=Cpt_Index,Tab_Compteur_1[[#This Row],[Index]]-E207,Tab_Compteur_1[[#This Row],[Quantité]])/Tab_Compteur_1[[#This Row],[Delta Jour]],"")&lt;0,"",IFERROR(IF(Str_TypeDonneesCpt1=Cpt_Index,Tab_Compteur_1[[#This Row],[Index]]-E207,Tab_Compteur_1[[#This Row],[Quantité]])/Tab_Compteur_1[[#This Row],[Delta Jour]],""))</f>
        <v/>
      </c>
      <c r="H208" t="str">
        <f>IFERROR(Tab_Compteur_1[[#This Row],[Montant]]/Tab_Compteur_1[[#This Row],[Delta Jour]],"")</f>
        <v/>
      </c>
      <c r="I208" s="208" t="str">
        <f t="shared" si="11"/>
        <v/>
      </c>
      <c r="J208" s="470"/>
      <c r="K208" s="38"/>
      <c r="L208" s="38"/>
      <c r="M208" s="38"/>
      <c r="N208" s="38"/>
      <c r="O208"/>
    </row>
    <row r="209" spans="1:15">
      <c r="A209" s="464">
        <f t="shared" si="12"/>
        <v>1</v>
      </c>
      <c r="B209" s="228"/>
      <c r="C209" s="186"/>
      <c r="D209" s="188"/>
      <c r="E209" s="186"/>
      <c r="F209">
        <f t="shared" si="10"/>
        <v>0</v>
      </c>
      <c r="G209" t="str">
        <f>IF(IFERROR(IF(Str_TypeDonneesCpt1=Cpt_Index,Tab_Compteur_1[[#This Row],[Index]]-E208,Tab_Compteur_1[[#This Row],[Quantité]])/Tab_Compteur_1[[#This Row],[Delta Jour]],"")&lt;0,"",IFERROR(IF(Str_TypeDonneesCpt1=Cpt_Index,Tab_Compteur_1[[#This Row],[Index]]-E208,Tab_Compteur_1[[#This Row],[Quantité]])/Tab_Compteur_1[[#This Row],[Delta Jour]],""))</f>
        <v/>
      </c>
      <c r="H209" t="str">
        <f>IFERROR(Tab_Compteur_1[[#This Row],[Montant]]/Tab_Compteur_1[[#This Row],[Delta Jour]],"")</f>
        <v/>
      </c>
      <c r="I209" s="208" t="str">
        <f t="shared" si="11"/>
        <v/>
      </c>
      <c r="J209" s="470"/>
      <c r="K209" s="38"/>
      <c r="L209" s="38"/>
      <c r="M209" s="38"/>
      <c r="N209" s="38"/>
      <c r="O209"/>
    </row>
    <row r="210" spans="1:15">
      <c r="A210" s="464">
        <f t="shared" si="12"/>
        <v>1</v>
      </c>
      <c r="B210" s="228"/>
      <c r="C210" s="186"/>
      <c r="D210" s="188"/>
      <c r="E210" s="186"/>
      <c r="F210">
        <f t="shared" si="10"/>
        <v>0</v>
      </c>
      <c r="G210" t="str">
        <f>IF(IFERROR(IF(Str_TypeDonneesCpt1=Cpt_Index,Tab_Compteur_1[[#This Row],[Index]]-E209,Tab_Compteur_1[[#This Row],[Quantité]])/Tab_Compteur_1[[#This Row],[Delta Jour]],"")&lt;0,"",IFERROR(IF(Str_TypeDonneesCpt1=Cpt_Index,Tab_Compteur_1[[#This Row],[Index]]-E209,Tab_Compteur_1[[#This Row],[Quantité]])/Tab_Compteur_1[[#This Row],[Delta Jour]],""))</f>
        <v/>
      </c>
      <c r="H210" t="str">
        <f>IFERROR(Tab_Compteur_1[[#This Row],[Montant]]/Tab_Compteur_1[[#This Row],[Delta Jour]],"")</f>
        <v/>
      </c>
      <c r="I210" s="208" t="str">
        <f t="shared" si="11"/>
        <v/>
      </c>
      <c r="J210" s="470"/>
      <c r="K210" s="38"/>
      <c r="L210" s="38"/>
      <c r="M210" s="38"/>
      <c r="N210" s="38"/>
      <c r="O210"/>
    </row>
    <row r="211" spans="1:15">
      <c r="A211" s="464">
        <f t="shared" si="12"/>
        <v>1</v>
      </c>
      <c r="B211" s="228"/>
      <c r="C211" s="186"/>
      <c r="D211" s="188"/>
      <c r="E211" s="186"/>
      <c r="F211">
        <f t="shared" si="10"/>
        <v>0</v>
      </c>
      <c r="G211" t="str">
        <f>IF(IFERROR(IF(Str_TypeDonneesCpt1=Cpt_Index,Tab_Compteur_1[[#This Row],[Index]]-E210,Tab_Compteur_1[[#This Row],[Quantité]])/Tab_Compteur_1[[#This Row],[Delta Jour]],"")&lt;0,"",IFERROR(IF(Str_TypeDonneesCpt1=Cpt_Index,Tab_Compteur_1[[#This Row],[Index]]-E210,Tab_Compteur_1[[#This Row],[Quantité]])/Tab_Compteur_1[[#This Row],[Delta Jour]],""))</f>
        <v/>
      </c>
      <c r="H211" t="str">
        <f>IFERROR(Tab_Compteur_1[[#This Row],[Montant]]/Tab_Compteur_1[[#This Row],[Delta Jour]],"")</f>
        <v/>
      </c>
      <c r="I211" s="208" t="str">
        <f t="shared" si="11"/>
        <v/>
      </c>
      <c r="J211" s="470"/>
      <c r="K211" s="38"/>
      <c r="L211" s="38"/>
      <c r="M211" s="38"/>
      <c r="N211" s="38"/>
      <c r="O211"/>
    </row>
    <row r="212" spans="1:15">
      <c r="A212" s="464">
        <f t="shared" si="12"/>
        <v>1</v>
      </c>
      <c r="B212" s="228"/>
      <c r="C212" s="186"/>
      <c r="D212" s="188"/>
      <c r="E212" s="186"/>
      <c r="F212">
        <f t="shared" si="10"/>
        <v>0</v>
      </c>
      <c r="G212" t="str">
        <f>IF(IFERROR(IF(Str_TypeDonneesCpt1=Cpt_Index,Tab_Compteur_1[[#This Row],[Index]]-E211,Tab_Compteur_1[[#This Row],[Quantité]])/Tab_Compteur_1[[#This Row],[Delta Jour]],"")&lt;0,"",IFERROR(IF(Str_TypeDonneesCpt1=Cpt_Index,Tab_Compteur_1[[#This Row],[Index]]-E211,Tab_Compteur_1[[#This Row],[Quantité]])/Tab_Compteur_1[[#This Row],[Delta Jour]],""))</f>
        <v/>
      </c>
      <c r="H212" t="str">
        <f>IFERROR(Tab_Compteur_1[[#This Row],[Montant]]/Tab_Compteur_1[[#This Row],[Delta Jour]],"")</f>
        <v/>
      </c>
      <c r="I212" s="208" t="str">
        <f t="shared" si="11"/>
        <v/>
      </c>
      <c r="J212" s="470"/>
      <c r="K212" s="38"/>
      <c r="L212" s="38"/>
      <c r="M212" s="38"/>
      <c r="N212" s="38"/>
      <c r="O212"/>
    </row>
    <row r="213" spans="1:15">
      <c r="A213" s="464">
        <f t="shared" si="12"/>
        <v>1</v>
      </c>
      <c r="B213" s="228"/>
      <c r="C213" s="186"/>
      <c r="D213" s="188"/>
      <c r="E213" s="186"/>
      <c r="F213">
        <f t="shared" si="10"/>
        <v>0</v>
      </c>
      <c r="G213" t="str">
        <f>IF(IFERROR(IF(Str_TypeDonneesCpt1=Cpt_Index,Tab_Compteur_1[[#This Row],[Index]]-E212,Tab_Compteur_1[[#This Row],[Quantité]])/Tab_Compteur_1[[#This Row],[Delta Jour]],"")&lt;0,"",IFERROR(IF(Str_TypeDonneesCpt1=Cpt_Index,Tab_Compteur_1[[#This Row],[Index]]-E212,Tab_Compteur_1[[#This Row],[Quantité]])/Tab_Compteur_1[[#This Row],[Delta Jour]],""))</f>
        <v/>
      </c>
      <c r="H213" t="str">
        <f>IFERROR(Tab_Compteur_1[[#This Row],[Montant]]/Tab_Compteur_1[[#This Row],[Delta Jour]],"")</f>
        <v/>
      </c>
      <c r="I213" s="208" t="str">
        <f t="shared" si="11"/>
        <v/>
      </c>
      <c r="J213" s="470"/>
      <c r="K213" s="38"/>
      <c r="L213" s="38"/>
      <c r="M213" s="38"/>
      <c r="N213" s="38"/>
      <c r="O213"/>
    </row>
    <row r="214" spans="1:15">
      <c r="A214" s="464">
        <f t="shared" si="12"/>
        <v>1</v>
      </c>
      <c r="B214" s="228"/>
      <c r="C214" s="186"/>
      <c r="D214" s="188"/>
      <c r="E214" s="186"/>
      <c r="F214">
        <f t="shared" si="10"/>
        <v>0</v>
      </c>
      <c r="G214" t="str">
        <f>IF(IFERROR(IF(Str_TypeDonneesCpt1=Cpt_Index,Tab_Compteur_1[[#This Row],[Index]]-E213,Tab_Compteur_1[[#This Row],[Quantité]])/Tab_Compteur_1[[#This Row],[Delta Jour]],"")&lt;0,"",IFERROR(IF(Str_TypeDonneesCpt1=Cpt_Index,Tab_Compteur_1[[#This Row],[Index]]-E213,Tab_Compteur_1[[#This Row],[Quantité]])/Tab_Compteur_1[[#This Row],[Delta Jour]],""))</f>
        <v/>
      </c>
      <c r="H214" t="str">
        <f>IFERROR(Tab_Compteur_1[[#This Row],[Montant]]/Tab_Compteur_1[[#This Row],[Delta Jour]],"")</f>
        <v/>
      </c>
      <c r="I214" s="208" t="str">
        <f t="shared" si="11"/>
        <v/>
      </c>
      <c r="J214" s="470"/>
      <c r="K214" s="38"/>
      <c r="L214" s="38"/>
      <c r="M214" s="38"/>
      <c r="N214" s="38"/>
      <c r="O214"/>
    </row>
    <row r="215" spans="1:15">
      <c r="A215" s="464">
        <f t="shared" si="12"/>
        <v>1</v>
      </c>
      <c r="B215" s="228"/>
      <c r="C215" s="186"/>
      <c r="D215" s="188"/>
      <c r="E215" s="186"/>
      <c r="F215">
        <f t="shared" si="10"/>
        <v>0</v>
      </c>
      <c r="G215" t="str">
        <f>IF(IFERROR(IF(Str_TypeDonneesCpt1=Cpt_Index,Tab_Compteur_1[[#This Row],[Index]]-E214,Tab_Compteur_1[[#This Row],[Quantité]])/Tab_Compteur_1[[#This Row],[Delta Jour]],"")&lt;0,"",IFERROR(IF(Str_TypeDonneesCpt1=Cpt_Index,Tab_Compteur_1[[#This Row],[Index]]-E214,Tab_Compteur_1[[#This Row],[Quantité]])/Tab_Compteur_1[[#This Row],[Delta Jour]],""))</f>
        <v/>
      </c>
      <c r="H215" t="str">
        <f>IFERROR(Tab_Compteur_1[[#This Row],[Montant]]/Tab_Compteur_1[[#This Row],[Delta Jour]],"")</f>
        <v/>
      </c>
      <c r="I215" s="208" t="str">
        <f t="shared" si="11"/>
        <v/>
      </c>
      <c r="J215" s="470"/>
      <c r="K215" s="38"/>
      <c r="L215" s="38"/>
      <c r="M215" s="38"/>
      <c r="N215" s="38"/>
      <c r="O215"/>
    </row>
    <row r="216" spans="1:15">
      <c r="A216" s="464">
        <f t="shared" si="12"/>
        <v>1</v>
      </c>
      <c r="B216" s="228"/>
      <c r="C216" s="186"/>
      <c r="D216" s="188"/>
      <c r="E216" s="186"/>
      <c r="F216">
        <f t="shared" si="10"/>
        <v>0</v>
      </c>
      <c r="G216" t="str">
        <f>IF(IFERROR(IF(Str_TypeDonneesCpt1=Cpt_Index,Tab_Compteur_1[[#This Row],[Index]]-E215,Tab_Compteur_1[[#This Row],[Quantité]])/Tab_Compteur_1[[#This Row],[Delta Jour]],"")&lt;0,"",IFERROR(IF(Str_TypeDonneesCpt1=Cpt_Index,Tab_Compteur_1[[#This Row],[Index]]-E215,Tab_Compteur_1[[#This Row],[Quantité]])/Tab_Compteur_1[[#This Row],[Delta Jour]],""))</f>
        <v/>
      </c>
      <c r="H216" t="str">
        <f>IFERROR(Tab_Compteur_1[[#This Row],[Montant]]/Tab_Compteur_1[[#This Row],[Delta Jour]],"")</f>
        <v/>
      </c>
      <c r="I216" s="208" t="str">
        <f t="shared" si="11"/>
        <v/>
      </c>
      <c r="J216" s="470"/>
      <c r="K216" s="38"/>
      <c r="L216" s="38"/>
      <c r="M216" s="38"/>
      <c r="N216" s="38"/>
      <c r="O216"/>
    </row>
    <row r="217" spans="1:15">
      <c r="A217" s="464">
        <f t="shared" si="12"/>
        <v>1</v>
      </c>
      <c r="B217" s="228"/>
      <c r="C217" s="186"/>
      <c r="D217" s="188"/>
      <c r="E217" s="186"/>
      <c r="F217">
        <f t="shared" si="10"/>
        <v>0</v>
      </c>
      <c r="G217" t="str">
        <f>IF(IFERROR(IF(Str_TypeDonneesCpt1=Cpt_Index,Tab_Compteur_1[[#This Row],[Index]]-E216,Tab_Compteur_1[[#This Row],[Quantité]])/Tab_Compteur_1[[#This Row],[Delta Jour]],"")&lt;0,"",IFERROR(IF(Str_TypeDonneesCpt1=Cpt_Index,Tab_Compteur_1[[#This Row],[Index]]-E216,Tab_Compteur_1[[#This Row],[Quantité]])/Tab_Compteur_1[[#This Row],[Delta Jour]],""))</f>
        <v/>
      </c>
      <c r="H217" t="str">
        <f>IFERROR(Tab_Compteur_1[[#This Row],[Montant]]/Tab_Compteur_1[[#This Row],[Delta Jour]],"")</f>
        <v/>
      </c>
      <c r="I217" s="208" t="str">
        <f t="shared" si="11"/>
        <v/>
      </c>
      <c r="J217" s="470"/>
      <c r="K217" s="38"/>
      <c r="L217" s="38"/>
      <c r="M217" s="38"/>
      <c r="N217" s="38"/>
      <c r="O217"/>
    </row>
    <row r="218" spans="1:15">
      <c r="A218" s="464">
        <f t="shared" si="12"/>
        <v>1</v>
      </c>
      <c r="B218" s="228"/>
      <c r="C218" s="186"/>
      <c r="D218" s="188"/>
      <c r="E218" s="186"/>
      <c r="F218">
        <f t="shared" si="10"/>
        <v>0</v>
      </c>
      <c r="G218" t="str">
        <f>IF(IFERROR(IF(Str_TypeDonneesCpt1=Cpt_Index,Tab_Compteur_1[[#This Row],[Index]]-E217,Tab_Compteur_1[[#This Row],[Quantité]])/Tab_Compteur_1[[#This Row],[Delta Jour]],"")&lt;0,"",IFERROR(IF(Str_TypeDonneesCpt1=Cpt_Index,Tab_Compteur_1[[#This Row],[Index]]-E217,Tab_Compteur_1[[#This Row],[Quantité]])/Tab_Compteur_1[[#This Row],[Delta Jour]],""))</f>
        <v/>
      </c>
      <c r="H218" t="str">
        <f>IFERROR(Tab_Compteur_1[[#This Row],[Montant]]/Tab_Compteur_1[[#This Row],[Delta Jour]],"")</f>
        <v/>
      </c>
      <c r="I218" s="208" t="str">
        <f t="shared" si="11"/>
        <v/>
      </c>
      <c r="J218" s="470"/>
      <c r="K218" s="38"/>
      <c r="L218" s="38"/>
      <c r="M218" s="38"/>
      <c r="N218" s="38"/>
      <c r="O218"/>
    </row>
    <row r="219" spans="1:15">
      <c r="A219" s="464">
        <f t="shared" si="12"/>
        <v>1</v>
      </c>
      <c r="B219" s="228"/>
      <c r="C219" s="186"/>
      <c r="D219" s="188"/>
      <c r="E219" s="186"/>
      <c r="F219">
        <f t="shared" si="10"/>
        <v>0</v>
      </c>
      <c r="G219" t="str">
        <f>IF(IFERROR(IF(Str_TypeDonneesCpt1=Cpt_Index,Tab_Compteur_1[[#This Row],[Index]]-E218,Tab_Compteur_1[[#This Row],[Quantité]])/Tab_Compteur_1[[#This Row],[Delta Jour]],"")&lt;0,"",IFERROR(IF(Str_TypeDonneesCpt1=Cpt_Index,Tab_Compteur_1[[#This Row],[Index]]-E218,Tab_Compteur_1[[#This Row],[Quantité]])/Tab_Compteur_1[[#This Row],[Delta Jour]],""))</f>
        <v/>
      </c>
      <c r="H219" t="str">
        <f>IFERROR(Tab_Compteur_1[[#This Row],[Montant]]/Tab_Compteur_1[[#This Row],[Delta Jour]],"")</f>
        <v/>
      </c>
      <c r="I219" s="208" t="str">
        <f t="shared" si="11"/>
        <v/>
      </c>
      <c r="J219" s="470"/>
      <c r="K219" s="38"/>
      <c r="L219" s="38"/>
      <c r="M219" s="38"/>
      <c r="N219" s="38"/>
      <c r="O219"/>
    </row>
    <row r="220" spans="1:15">
      <c r="A220" s="464">
        <f t="shared" si="12"/>
        <v>1</v>
      </c>
      <c r="B220" s="228"/>
      <c r="C220" s="186"/>
      <c r="D220" s="188"/>
      <c r="E220" s="186"/>
      <c r="F220">
        <f t="shared" si="10"/>
        <v>0</v>
      </c>
      <c r="G220" t="str">
        <f>IF(IFERROR(IF(Str_TypeDonneesCpt1=Cpt_Index,Tab_Compteur_1[[#This Row],[Index]]-E219,Tab_Compteur_1[[#This Row],[Quantité]])/Tab_Compteur_1[[#This Row],[Delta Jour]],"")&lt;0,"",IFERROR(IF(Str_TypeDonneesCpt1=Cpt_Index,Tab_Compteur_1[[#This Row],[Index]]-E219,Tab_Compteur_1[[#This Row],[Quantité]])/Tab_Compteur_1[[#This Row],[Delta Jour]],""))</f>
        <v/>
      </c>
      <c r="H220" t="str">
        <f>IFERROR(Tab_Compteur_1[[#This Row],[Montant]]/Tab_Compteur_1[[#This Row],[Delta Jour]],"")</f>
        <v/>
      </c>
      <c r="I220" s="208" t="str">
        <f t="shared" si="11"/>
        <v/>
      </c>
      <c r="J220" s="470"/>
      <c r="K220" s="38"/>
      <c r="L220" s="38"/>
      <c r="M220" s="38"/>
      <c r="N220" s="38"/>
      <c r="O220"/>
    </row>
    <row r="221" spans="1:15">
      <c r="A221" s="464">
        <f t="shared" si="12"/>
        <v>1</v>
      </c>
      <c r="B221" s="228"/>
      <c r="C221" s="186"/>
      <c r="D221" s="188"/>
      <c r="E221" s="186"/>
      <c r="F221">
        <f t="shared" si="10"/>
        <v>0</v>
      </c>
      <c r="G221" t="str">
        <f>IF(IFERROR(IF(Str_TypeDonneesCpt1=Cpt_Index,Tab_Compteur_1[[#This Row],[Index]]-E220,Tab_Compteur_1[[#This Row],[Quantité]])/Tab_Compteur_1[[#This Row],[Delta Jour]],"")&lt;0,"",IFERROR(IF(Str_TypeDonneesCpt1=Cpt_Index,Tab_Compteur_1[[#This Row],[Index]]-E220,Tab_Compteur_1[[#This Row],[Quantité]])/Tab_Compteur_1[[#This Row],[Delta Jour]],""))</f>
        <v/>
      </c>
      <c r="H221" t="str">
        <f>IFERROR(Tab_Compteur_1[[#This Row],[Montant]]/Tab_Compteur_1[[#This Row],[Delta Jour]],"")</f>
        <v/>
      </c>
      <c r="I221" s="208" t="str">
        <f t="shared" si="11"/>
        <v/>
      </c>
      <c r="J221" s="470"/>
      <c r="K221" s="38"/>
      <c r="L221" s="38"/>
      <c r="M221" s="38"/>
      <c r="N221" s="38"/>
      <c r="O221"/>
    </row>
    <row r="222" spans="1:15">
      <c r="A222" s="464">
        <f t="shared" si="12"/>
        <v>1</v>
      </c>
      <c r="B222" s="228"/>
      <c r="C222" s="186"/>
      <c r="D222" s="188"/>
      <c r="E222" s="186"/>
      <c r="F222">
        <f t="shared" si="10"/>
        <v>0</v>
      </c>
      <c r="G222" t="str">
        <f>IF(IFERROR(IF(Str_TypeDonneesCpt1=Cpt_Index,Tab_Compteur_1[[#This Row],[Index]]-E221,Tab_Compteur_1[[#This Row],[Quantité]])/Tab_Compteur_1[[#This Row],[Delta Jour]],"")&lt;0,"",IFERROR(IF(Str_TypeDonneesCpt1=Cpt_Index,Tab_Compteur_1[[#This Row],[Index]]-E221,Tab_Compteur_1[[#This Row],[Quantité]])/Tab_Compteur_1[[#This Row],[Delta Jour]],""))</f>
        <v/>
      </c>
      <c r="H222" t="str">
        <f>IFERROR(Tab_Compteur_1[[#This Row],[Montant]]/Tab_Compteur_1[[#This Row],[Delta Jour]],"")</f>
        <v/>
      </c>
      <c r="I222" s="208" t="str">
        <f t="shared" si="11"/>
        <v/>
      </c>
      <c r="J222" s="470"/>
      <c r="K222" s="38"/>
      <c r="L222" s="38"/>
      <c r="M222" s="38"/>
      <c r="N222" s="38"/>
      <c r="O222"/>
    </row>
    <row r="223" spans="1:15">
      <c r="A223" s="464">
        <f t="shared" si="12"/>
        <v>1</v>
      </c>
      <c r="B223" s="228"/>
      <c r="C223" s="186"/>
      <c r="D223" s="188"/>
      <c r="E223" s="186"/>
      <c r="F223">
        <f t="shared" si="10"/>
        <v>0</v>
      </c>
      <c r="G223" t="str">
        <f>IF(IFERROR(IF(Str_TypeDonneesCpt1=Cpt_Index,Tab_Compteur_1[[#This Row],[Index]]-E222,Tab_Compteur_1[[#This Row],[Quantité]])/Tab_Compteur_1[[#This Row],[Delta Jour]],"")&lt;0,"",IFERROR(IF(Str_TypeDonneesCpt1=Cpt_Index,Tab_Compteur_1[[#This Row],[Index]]-E222,Tab_Compteur_1[[#This Row],[Quantité]])/Tab_Compteur_1[[#This Row],[Delta Jour]],""))</f>
        <v/>
      </c>
      <c r="H223" t="str">
        <f>IFERROR(Tab_Compteur_1[[#This Row],[Montant]]/Tab_Compteur_1[[#This Row],[Delta Jour]],"")</f>
        <v/>
      </c>
      <c r="I223" s="208" t="str">
        <f t="shared" si="11"/>
        <v/>
      </c>
      <c r="J223" s="470"/>
      <c r="K223" s="38"/>
      <c r="L223" s="38"/>
      <c r="M223" s="38"/>
      <c r="N223" s="38"/>
      <c r="O223"/>
    </row>
    <row r="224" spans="1:15">
      <c r="A224" s="464">
        <f t="shared" si="12"/>
        <v>1</v>
      </c>
      <c r="B224" s="228"/>
      <c r="C224" s="186"/>
      <c r="D224" s="188"/>
      <c r="E224" s="186"/>
      <c r="F224">
        <f t="shared" si="10"/>
        <v>0</v>
      </c>
      <c r="G224" t="str">
        <f>IF(IFERROR(IF(Str_TypeDonneesCpt1=Cpt_Index,Tab_Compteur_1[[#This Row],[Index]]-E223,Tab_Compteur_1[[#This Row],[Quantité]])/Tab_Compteur_1[[#This Row],[Delta Jour]],"")&lt;0,"",IFERROR(IF(Str_TypeDonneesCpt1=Cpt_Index,Tab_Compteur_1[[#This Row],[Index]]-E223,Tab_Compteur_1[[#This Row],[Quantité]])/Tab_Compteur_1[[#This Row],[Delta Jour]],""))</f>
        <v/>
      </c>
      <c r="H224" t="str">
        <f>IFERROR(Tab_Compteur_1[[#This Row],[Montant]]/Tab_Compteur_1[[#This Row],[Delta Jour]],"")</f>
        <v/>
      </c>
      <c r="I224" s="208" t="str">
        <f t="shared" si="11"/>
        <v/>
      </c>
      <c r="J224" s="470"/>
      <c r="K224" s="38"/>
      <c r="L224" s="38"/>
      <c r="M224" s="38"/>
      <c r="N224" s="38"/>
      <c r="O224"/>
    </row>
    <row r="225" spans="1:15">
      <c r="A225" s="464">
        <f t="shared" si="12"/>
        <v>1</v>
      </c>
      <c r="B225" s="228"/>
      <c r="C225" s="186"/>
      <c r="D225" s="188"/>
      <c r="E225" s="186"/>
      <c r="F225">
        <f t="shared" si="10"/>
        <v>0</v>
      </c>
      <c r="G225" t="str">
        <f>IF(IFERROR(IF(Str_TypeDonneesCpt1=Cpt_Index,Tab_Compteur_1[[#This Row],[Index]]-E224,Tab_Compteur_1[[#This Row],[Quantité]])/Tab_Compteur_1[[#This Row],[Delta Jour]],"")&lt;0,"",IFERROR(IF(Str_TypeDonneesCpt1=Cpt_Index,Tab_Compteur_1[[#This Row],[Index]]-E224,Tab_Compteur_1[[#This Row],[Quantité]])/Tab_Compteur_1[[#This Row],[Delta Jour]],""))</f>
        <v/>
      </c>
      <c r="H225" t="str">
        <f>IFERROR(Tab_Compteur_1[[#This Row],[Montant]]/Tab_Compteur_1[[#This Row],[Delta Jour]],"")</f>
        <v/>
      </c>
      <c r="I225" s="208" t="str">
        <f t="shared" si="11"/>
        <v/>
      </c>
      <c r="J225" s="470"/>
      <c r="K225" s="38"/>
      <c r="L225" s="38"/>
      <c r="M225" s="38"/>
      <c r="N225" s="38"/>
      <c r="O225"/>
    </row>
    <row r="226" spans="1:15">
      <c r="A226" s="464">
        <f t="shared" si="12"/>
        <v>1</v>
      </c>
      <c r="B226" s="228"/>
      <c r="C226" s="186"/>
      <c r="D226" s="188"/>
      <c r="E226" s="186"/>
      <c r="F226">
        <f t="shared" si="10"/>
        <v>0</v>
      </c>
      <c r="G226" t="str">
        <f>IF(IFERROR(IF(Str_TypeDonneesCpt1=Cpt_Index,Tab_Compteur_1[[#This Row],[Index]]-E225,Tab_Compteur_1[[#This Row],[Quantité]])/Tab_Compteur_1[[#This Row],[Delta Jour]],"")&lt;0,"",IFERROR(IF(Str_TypeDonneesCpt1=Cpt_Index,Tab_Compteur_1[[#This Row],[Index]]-E225,Tab_Compteur_1[[#This Row],[Quantité]])/Tab_Compteur_1[[#This Row],[Delta Jour]],""))</f>
        <v/>
      </c>
      <c r="H226" t="str">
        <f>IFERROR(Tab_Compteur_1[[#This Row],[Montant]]/Tab_Compteur_1[[#This Row],[Delta Jour]],"")</f>
        <v/>
      </c>
      <c r="I226" s="208" t="str">
        <f t="shared" si="11"/>
        <v/>
      </c>
      <c r="J226" s="470"/>
      <c r="K226" s="38"/>
      <c r="L226" s="38"/>
      <c r="M226" s="38"/>
      <c r="N226" s="38"/>
      <c r="O226"/>
    </row>
    <row r="227" spans="1:15">
      <c r="A227" s="464">
        <f t="shared" si="12"/>
        <v>1</v>
      </c>
      <c r="B227" s="228"/>
      <c r="C227" s="186"/>
      <c r="D227" s="188"/>
      <c r="E227" s="186"/>
      <c r="F227">
        <f t="shared" si="10"/>
        <v>0</v>
      </c>
      <c r="G227" t="str">
        <f>IF(IFERROR(IF(Str_TypeDonneesCpt1=Cpt_Index,Tab_Compteur_1[[#This Row],[Index]]-E226,Tab_Compteur_1[[#This Row],[Quantité]])/Tab_Compteur_1[[#This Row],[Delta Jour]],"")&lt;0,"",IFERROR(IF(Str_TypeDonneesCpt1=Cpt_Index,Tab_Compteur_1[[#This Row],[Index]]-E226,Tab_Compteur_1[[#This Row],[Quantité]])/Tab_Compteur_1[[#This Row],[Delta Jour]],""))</f>
        <v/>
      </c>
      <c r="H227" t="str">
        <f>IFERROR(Tab_Compteur_1[[#This Row],[Montant]]/Tab_Compteur_1[[#This Row],[Delta Jour]],"")</f>
        <v/>
      </c>
      <c r="I227" s="208" t="str">
        <f t="shared" si="11"/>
        <v/>
      </c>
      <c r="J227" s="470"/>
      <c r="K227" s="38"/>
      <c r="L227" s="38"/>
      <c r="M227" s="38"/>
      <c r="N227" s="38"/>
      <c r="O227"/>
    </row>
    <row r="228" spans="1:15">
      <c r="A228" s="464">
        <f t="shared" si="12"/>
        <v>1</v>
      </c>
      <c r="B228" s="228"/>
      <c r="C228" s="186"/>
      <c r="D228" s="188"/>
      <c r="E228" s="186"/>
      <c r="F228">
        <f t="shared" si="10"/>
        <v>0</v>
      </c>
      <c r="G228" t="str">
        <f>IF(IFERROR(IF(Str_TypeDonneesCpt1=Cpt_Index,Tab_Compteur_1[[#This Row],[Index]]-E227,Tab_Compteur_1[[#This Row],[Quantité]])/Tab_Compteur_1[[#This Row],[Delta Jour]],"")&lt;0,"",IFERROR(IF(Str_TypeDonneesCpt1=Cpt_Index,Tab_Compteur_1[[#This Row],[Index]]-E227,Tab_Compteur_1[[#This Row],[Quantité]])/Tab_Compteur_1[[#This Row],[Delta Jour]],""))</f>
        <v/>
      </c>
      <c r="H228" t="str">
        <f>IFERROR(Tab_Compteur_1[[#This Row],[Montant]]/Tab_Compteur_1[[#This Row],[Delta Jour]],"")</f>
        <v/>
      </c>
      <c r="I228" s="208" t="str">
        <f t="shared" si="11"/>
        <v/>
      </c>
      <c r="J228" s="470"/>
      <c r="K228" s="38"/>
      <c r="L228" s="38"/>
      <c r="M228" s="38"/>
      <c r="N228" s="38"/>
      <c r="O228"/>
    </row>
    <row r="229" spans="1:15">
      <c r="A229" s="464">
        <f t="shared" si="12"/>
        <v>1</v>
      </c>
      <c r="B229" s="228"/>
      <c r="C229" s="186"/>
      <c r="D229" s="188"/>
      <c r="E229" s="186"/>
      <c r="F229">
        <f t="shared" si="10"/>
        <v>0</v>
      </c>
      <c r="G229" t="str">
        <f>IF(IFERROR(IF(Str_TypeDonneesCpt1=Cpt_Index,Tab_Compteur_1[[#This Row],[Index]]-E228,Tab_Compteur_1[[#This Row],[Quantité]])/Tab_Compteur_1[[#This Row],[Delta Jour]],"")&lt;0,"",IFERROR(IF(Str_TypeDonneesCpt1=Cpt_Index,Tab_Compteur_1[[#This Row],[Index]]-E228,Tab_Compteur_1[[#This Row],[Quantité]])/Tab_Compteur_1[[#This Row],[Delta Jour]],""))</f>
        <v/>
      </c>
      <c r="H229" t="str">
        <f>IFERROR(Tab_Compteur_1[[#This Row],[Montant]]/Tab_Compteur_1[[#This Row],[Delta Jour]],"")</f>
        <v/>
      </c>
      <c r="I229" s="208" t="str">
        <f t="shared" si="11"/>
        <v/>
      </c>
      <c r="J229" s="470"/>
      <c r="K229" s="38"/>
      <c r="L229" s="38"/>
      <c r="M229" s="38"/>
      <c r="N229" s="38"/>
      <c r="O229"/>
    </row>
    <row r="230" spans="1:15">
      <c r="A230" s="464">
        <f t="shared" si="12"/>
        <v>1</v>
      </c>
      <c r="B230" s="228"/>
      <c r="C230" s="186"/>
      <c r="D230" s="188"/>
      <c r="E230" s="186"/>
      <c r="F230">
        <f t="shared" si="10"/>
        <v>0</v>
      </c>
      <c r="G230" t="str">
        <f>IF(IFERROR(IF(Str_TypeDonneesCpt1=Cpt_Index,Tab_Compteur_1[[#This Row],[Index]]-E229,Tab_Compteur_1[[#This Row],[Quantité]])/Tab_Compteur_1[[#This Row],[Delta Jour]],"")&lt;0,"",IFERROR(IF(Str_TypeDonneesCpt1=Cpt_Index,Tab_Compteur_1[[#This Row],[Index]]-E229,Tab_Compteur_1[[#This Row],[Quantité]])/Tab_Compteur_1[[#This Row],[Delta Jour]],""))</f>
        <v/>
      </c>
      <c r="H230" t="str">
        <f>IFERROR(Tab_Compteur_1[[#This Row],[Montant]]/Tab_Compteur_1[[#This Row],[Delta Jour]],"")</f>
        <v/>
      </c>
      <c r="I230" s="208" t="str">
        <f t="shared" si="11"/>
        <v/>
      </c>
      <c r="J230" s="470"/>
      <c r="K230" s="38"/>
      <c r="L230" s="38"/>
      <c r="M230" s="38"/>
      <c r="N230" s="38"/>
      <c r="O230"/>
    </row>
    <row r="231" spans="1:15">
      <c r="A231" s="464">
        <f t="shared" si="12"/>
        <v>1</v>
      </c>
      <c r="B231" s="228"/>
      <c r="C231" s="186"/>
      <c r="D231" s="188"/>
      <c r="E231" s="186"/>
      <c r="F231">
        <f t="shared" si="10"/>
        <v>0</v>
      </c>
      <c r="G231" t="str">
        <f>IF(IFERROR(IF(Str_TypeDonneesCpt1=Cpt_Index,Tab_Compteur_1[[#This Row],[Index]]-E230,Tab_Compteur_1[[#This Row],[Quantité]])/Tab_Compteur_1[[#This Row],[Delta Jour]],"")&lt;0,"",IFERROR(IF(Str_TypeDonneesCpt1=Cpt_Index,Tab_Compteur_1[[#This Row],[Index]]-E230,Tab_Compteur_1[[#This Row],[Quantité]])/Tab_Compteur_1[[#This Row],[Delta Jour]],""))</f>
        <v/>
      </c>
      <c r="H231" t="str">
        <f>IFERROR(Tab_Compteur_1[[#This Row],[Montant]]/Tab_Compteur_1[[#This Row],[Delta Jour]],"")</f>
        <v/>
      </c>
      <c r="I231" s="208" t="str">
        <f t="shared" si="11"/>
        <v/>
      </c>
      <c r="J231" s="470"/>
      <c r="K231" s="38"/>
      <c r="L231" s="38"/>
      <c r="M231" s="38"/>
      <c r="N231" s="38"/>
      <c r="O231"/>
    </row>
    <row r="232" spans="1:15">
      <c r="A232" s="464">
        <f t="shared" si="12"/>
        <v>1</v>
      </c>
      <c r="B232" s="228"/>
      <c r="C232" s="186"/>
      <c r="D232" s="188"/>
      <c r="E232" s="186"/>
      <c r="F232">
        <f t="shared" si="10"/>
        <v>0</v>
      </c>
      <c r="G232" t="str">
        <f>IF(IFERROR(IF(Str_TypeDonneesCpt1=Cpt_Index,Tab_Compteur_1[[#This Row],[Index]]-E231,Tab_Compteur_1[[#This Row],[Quantité]])/Tab_Compteur_1[[#This Row],[Delta Jour]],"")&lt;0,"",IFERROR(IF(Str_TypeDonneesCpt1=Cpt_Index,Tab_Compteur_1[[#This Row],[Index]]-E231,Tab_Compteur_1[[#This Row],[Quantité]])/Tab_Compteur_1[[#This Row],[Delta Jour]],""))</f>
        <v/>
      </c>
      <c r="H232" t="str">
        <f>IFERROR(Tab_Compteur_1[[#This Row],[Montant]]/Tab_Compteur_1[[#This Row],[Delta Jour]],"")</f>
        <v/>
      </c>
      <c r="I232" s="208" t="str">
        <f t="shared" si="11"/>
        <v/>
      </c>
      <c r="J232" s="470"/>
      <c r="K232" s="38"/>
      <c r="L232" s="38"/>
      <c r="M232" s="38"/>
      <c r="N232" s="38"/>
      <c r="O232"/>
    </row>
    <row r="233" spans="1:15">
      <c r="A233" s="464">
        <f t="shared" si="12"/>
        <v>1</v>
      </c>
      <c r="B233" s="228"/>
      <c r="C233" s="186"/>
      <c r="D233" s="188"/>
      <c r="E233" s="186"/>
      <c r="F233">
        <f t="shared" si="10"/>
        <v>0</v>
      </c>
      <c r="G233" t="str">
        <f>IF(IFERROR(IF(Str_TypeDonneesCpt1=Cpt_Index,Tab_Compteur_1[[#This Row],[Index]]-E232,Tab_Compteur_1[[#This Row],[Quantité]])/Tab_Compteur_1[[#This Row],[Delta Jour]],"")&lt;0,"",IFERROR(IF(Str_TypeDonneesCpt1=Cpt_Index,Tab_Compteur_1[[#This Row],[Index]]-E232,Tab_Compteur_1[[#This Row],[Quantité]])/Tab_Compteur_1[[#This Row],[Delta Jour]],""))</f>
        <v/>
      </c>
      <c r="H233" t="str">
        <f>IFERROR(Tab_Compteur_1[[#This Row],[Montant]]/Tab_Compteur_1[[#This Row],[Delta Jour]],"")</f>
        <v/>
      </c>
      <c r="I233" s="208" t="str">
        <f t="shared" si="11"/>
        <v/>
      </c>
      <c r="J233" s="470"/>
      <c r="K233" s="38"/>
      <c r="L233" s="38"/>
      <c r="M233" s="38"/>
      <c r="N233" s="38"/>
      <c r="O233"/>
    </row>
    <row r="234" spans="1:15">
      <c r="A234" s="464">
        <f t="shared" si="12"/>
        <v>1</v>
      </c>
      <c r="B234" s="228"/>
      <c r="C234" s="186"/>
      <c r="D234" s="188"/>
      <c r="E234" s="186"/>
      <c r="F234">
        <f t="shared" si="10"/>
        <v>0</v>
      </c>
      <c r="G234" t="str">
        <f>IF(IFERROR(IF(Str_TypeDonneesCpt1=Cpt_Index,Tab_Compteur_1[[#This Row],[Index]]-E233,Tab_Compteur_1[[#This Row],[Quantité]])/Tab_Compteur_1[[#This Row],[Delta Jour]],"")&lt;0,"",IFERROR(IF(Str_TypeDonneesCpt1=Cpt_Index,Tab_Compteur_1[[#This Row],[Index]]-E233,Tab_Compteur_1[[#This Row],[Quantité]])/Tab_Compteur_1[[#This Row],[Delta Jour]],""))</f>
        <v/>
      </c>
      <c r="H234" t="str">
        <f>IFERROR(Tab_Compteur_1[[#This Row],[Montant]]/Tab_Compteur_1[[#This Row],[Delta Jour]],"")</f>
        <v/>
      </c>
      <c r="I234" s="208" t="str">
        <f t="shared" si="11"/>
        <v/>
      </c>
      <c r="J234" s="470"/>
      <c r="K234" s="38"/>
      <c r="L234" s="38"/>
      <c r="M234" s="38"/>
      <c r="N234" s="38"/>
      <c r="O234"/>
    </row>
    <row r="235" spans="1:15">
      <c r="A235" s="464">
        <f t="shared" si="12"/>
        <v>1</v>
      </c>
      <c r="B235" s="228"/>
      <c r="C235" s="186"/>
      <c r="D235" s="188"/>
      <c r="E235" s="186"/>
      <c r="F235">
        <f t="shared" si="10"/>
        <v>0</v>
      </c>
      <c r="G235" t="str">
        <f>IF(IFERROR(IF(Str_TypeDonneesCpt1=Cpt_Index,Tab_Compteur_1[[#This Row],[Index]]-E234,Tab_Compteur_1[[#This Row],[Quantité]])/Tab_Compteur_1[[#This Row],[Delta Jour]],"")&lt;0,"",IFERROR(IF(Str_TypeDonneesCpt1=Cpt_Index,Tab_Compteur_1[[#This Row],[Index]]-E234,Tab_Compteur_1[[#This Row],[Quantité]])/Tab_Compteur_1[[#This Row],[Delta Jour]],""))</f>
        <v/>
      </c>
      <c r="H235" t="str">
        <f>IFERROR(Tab_Compteur_1[[#This Row],[Montant]]/Tab_Compteur_1[[#This Row],[Delta Jour]],"")</f>
        <v/>
      </c>
      <c r="I235" s="208" t="str">
        <f t="shared" si="11"/>
        <v/>
      </c>
      <c r="J235" s="470"/>
      <c r="K235" s="38"/>
      <c r="L235" s="38"/>
      <c r="M235" s="38"/>
      <c r="N235" s="38"/>
      <c r="O235"/>
    </row>
    <row r="236" spans="1:15">
      <c r="A236" s="464">
        <f t="shared" si="12"/>
        <v>1</v>
      </c>
      <c r="B236" s="228"/>
      <c r="C236" s="186"/>
      <c r="D236" s="188"/>
      <c r="E236" s="186"/>
      <c r="F236">
        <f t="shared" si="10"/>
        <v>0</v>
      </c>
      <c r="G236" t="str">
        <f>IF(IFERROR(IF(Str_TypeDonneesCpt1=Cpt_Index,Tab_Compteur_1[[#This Row],[Index]]-E235,Tab_Compteur_1[[#This Row],[Quantité]])/Tab_Compteur_1[[#This Row],[Delta Jour]],"")&lt;0,"",IFERROR(IF(Str_TypeDonneesCpt1=Cpt_Index,Tab_Compteur_1[[#This Row],[Index]]-E235,Tab_Compteur_1[[#This Row],[Quantité]])/Tab_Compteur_1[[#This Row],[Delta Jour]],""))</f>
        <v/>
      </c>
      <c r="H236" t="str">
        <f>IFERROR(Tab_Compteur_1[[#This Row],[Montant]]/Tab_Compteur_1[[#This Row],[Delta Jour]],"")</f>
        <v/>
      </c>
      <c r="I236" s="208" t="str">
        <f t="shared" si="11"/>
        <v/>
      </c>
      <c r="J236" s="470"/>
      <c r="K236" s="38"/>
      <c r="L236" s="38"/>
      <c r="M236" s="38"/>
      <c r="N236" s="38"/>
      <c r="O236"/>
    </row>
    <row r="237" spans="1:15">
      <c r="A237" s="464">
        <f t="shared" si="12"/>
        <v>1</v>
      </c>
      <c r="B237" s="228"/>
      <c r="C237" s="186"/>
      <c r="D237" s="188"/>
      <c r="E237" s="186"/>
      <c r="F237">
        <f t="shared" si="10"/>
        <v>0</v>
      </c>
      <c r="G237" t="str">
        <f>IF(IFERROR(IF(Str_TypeDonneesCpt1=Cpt_Index,Tab_Compteur_1[[#This Row],[Index]]-E236,Tab_Compteur_1[[#This Row],[Quantité]])/Tab_Compteur_1[[#This Row],[Delta Jour]],"")&lt;0,"",IFERROR(IF(Str_TypeDonneesCpt1=Cpt_Index,Tab_Compteur_1[[#This Row],[Index]]-E236,Tab_Compteur_1[[#This Row],[Quantité]])/Tab_Compteur_1[[#This Row],[Delta Jour]],""))</f>
        <v/>
      </c>
      <c r="H237" t="str">
        <f>IFERROR(Tab_Compteur_1[[#This Row],[Montant]]/Tab_Compteur_1[[#This Row],[Delta Jour]],"")</f>
        <v/>
      </c>
      <c r="I237" s="208" t="str">
        <f t="shared" si="11"/>
        <v/>
      </c>
      <c r="J237" s="470"/>
      <c r="K237" s="38"/>
      <c r="L237" s="38"/>
      <c r="M237" s="38"/>
      <c r="N237" s="38"/>
      <c r="O237"/>
    </row>
    <row r="238" spans="1:15">
      <c r="A238" s="464">
        <f t="shared" si="12"/>
        <v>1</v>
      </c>
      <c r="B238" s="228"/>
      <c r="C238" s="186"/>
      <c r="D238" s="188"/>
      <c r="E238" s="186"/>
      <c r="F238">
        <f t="shared" si="10"/>
        <v>0</v>
      </c>
      <c r="G238" t="str">
        <f>IF(IFERROR(IF(Str_TypeDonneesCpt1=Cpt_Index,Tab_Compteur_1[[#This Row],[Index]]-E237,Tab_Compteur_1[[#This Row],[Quantité]])/Tab_Compteur_1[[#This Row],[Delta Jour]],"")&lt;0,"",IFERROR(IF(Str_TypeDonneesCpt1=Cpt_Index,Tab_Compteur_1[[#This Row],[Index]]-E237,Tab_Compteur_1[[#This Row],[Quantité]])/Tab_Compteur_1[[#This Row],[Delta Jour]],""))</f>
        <v/>
      </c>
      <c r="H238" t="str">
        <f>IFERROR(Tab_Compteur_1[[#This Row],[Montant]]/Tab_Compteur_1[[#This Row],[Delta Jour]],"")</f>
        <v/>
      </c>
      <c r="I238" s="208" t="str">
        <f t="shared" si="11"/>
        <v/>
      </c>
      <c r="J238" s="470"/>
      <c r="K238" s="38"/>
      <c r="L238" s="38"/>
      <c r="M238" s="38"/>
      <c r="N238" s="38"/>
      <c r="O238"/>
    </row>
    <row r="239" spans="1:15">
      <c r="A239" s="464">
        <f t="shared" si="12"/>
        <v>1</v>
      </c>
      <c r="B239" s="228"/>
      <c r="C239" s="186"/>
      <c r="D239" s="188"/>
      <c r="E239" s="186"/>
      <c r="F239">
        <f t="shared" si="10"/>
        <v>0</v>
      </c>
      <c r="G239" t="str">
        <f>IF(IFERROR(IF(Str_TypeDonneesCpt1=Cpt_Index,Tab_Compteur_1[[#This Row],[Index]]-E238,Tab_Compteur_1[[#This Row],[Quantité]])/Tab_Compteur_1[[#This Row],[Delta Jour]],"")&lt;0,"",IFERROR(IF(Str_TypeDonneesCpt1=Cpt_Index,Tab_Compteur_1[[#This Row],[Index]]-E238,Tab_Compteur_1[[#This Row],[Quantité]])/Tab_Compteur_1[[#This Row],[Delta Jour]],""))</f>
        <v/>
      </c>
      <c r="H239" t="str">
        <f>IFERROR(Tab_Compteur_1[[#This Row],[Montant]]/Tab_Compteur_1[[#This Row],[Delta Jour]],"")</f>
        <v/>
      </c>
      <c r="I239" s="208" t="str">
        <f t="shared" si="11"/>
        <v/>
      </c>
      <c r="J239" s="470"/>
      <c r="K239" s="38"/>
      <c r="L239" s="38"/>
      <c r="M239" s="38"/>
      <c r="N239" s="38"/>
      <c r="O239"/>
    </row>
    <row r="240" spans="1:15">
      <c r="A240" s="464">
        <f t="shared" si="12"/>
        <v>1</v>
      </c>
      <c r="B240" s="228"/>
      <c r="C240" s="186"/>
      <c r="D240" s="188"/>
      <c r="E240" s="186"/>
      <c r="F240">
        <f t="shared" si="10"/>
        <v>0</v>
      </c>
      <c r="G240" t="str">
        <f>IF(IFERROR(IF(Str_TypeDonneesCpt1=Cpt_Index,Tab_Compteur_1[[#This Row],[Index]]-E239,Tab_Compteur_1[[#This Row],[Quantité]])/Tab_Compteur_1[[#This Row],[Delta Jour]],"")&lt;0,"",IFERROR(IF(Str_TypeDonneesCpt1=Cpt_Index,Tab_Compteur_1[[#This Row],[Index]]-E239,Tab_Compteur_1[[#This Row],[Quantité]])/Tab_Compteur_1[[#This Row],[Delta Jour]],""))</f>
        <v/>
      </c>
      <c r="H240" t="str">
        <f>IFERROR(Tab_Compteur_1[[#This Row],[Montant]]/Tab_Compteur_1[[#This Row],[Delta Jour]],"")</f>
        <v/>
      </c>
      <c r="I240" s="208" t="str">
        <f t="shared" si="11"/>
        <v/>
      </c>
      <c r="J240" s="185"/>
      <c r="K240" s="38"/>
      <c r="L240" s="38"/>
      <c r="M240" s="38"/>
      <c r="N240" s="38"/>
      <c r="O240"/>
    </row>
    <row r="241" spans="1:15">
      <c r="A241" s="464">
        <f t="shared" si="12"/>
        <v>1</v>
      </c>
      <c r="B241" s="228"/>
      <c r="C241" s="186"/>
      <c r="D241" s="188"/>
      <c r="E241" s="186"/>
      <c r="F241">
        <f t="shared" si="10"/>
        <v>0</v>
      </c>
      <c r="G241" t="str">
        <f>IF(IFERROR(IF(Str_TypeDonneesCpt1=Cpt_Index,Tab_Compteur_1[[#This Row],[Index]]-E240,Tab_Compteur_1[[#This Row],[Quantité]])/Tab_Compteur_1[[#This Row],[Delta Jour]],"")&lt;0,"",IFERROR(IF(Str_TypeDonneesCpt1=Cpt_Index,Tab_Compteur_1[[#This Row],[Index]]-E240,Tab_Compteur_1[[#This Row],[Quantité]])/Tab_Compteur_1[[#This Row],[Delta Jour]],""))</f>
        <v/>
      </c>
      <c r="H241" t="str">
        <f>IFERROR(Tab_Compteur_1[[#This Row],[Montant]]/Tab_Compteur_1[[#This Row],[Delta Jour]],"")</f>
        <v/>
      </c>
      <c r="I241" s="208" t="str">
        <f t="shared" si="11"/>
        <v/>
      </c>
      <c r="J241" s="185"/>
      <c r="K241" s="38"/>
      <c r="L241" s="38"/>
      <c r="M241" s="38"/>
      <c r="N241" s="38"/>
      <c r="O241"/>
    </row>
    <row r="242" spans="1:15">
      <c r="A242" s="464">
        <f t="shared" si="12"/>
        <v>1</v>
      </c>
      <c r="B242" s="228"/>
      <c r="C242" s="186"/>
      <c r="D242" s="188"/>
      <c r="E242" s="186"/>
      <c r="F242">
        <f t="shared" si="10"/>
        <v>0</v>
      </c>
      <c r="G242" t="str">
        <f>IF(IFERROR(IF(Str_TypeDonneesCpt1=Cpt_Index,Tab_Compteur_1[[#This Row],[Index]]-E241,Tab_Compteur_1[[#This Row],[Quantité]])/Tab_Compteur_1[[#This Row],[Delta Jour]],"")&lt;0,"",IFERROR(IF(Str_TypeDonneesCpt1=Cpt_Index,Tab_Compteur_1[[#This Row],[Index]]-E241,Tab_Compteur_1[[#This Row],[Quantité]])/Tab_Compteur_1[[#This Row],[Delta Jour]],""))</f>
        <v/>
      </c>
      <c r="H242" t="str">
        <f>IFERROR(Tab_Compteur_1[[#This Row],[Montant]]/Tab_Compteur_1[[#This Row],[Delta Jour]],"")</f>
        <v/>
      </c>
      <c r="I242" s="208" t="str">
        <f t="shared" si="11"/>
        <v/>
      </c>
      <c r="J242" s="185"/>
      <c r="K242" s="38"/>
      <c r="L242" s="38"/>
      <c r="M242" s="38"/>
      <c r="N242" s="38"/>
      <c r="O242"/>
    </row>
    <row r="243" spans="1:15">
      <c r="A243" s="464">
        <f t="shared" si="12"/>
        <v>1</v>
      </c>
      <c r="B243" s="228"/>
      <c r="C243" s="186"/>
      <c r="D243" s="188"/>
      <c r="E243" s="186"/>
      <c r="F243">
        <f t="shared" si="10"/>
        <v>0</v>
      </c>
      <c r="G243" t="str">
        <f>IF(IFERROR(IF(Str_TypeDonneesCpt1=Cpt_Index,Tab_Compteur_1[[#This Row],[Index]]-E242,Tab_Compteur_1[[#This Row],[Quantité]])/Tab_Compteur_1[[#This Row],[Delta Jour]],"")&lt;0,"",IFERROR(IF(Str_TypeDonneesCpt1=Cpt_Index,Tab_Compteur_1[[#This Row],[Index]]-E242,Tab_Compteur_1[[#This Row],[Quantité]])/Tab_Compteur_1[[#This Row],[Delta Jour]],""))</f>
        <v/>
      </c>
      <c r="H243" t="str">
        <f>IFERROR(Tab_Compteur_1[[#This Row],[Montant]]/Tab_Compteur_1[[#This Row],[Delta Jour]],"")</f>
        <v/>
      </c>
      <c r="I243" s="208" t="str">
        <f t="shared" si="11"/>
        <v/>
      </c>
      <c r="J243" s="185"/>
      <c r="K243" s="38"/>
      <c r="L243" s="38"/>
      <c r="M243" s="38"/>
      <c r="N243" s="38"/>
      <c r="O243"/>
    </row>
  </sheetData>
  <sheetProtection sheet="1"/>
  <protectedRanges>
    <protectedRange sqref="E4:E243" name="Plage2"/>
    <protectedRange sqref="B4:D243" name="Plage1"/>
  </protectedRanges>
  <mergeCells count="1">
    <mergeCell ref="K34:M56"/>
  </mergeCells>
  <conditionalFormatting sqref="B4:B243">
    <cfRule type="expression" dxfId="14"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8"/>
  <dimension ref="A1:R369"/>
  <sheetViews>
    <sheetView workbookViewId="0"/>
  </sheetViews>
  <sheetFormatPr baseColWidth="10" defaultColWidth="11.42578125" defaultRowHeight="15"/>
  <sheetData>
    <row r="1" spans="1:18">
      <c r="A1" t="s">
        <v>7</v>
      </c>
      <c r="B1" t="e">
        <f>Calcul_Bilan_Energie!N2</f>
        <v>#VALUE!</v>
      </c>
      <c r="O1" t="s">
        <v>261</v>
      </c>
    </row>
    <row r="2" spans="1:18">
      <c r="B2" t="str">
        <f>Controle_des_données!A42</f>
        <v>Continu</v>
      </c>
      <c r="O2" t="s">
        <v>262</v>
      </c>
      <c r="P2" t="s">
        <v>263</v>
      </c>
      <c r="Q2" t="s">
        <v>264</v>
      </c>
      <c r="R2" t="s">
        <v>265</v>
      </c>
    </row>
    <row r="3" spans="1:18">
      <c r="A3" t="s">
        <v>266</v>
      </c>
      <c r="B3" t="s">
        <v>267</v>
      </c>
      <c r="C3" t="s">
        <v>268</v>
      </c>
      <c r="D3" t="s">
        <v>269</v>
      </c>
      <c r="E3" t="s">
        <v>270</v>
      </c>
      <c r="F3" t="s">
        <v>271</v>
      </c>
      <c r="I3" t="s">
        <v>209</v>
      </c>
      <c r="O3" s="3">
        <v>37622</v>
      </c>
      <c r="P3">
        <v>2003</v>
      </c>
      <c r="Q3" t="s">
        <v>272</v>
      </c>
      <c r="R3" t="s">
        <v>273</v>
      </c>
    </row>
    <row r="4" spans="1:18">
      <c r="A4" s="3" t="e">
        <f>DATE(B1,1,1)</f>
        <v>#VALUE!</v>
      </c>
      <c r="B4" t="e">
        <f>WEEKDAY(A4,2)</f>
        <v>#VALUE!</v>
      </c>
      <c r="C4" t="e">
        <f>IF(AND(B4=6,$B$2&lt;&gt;$I$3,$B$2&lt;&gt;$I$5),1,0)</f>
        <v>#VALUE!</v>
      </c>
      <c r="D4" t="e">
        <f>IF(AND(B4=7,$B$2&lt;&gt;$I$3),1,0)</f>
        <v>#VALUE!</v>
      </c>
      <c r="E4">
        <f>IF($B$2&lt;&gt;$I$3,COUNTIF(Tab_fériés[date],A4),0)</f>
        <v>0</v>
      </c>
      <c r="F4">
        <f>IFERROR(IF(SUM(C4:E4)&gt;0,1,0),0)</f>
        <v>0</v>
      </c>
      <c r="I4" t="s">
        <v>213</v>
      </c>
      <c r="O4" s="3">
        <v>37732</v>
      </c>
      <c r="P4">
        <v>2003</v>
      </c>
      <c r="Q4" t="s">
        <v>272</v>
      </c>
      <c r="R4" t="s">
        <v>274</v>
      </c>
    </row>
    <row r="5" spans="1:18">
      <c r="A5" s="3" t="e">
        <f>A4+1</f>
        <v>#VALUE!</v>
      </c>
      <c r="B5" t="e">
        <f t="shared" ref="B5:B68" si="0">WEEKDAY(A5,2)</f>
        <v>#VALUE!</v>
      </c>
      <c r="C5" t="e">
        <f>IF(AND(B5=6,$B$2&lt;&gt;$I$3,$B$2&lt;&gt;$I$5),1,0)</f>
        <v>#VALUE!</v>
      </c>
      <c r="D5" t="e">
        <f t="shared" ref="D5:D68" si="1">IF(AND(B5=7,$B$2&lt;&gt;$I$3),1,0)</f>
        <v>#VALUE!</v>
      </c>
      <c r="E5">
        <f>IF($B$2&lt;&gt;$I$3,COUNTIF(Tab_fériés[date],A5),0)</f>
        <v>0</v>
      </c>
      <c r="F5">
        <f t="shared" ref="F5:F68" si="2">IFERROR(IF(SUM(C5:E5)&gt;0,1,0),0)</f>
        <v>0</v>
      </c>
      <c r="I5" t="s">
        <v>217</v>
      </c>
      <c r="O5" s="3">
        <v>37742</v>
      </c>
      <c r="P5">
        <v>2003</v>
      </c>
      <c r="Q5" t="s">
        <v>272</v>
      </c>
      <c r="R5" t="s">
        <v>275</v>
      </c>
    </row>
    <row r="6" spans="1:18">
      <c r="A6" s="3" t="e">
        <f t="shared" ref="A6:A69" si="3">A5+1</f>
        <v>#VALUE!</v>
      </c>
      <c r="B6" t="e">
        <f t="shared" si="0"/>
        <v>#VALUE!</v>
      </c>
      <c r="C6" t="e">
        <f t="shared" ref="C6:C69" si="4">IF(AND(B6=6,$B$2&lt;&gt;$I$3,$B$2&lt;&gt;$I$5),1,0)</f>
        <v>#VALUE!</v>
      </c>
      <c r="D6" t="e">
        <f t="shared" si="1"/>
        <v>#VALUE!</v>
      </c>
      <c r="E6">
        <f>IF($B$2&lt;&gt;$I$3,COUNTIF(Tab_fériés[date],A6),0)</f>
        <v>0</v>
      </c>
      <c r="F6">
        <f t="shared" si="2"/>
        <v>0</v>
      </c>
      <c r="I6" t="s">
        <v>276</v>
      </c>
      <c r="O6" s="3">
        <v>37749</v>
      </c>
      <c r="P6">
        <v>2003</v>
      </c>
      <c r="Q6" t="s">
        <v>272</v>
      </c>
      <c r="R6" s="145">
        <v>45054</v>
      </c>
    </row>
    <row r="7" spans="1:18">
      <c r="A7" s="3" t="e">
        <f t="shared" si="3"/>
        <v>#VALUE!</v>
      </c>
      <c r="B7" t="e">
        <f t="shared" si="0"/>
        <v>#VALUE!</v>
      </c>
      <c r="C7" t="e">
        <f t="shared" si="4"/>
        <v>#VALUE!</v>
      </c>
      <c r="D7" t="e">
        <f t="shared" si="1"/>
        <v>#VALUE!</v>
      </c>
      <c r="E7">
        <f>IF($B$2&lt;&gt;$I$3,COUNTIF(Tab_fériés[date],A7),0)</f>
        <v>0</v>
      </c>
      <c r="F7">
        <f t="shared" si="2"/>
        <v>0</v>
      </c>
      <c r="I7" t="s">
        <v>277</v>
      </c>
      <c r="O7" s="3">
        <v>37770</v>
      </c>
      <c r="P7">
        <v>2003</v>
      </c>
      <c r="Q7" t="s">
        <v>272</v>
      </c>
      <c r="R7" t="s">
        <v>278</v>
      </c>
    </row>
    <row r="8" spans="1:18">
      <c r="A8" s="3" t="e">
        <f t="shared" si="3"/>
        <v>#VALUE!</v>
      </c>
      <c r="B8" t="e">
        <f t="shared" si="0"/>
        <v>#VALUE!</v>
      </c>
      <c r="C8" t="e">
        <f t="shared" si="4"/>
        <v>#VALUE!</v>
      </c>
      <c r="D8" t="e">
        <f t="shared" si="1"/>
        <v>#VALUE!</v>
      </c>
      <c r="E8">
        <f>IF($B$2&lt;&gt;$I$3,COUNTIF(Tab_fériés[date],A8),0)</f>
        <v>0</v>
      </c>
      <c r="F8">
        <f t="shared" si="2"/>
        <v>0</v>
      </c>
      <c r="O8" s="3">
        <v>37781</v>
      </c>
      <c r="P8">
        <v>2003</v>
      </c>
      <c r="Q8" t="s">
        <v>272</v>
      </c>
      <c r="R8" t="s">
        <v>279</v>
      </c>
    </row>
    <row r="9" spans="1:18">
      <c r="A9" s="3" t="e">
        <f t="shared" si="3"/>
        <v>#VALUE!</v>
      </c>
      <c r="B9" t="e">
        <f t="shared" si="0"/>
        <v>#VALUE!</v>
      </c>
      <c r="C9" t="e">
        <f t="shared" si="4"/>
        <v>#VALUE!</v>
      </c>
      <c r="D9" t="e">
        <f t="shared" si="1"/>
        <v>#VALUE!</v>
      </c>
      <c r="E9">
        <f>IF($B$2&lt;&gt;$I$3,COUNTIF(Tab_fériés[date],A9),0)</f>
        <v>0</v>
      </c>
      <c r="F9">
        <f t="shared" si="2"/>
        <v>0</v>
      </c>
      <c r="O9" s="3">
        <v>37816</v>
      </c>
      <c r="P9">
        <v>2003</v>
      </c>
      <c r="Q9" t="s">
        <v>272</v>
      </c>
      <c r="R9" s="145">
        <v>45121</v>
      </c>
    </row>
    <row r="10" spans="1:18">
      <c r="A10" s="3" t="e">
        <f t="shared" si="3"/>
        <v>#VALUE!</v>
      </c>
      <c r="B10" t="e">
        <f t="shared" si="0"/>
        <v>#VALUE!</v>
      </c>
      <c r="C10" t="e">
        <f t="shared" si="4"/>
        <v>#VALUE!</v>
      </c>
      <c r="D10" t="e">
        <f t="shared" si="1"/>
        <v>#VALUE!</v>
      </c>
      <c r="E10">
        <f>IF($B$2&lt;&gt;$I$3,COUNTIF(Tab_fériés[date],A10),0)</f>
        <v>0</v>
      </c>
      <c r="F10">
        <f t="shared" si="2"/>
        <v>0</v>
      </c>
      <c r="I10" t="s">
        <v>280</v>
      </c>
      <c r="K10">
        <f>SUM(F4:F369)</f>
        <v>0</v>
      </c>
      <c r="O10" s="3">
        <v>37848</v>
      </c>
      <c r="P10">
        <v>2003</v>
      </c>
      <c r="Q10" t="s">
        <v>272</v>
      </c>
      <c r="R10" t="s">
        <v>281</v>
      </c>
    </row>
    <row r="11" spans="1:18">
      <c r="A11" s="3" t="e">
        <f t="shared" si="3"/>
        <v>#VALUE!</v>
      </c>
      <c r="B11" t="e">
        <f t="shared" si="0"/>
        <v>#VALUE!</v>
      </c>
      <c r="C11" t="e">
        <f t="shared" si="4"/>
        <v>#VALUE!</v>
      </c>
      <c r="D11" t="e">
        <f t="shared" si="1"/>
        <v>#VALUE!</v>
      </c>
      <c r="E11">
        <f>IF($B$2&lt;&gt;$I$3,COUNTIF(Tab_fériés[date],A11),0)</f>
        <v>0</v>
      </c>
      <c r="F11">
        <f t="shared" si="2"/>
        <v>0</v>
      </c>
      <c r="O11" s="3">
        <v>37926</v>
      </c>
      <c r="P11">
        <v>2003</v>
      </c>
      <c r="Q11" t="s">
        <v>272</v>
      </c>
      <c r="R11" t="s">
        <v>282</v>
      </c>
    </row>
    <row r="12" spans="1:18">
      <c r="A12" s="3" t="e">
        <f t="shared" si="3"/>
        <v>#VALUE!</v>
      </c>
      <c r="B12" t="e">
        <f t="shared" si="0"/>
        <v>#VALUE!</v>
      </c>
      <c r="C12" t="e">
        <f t="shared" si="4"/>
        <v>#VALUE!</v>
      </c>
      <c r="D12" t="e">
        <f t="shared" si="1"/>
        <v>#VALUE!</v>
      </c>
      <c r="E12">
        <f>IF($B$2&lt;&gt;$I$3,COUNTIF(Tab_fériés[date],A12),0)</f>
        <v>0</v>
      </c>
      <c r="F12">
        <f t="shared" si="2"/>
        <v>0</v>
      </c>
      <c r="O12" s="3">
        <v>37936</v>
      </c>
      <c r="P12">
        <v>2003</v>
      </c>
      <c r="Q12" t="s">
        <v>272</v>
      </c>
      <c r="R12" s="145">
        <v>45241</v>
      </c>
    </row>
    <row r="13" spans="1:18">
      <c r="A13" s="3" t="e">
        <f t="shared" si="3"/>
        <v>#VALUE!</v>
      </c>
      <c r="B13" t="e">
        <f t="shared" si="0"/>
        <v>#VALUE!</v>
      </c>
      <c r="C13" t="e">
        <f t="shared" si="4"/>
        <v>#VALUE!</v>
      </c>
      <c r="D13" t="e">
        <f t="shared" si="1"/>
        <v>#VALUE!</v>
      </c>
      <c r="E13">
        <f>IF($B$2&lt;&gt;$I$3,COUNTIF(Tab_fériés[date],A13),0)</f>
        <v>0</v>
      </c>
      <c r="F13">
        <f t="shared" si="2"/>
        <v>0</v>
      </c>
      <c r="O13" s="3">
        <v>37980</v>
      </c>
      <c r="P13">
        <v>2003</v>
      </c>
      <c r="Q13" t="s">
        <v>272</v>
      </c>
      <c r="R13" t="s">
        <v>283</v>
      </c>
    </row>
    <row r="14" spans="1:18">
      <c r="A14" s="3" t="e">
        <f t="shared" si="3"/>
        <v>#VALUE!</v>
      </c>
      <c r="B14" t="e">
        <f t="shared" si="0"/>
        <v>#VALUE!</v>
      </c>
      <c r="C14" t="e">
        <f t="shared" si="4"/>
        <v>#VALUE!</v>
      </c>
      <c r="D14" t="e">
        <f t="shared" si="1"/>
        <v>#VALUE!</v>
      </c>
      <c r="E14">
        <f>IF($B$2&lt;&gt;$I$3,COUNTIF(Tab_fériés[date],A14),0)</f>
        <v>0</v>
      </c>
      <c r="F14">
        <f t="shared" si="2"/>
        <v>0</v>
      </c>
      <c r="O14" s="3">
        <v>37987</v>
      </c>
      <c r="P14">
        <v>2004</v>
      </c>
      <c r="Q14" t="s">
        <v>272</v>
      </c>
      <c r="R14" t="s">
        <v>273</v>
      </c>
    </row>
    <row r="15" spans="1:18">
      <c r="A15" s="3" t="e">
        <f t="shared" si="3"/>
        <v>#VALUE!</v>
      </c>
      <c r="B15" t="e">
        <f t="shared" si="0"/>
        <v>#VALUE!</v>
      </c>
      <c r="C15" t="e">
        <f t="shared" si="4"/>
        <v>#VALUE!</v>
      </c>
      <c r="D15" t="e">
        <f t="shared" si="1"/>
        <v>#VALUE!</v>
      </c>
      <c r="E15">
        <f>IF($B$2&lt;&gt;$I$3,COUNTIF(Tab_fériés[date],A15),0)</f>
        <v>0</v>
      </c>
      <c r="F15">
        <f t="shared" si="2"/>
        <v>0</v>
      </c>
      <c r="O15" s="3">
        <v>38089</v>
      </c>
      <c r="P15">
        <v>2004</v>
      </c>
      <c r="Q15" t="s">
        <v>272</v>
      </c>
      <c r="R15" t="s">
        <v>274</v>
      </c>
    </row>
    <row r="16" spans="1:18">
      <c r="A16" s="3" t="e">
        <f t="shared" si="3"/>
        <v>#VALUE!</v>
      </c>
      <c r="B16" t="e">
        <f t="shared" si="0"/>
        <v>#VALUE!</v>
      </c>
      <c r="C16" t="e">
        <f t="shared" si="4"/>
        <v>#VALUE!</v>
      </c>
      <c r="D16" t="e">
        <f t="shared" si="1"/>
        <v>#VALUE!</v>
      </c>
      <c r="E16">
        <f>IF($B$2&lt;&gt;$I$3,COUNTIF(Tab_fériés[date],A16),0)</f>
        <v>0</v>
      </c>
      <c r="F16">
        <f t="shared" si="2"/>
        <v>0</v>
      </c>
      <c r="O16" s="3">
        <v>38108</v>
      </c>
      <c r="P16">
        <v>2004</v>
      </c>
      <c r="Q16" t="s">
        <v>272</v>
      </c>
      <c r="R16" t="s">
        <v>275</v>
      </c>
    </row>
    <row r="17" spans="1:18">
      <c r="A17" s="3" t="e">
        <f t="shared" si="3"/>
        <v>#VALUE!</v>
      </c>
      <c r="B17" t="e">
        <f t="shared" si="0"/>
        <v>#VALUE!</v>
      </c>
      <c r="C17" t="e">
        <f t="shared" si="4"/>
        <v>#VALUE!</v>
      </c>
      <c r="D17" t="e">
        <f t="shared" si="1"/>
        <v>#VALUE!</v>
      </c>
      <c r="E17">
        <f>IF($B$2&lt;&gt;$I$3,COUNTIF(Tab_fériés[date],A17),0)</f>
        <v>0</v>
      </c>
      <c r="F17">
        <f t="shared" si="2"/>
        <v>0</v>
      </c>
      <c r="O17" s="3">
        <v>38115</v>
      </c>
      <c r="P17">
        <v>2004</v>
      </c>
      <c r="Q17" t="s">
        <v>272</v>
      </c>
      <c r="R17" s="145">
        <v>45054</v>
      </c>
    </row>
    <row r="18" spans="1:18">
      <c r="A18" s="3" t="e">
        <f t="shared" si="3"/>
        <v>#VALUE!</v>
      </c>
      <c r="B18" t="e">
        <f t="shared" si="0"/>
        <v>#VALUE!</v>
      </c>
      <c r="C18" t="e">
        <f t="shared" si="4"/>
        <v>#VALUE!</v>
      </c>
      <c r="D18" t="e">
        <f t="shared" si="1"/>
        <v>#VALUE!</v>
      </c>
      <c r="E18">
        <f>IF($B$2&lt;&gt;$I$3,COUNTIF(Tab_fériés[date],A18),0)</f>
        <v>0</v>
      </c>
      <c r="F18">
        <f t="shared" si="2"/>
        <v>0</v>
      </c>
      <c r="O18" s="3">
        <v>38127</v>
      </c>
      <c r="P18">
        <v>2004</v>
      </c>
      <c r="Q18" t="s">
        <v>272</v>
      </c>
      <c r="R18" t="s">
        <v>278</v>
      </c>
    </row>
    <row r="19" spans="1:18">
      <c r="A19" s="3" t="e">
        <f t="shared" si="3"/>
        <v>#VALUE!</v>
      </c>
      <c r="B19" t="e">
        <f t="shared" si="0"/>
        <v>#VALUE!</v>
      </c>
      <c r="C19" t="e">
        <f t="shared" si="4"/>
        <v>#VALUE!</v>
      </c>
      <c r="D19" t="e">
        <f t="shared" si="1"/>
        <v>#VALUE!</v>
      </c>
      <c r="E19">
        <f>IF($B$2&lt;&gt;$I$3,COUNTIF(Tab_fériés[date],A19),0)</f>
        <v>0</v>
      </c>
      <c r="F19">
        <f t="shared" si="2"/>
        <v>0</v>
      </c>
      <c r="O19" s="3">
        <v>38138</v>
      </c>
      <c r="P19">
        <v>2004</v>
      </c>
      <c r="Q19" t="s">
        <v>272</v>
      </c>
      <c r="R19" t="s">
        <v>279</v>
      </c>
    </row>
    <row r="20" spans="1:18">
      <c r="A20" s="3" t="e">
        <f t="shared" si="3"/>
        <v>#VALUE!</v>
      </c>
      <c r="B20" t="e">
        <f t="shared" si="0"/>
        <v>#VALUE!</v>
      </c>
      <c r="C20" t="e">
        <f t="shared" si="4"/>
        <v>#VALUE!</v>
      </c>
      <c r="D20" t="e">
        <f t="shared" si="1"/>
        <v>#VALUE!</v>
      </c>
      <c r="E20">
        <f>IF($B$2&lt;&gt;$I$3,COUNTIF(Tab_fériés[date],A20),0)</f>
        <v>0</v>
      </c>
      <c r="F20">
        <f t="shared" si="2"/>
        <v>0</v>
      </c>
      <c r="O20" s="3">
        <v>38182</v>
      </c>
      <c r="P20">
        <v>2004</v>
      </c>
      <c r="Q20" t="s">
        <v>272</v>
      </c>
      <c r="R20" s="145">
        <v>45121</v>
      </c>
    </row>
    <row r="21" spans="1:18">
      <c r="A21" s="3" t="e">
        <f t="shared" si="3"/>
        <v>#VALUE!</v>
      </c>
      <c r="B21" t="e">
        <f t="shared" si="0"/>
        <v>#VALUE!</v>
      </c>
      <c r="C21" t="e">
        <f t="shared" si="4"/>
        <v>#VALUE!</v>
      </c>
      <c r="D21" t="e">
        <f t="shared" si="1"/>
        <v>#VALUE!</v>
      </c>
      <c r="E21">
        <f>IF($B$2&lt;&gt;$I$3,COUNTIF(Tab_fériés[date],A21),0)</f>
        <v>0</v>
      </c>
      <c r="F21">
        <f t="shared" si="2"/>
        <v>0</v>
      </c>
      <c r="O21" s="3">
        <v>38214</v>
      </c>
      <c r="P21">
        <v>2004</v>
      </c>
      <c r="Q21" t="s">
        <v>272</v>
      </c>
      <c r="R21" t="s">
        <v>281</v>
      </c>
    </row>
    <row r="22" spans="1:18">
      <c r="A22" s="3" t="e">
        <f t="shared" si="3"/>
        <v>#VALUE!</v>
      </c>
      <c r="B22" t="e">
        <f t="shared" si="0"/>
        <v>#VALUE!</v>
      </c>
      <c r="C22" t="e">
        <f t="shared" si="4"/>
        <v>#VALUE!</v>
      </c>
      <c r="D22" t="e">
        <f t="shared" si="1"/>
        <v>#VALUE!</v>
      </c>
      <c r="E22">
        <f>IF($B$2&lt;&gt;$I$3,COUNTIF(Tab_fériés[date],A22),0)</f>
        <v>0</v>
      </c>
      <c r="F22">
        <f t="shared" si="2"/>
        <v>0</v>
      </c>
      <c r="O22" s="3">
        <v>38292</v>
      </c>
      <c r="P22">
        <v>2004</v>
      </c>
      <c r="Q22" t="s">
        <v>272</v>
      </c>
      <c r="R22" t="s">
        <v>282</v>
      </c>
    </row>
    <row r="23" spans="1:18">
      <c r="A23" s="3" t="e">
        <f t="shared" si="3"/>
        <v>#VALUE!</v>
      </c>
      <c r="B23" t="e">
        <f t="shared" si="0"/>
        <v>#VALUE!</v>
      </c>
      <c r="C23" t="e">
        <f t="shared" si="4"/>
        <v>#VALUE!</v>
      </c>
      <c r="D23" t="e">
        <f t="shared" si="1"/>
        <v>#VALUE!</v>
      </c>
      <c r="E23">
        <f>IF($B$2&lt;&gt;$I$3,COUNTIF(Tab_fériés[date],A23),0)</f>
        <v>0</v>
      </c>
      <c r="F23">
        <f t="shared" si="2"/>
        <v>0</v>
      </c>
      <c r="O23" s="3">
        <v>38302</v>
      </c>
      <c r="P23">
        <v>2004</v>
      </c>
      <c r="Q23" t="s">
        <v>272</v>
      </c>
      <c r="R23" s="145">
        <v>45241</v>
      </c>
    </row>
    <row r="24" spans="1:18">
      <c r="A24" s="3" t="e">
        <f t="shared" si="3"/>
        <v>#VALUE!</v>
      </c>
      <c r="B24" t="e">
        <f t="shared" si="0"/>
        <v>#VALUE!</v>
      </c>
      <c r="C24" t="e">
        <f t="shared" si="4"/>
        <v>#VALUE!</v>
      </c>
      <c r="D24" t="e">
        <f t="shared" si="1"/>
        <v>#VALUE!</v>
      </c>
      <c r="E24">
        <f>IF($B$2&lt;&gt;$I$3,COUNTIF(Tab_fériés[date],A24),0)</f>
        <v>0</v>
      </c>
      <c r="F24">
        <f t="shared" si="2"/>
        <v>0</v>
      </c>
      <c r="O24" s="3">
        <v>38346</v>
      </c>
      <c r="P24">
        <v>2004</v>
      </c>
      <c r="Q24" t="s">
        <v>272</v>
      </c>
      <c r="R24" t="s">
        <v>283</v>
      </c>
    </row>
    <row r="25" spans="1:18">
      <c r="A25" s="3" t="e">
        <f t="shared" si="3"/>
        <v>#VALUE!</v>
      </c>
      <c r="B25" t="e">
        <f t="shared" si="0"/>
        <v>#VALUE!</v>
      </c>
      <c r="C25" t="e">
        <f t="shared" si="4"/>
        <v>#VALUE!</v>
      </c>
      <c r="D25" t="e">
        <f t="shared" si="1"/>
        <v>#VALUE!</v>
      </c>
      <c r="E25">
        <f>IF($B$2&lt;&gt;$I$3,COUNTIF(Tab_fériés[date],A25),0)</f>
        <v>0</v>
      </c>
      <c r="F25">
        <f t="shared" si="2"/>
        <v>0</v>
      </c>
      <c r="O25" s="3">
        <v>38353</v>
      </c>
      <c r="P25">
        <v>2005</v>
      </c>
      <c r="Q25" t="s">
        <v>272</v>
      </c>
      <c r="R25" t="s">
        <v>273</v>
      </c>
    </row>
    <row r="26" spans="1:18">
      <c r="A26" s="3" t="e">
        <f t="shared" si="3"/>
        <v>#VALUE!</v>
      </c>
      <c r="B26" t="e">
        <f t="shared" si="0"/>
        <v>#VALUE!</v>
      </c>
      <c r="C26" t="e">
        <f t="shared" si="4"/>
        <v>#VALUE!</v>
      </c>
      <c r="D26" t="e">
        <f t="shared" si="1"/>
        <v>#VALUE!</v>
      </c>
      <c r="E26">
        <f>IF($B$2&lt;&gt;$I$3,COUNTIF(Tab_fériés[date],A26),0)</f>
        <v>0</v>
      </c>
      <c r="F26">
        <f t="shared" si="2"/>
        <v>0</v>
      </c>
      <c r="O26" s="3">
        <v>38439</v>
      </c>
      <c r="P26">
        <v>2005</v>
      </c>
      <c r="Q26" t="s">
        <v>272</v>
      </c>
      <c r="R26" t="s">
        <v>274</v>
      </c>
    </row>
    <row r="27" spans="1:18">
      <c r="A27" s="3" t="e">
        <f t="shared" si="3"/>
        <v>#VALUE!</v>
      </c>
      <c r="B27" t="e">
        <f t="shared" si="0"/>
        <v>#VALUE!</v>
      </c>
      <c r="C27" t="e">
        <f t="shared" si="4"/>
        <v>#VALUE!</v>
      </c>
      <c r="D27" t="e">
        <f t="shared" si="1"/>
        <v>#VALUE!</v>
      </c>
      <c r="E27">
        <f>IF($B$2&lt;&gt;$I$3,COUNTIF(Tab_fériés[date],A27),0)</f>
        <v>0</v>
      </c>
      <c r="F27">
        <f t="shared" si="2"/>
        <v>0</v>
      </c>
      <c r="O27" s="3">
        <v>38473</v>
      </c>
      <c r="P27">
        <v>2005</v>
      </c>
      <c r="Q27" t="s">
        <v>272</v>
      </c>
      <c r="R27" t="s">
        <v>275</v>
      </c>
    </row>
    <row r="28" spans="1:18">
      <c r="A28" s="3" t="e">
        <f t="shared" si="3"/>
        <v>#VALUE!</v>
      </c>
      <c r="B28" t="e">
        <f t="shared" si="0"/>
        <v>#VALUE!</v>
      </c>
      <c r="C28" t="e">
        <f t="shared" si="4"/>
        <v>#VALUE!</v>
      </c>
      <c r="D28" t="e">
        <f t="shared" si="1"/>
        <v>#VALUE!</v>
      </c>
      <c r="E28">
        <f>IF($B$2&lt;&gt;$I$3,COUNTIF(Tab_fériés[date],A28),0)</f>
        <v>0</v>
      </c>
      <c r="F28">
        <f t="shared" si="2"/>
        <v>0</v>
      </c>
      <c r="O28" s="3">
        <v>38477</v>
      </c>
      <c r="P28">
        <v>2005</v>
      </c>
      <c r="Q28" t="s">
        <v>272</v>
      </c>
      <c r="R28" t="s">
        <v>278</v>
      </c>
    </row>
    <row r="29" spans="1:18">
      <c r="A29" s="3" t="e">
        <f t="shared" si="3"/>
        <v>#VALUE!</v>
      </c>
      <c r="B29" t="e">
        <f t="shared" si="0"/>
        <v>#VALUE!</v>
      </c>
      <c r="C29" t="e">
        <f t="shared" si="4"/>
        <v>#VALUE!</v>
      </c>
      <c r="D29" t="e">
        <f t="shared" si="1"/>
        <v>#VALUE!</v>
      </c>
      <c r="E29">
        <f>IF($B$2&lt;&gt;$I$3,COUNTIF(Tab_fériés[date],A29),0)</f>
        <v>0</v>
      </c>
      <c r="F29">
        <f t="shared" si="2"/>
        <v>0</v>
      </c>
      <c r="O29" s="3">
        <v>38480</v>
      </c>
      <c r="P29">
        <v>2005</v>
      </c>
      <c r="Q29" t="s">
        <v>272</v>
      </c>
      <c r="R29" s="145">
        <v>45054</v>
      </c>
    </row>
    <row r="30" spans="1:18">
      <c r="A30" s="3" t="e">
        <f t="shared" si="3"/>
        <v>#VALUE!</v>
      </c>
      <c r="B30" t="e">
        <f t="shared" si="0"/>
        <v>#VALUE!</v>
      </c>
      <c r="C30" t="e">
        <f t="shared" si="4"/>
        <v>#VALUE!</v>
      </c>
      <c r="D30" t="e">
        <f t="shared" si="1"/>
        <v>#VALUE!</v>
      </c>
      <c r="E30">
        <f>IF($B$2&lt;&gt;$I$3,COUNTIF(Tab_fériés[date],A30),0)</f>
        <v>0</v>
      </c>
      <c r="F30">
        <f t="shared" si="2"/>
        <v>0</v>
      </c>
      <c r="O30" s="3">
        <v>38488</v>
      </c>
      <c r="P30">
        <v>2005</v>
      </c>
      <c r="Q30" t="s">
        <v>272</v>
      </c>
      <c r="R30" t="s">
        <v>279</v>
      </c>
    </row>
    <row r="31" spans="1:18">
      <c r="A31" s="3" t="e">
        <f t="shared" si="3"/>
        <v>#VALUE!</v>
      </c>
      <c r="B31" t="e">
        <f t="shared" si="0"/>
        <v>#VALUE!</v>
      </c>
      <c r="C31" t="e">
        <f t="shared" si="4"/>
        <v>#VALUE!</v>
      </c>
      <c r="D31" t="e">
        <f t="shared" si="1"/>
        <v>#VALUE!</v>
      </c>
      <c r="E31">
        <f>IF($B$2&lt;&gt;$I$3,COUNTIF(Tab_fériés[date],A31),0)</f>
        <v>0</v>
      </c>
      <c r="F31">
        <f t="shared" si="2"/>
        <v>0</v>
      </c>
      <c r="O31" s="3">
        <v>38547</v>
      </c>
      <c r="P31">
        <v>2005</v>
      </c>
      <c r="Q31" t="s">
        <v>272</v>
      </c>
      <c r="R31" s="145">
        <v>45121</v>
      </c>
    </row>
    <row r="32" spans="1:18">
      <c r="A32" s="3" t="e">
        <f t="shared" si="3"/>
        <v>#VALUE!</v>
      </c>
      <c r="B32" t="e">
        <f t="shared" si="0"/>
        <v>#VALUE!</v>
      </c>
      <c r="C32" t="e">
        <f t="shared" si="4"/>
        <v>#VALUE!</v>
      </c>
      <c r="D32" t="e">
        <f t="shared" si="1"/>
        <v>#VALUE!</v>
      </c>
      <c r="E32">
        <f>IF($B$2&lt;&gt;$I$3,COUNTIF(Tab_fériés[date],A32),0)</f>
        <v>0</v>
      </c>
      <c r="F32">
        <f t="shared" si="2"/>
        <v>0</v>
      </c>
      <c r="O32" s="3">
        <v>38579</v>
      </c>
      <c r="P32">
        <v>2005</v>
      </c>
      <c r="Q32" t="s">
        <v>272</v>
      </c>
      <c r="R32" t="s">
        <v>281</v>
      </c>
    </row>
    <row r="33" spans="1:18">
      <c r="A33" s="3" t="e">
        <f t="shared" si="3"/>
        <v>#VALUE!</v>
      </c>
      <c r="B33" t="e">
        <f t="shared" si="0"/>
        <v>#VALUE!</v>
      </c>
      <c r="C33" t="e">
        <f t="shared" si="4"/>
        <v>#VALUE!</v>
      </c>
      <c r="D33" t="e">
        <f t="shared" si="1"/>
        <v>#VALUE!</v>
      </c>
      <c r="E33">
        <f>IF($B$2&lt;&gt;$I$3,COUNTIF(Tab_fériés[date],A33),0)</f>
        <v>0</v>
      </c>
      <c r="F33">
        <f t="shared" si="2"/>
        <v>0</v>
      </c>
      <c r="O33" s="3">
        <v>38657</v>
      </c>
      <c r="P33">
        <v>2005</v>
      </c>
      <c r="Q33" t="s">
        <v>272</v>
      </c>
      <c r="R33" t="s">
        <v>282</v>
      </c>
    </row>
    <row r="34" spans="1:18">
      <c r="A34" s="3" t="e">
        <f t="shared" si="3"/>
        <v>#VALUE!</v>
      </c>
      <c r="B34" t="e">
        <f t="shared" si="0"/>
        <v>#VALUE!</v>
      </c>
      <c r="C34" t="e">
        <f t="shared" si="4"/>
        <v>#VALUE!</v>
      </c>
      <c r="D34" t="e">
        <f t="shared" si="1"/>
        <v>#VALUE!</v>
      </c>
      <c r="E34">
        <f>IF($B$2&lt;&gt;$I$3,COUNTIF(Tab_fériés[date],A34),0)</f>
        <v>0</v>
      </c>
      <c r="F34">
        <f t="shared" si="2"/>
        <v>0</v>
      </c>
      <c r="O34" s="3">
        <v>38667</v>
      </c>
      <c r="P34">
        <v>2005</v>
      </c>
      <c r="Q34" t="s">
        <v>272</v>
      </c>
      <c r="R34" s="145">
        <v>45241</v>
      </c>
    </row>
    <row r="35" spans="1:18">
      <c r="A35" s="3" t="e">
        <f t="shared" si="3"/>
        <v>#VALUE!</v>
      </c>
      <c r="B35" t="e">
        <f t="shared" si="0"/>
        <v>#VALUE!</v>
      </c>
      <c r="C35" t="e">
        <f t="shared" si="4"/>
        <v>#VALUE!</v>
      </c>
      <c r="D35" t="e">
        <f t="shared" si="1"/>
        <v>#VALUE!</v>
      </c>
      <c r="E35">
        <f>IF($B$2&lt;&gt;$I$3,COUNTIF(Tab_fériés[date],A35),0)</f>
        <v>0</v>
      </c>
      <c r="F35">
        <f t="shared" si="2"/>
        <v>0</v>
      </c>
      <c r="O35" s="3">
        <v>38711</v>
      </c>
      <c r="P35">
        <v>2005</v>
      </c>
      <c r="Q35" t="s">
        <v>272</v>
      </c>
      <c r="R35" t="s">
        <v>283</v>
      </c>
    </row>
    <row r="36" spans="1:18">
      <c r="A36" s="3" t="e">
        <f t="shared" si="3"/>
        <v>#VALUE!</v>
      </c>
      <c r="B36" t="e">
        <f t="shared" si="0"/>
        <v>#VALUE!</v>
      </c>
      <c r="C36" t="e">
        <f t="shared" si="4"/>
        <v>#VALUE!</v>
      </c>
      <c r="D36" t="e">
        <f t="shared" si="1"/>
        <v>#VALUE!</v>
      </c>
      <c r="E36">
        <f>IF($B$2&lt;&gt;$I$3,COUNTIF(Tab_fériés[date],A36),0)</f>
        <v>0</v>
      </c>
      <c r="F36">
        <f t="shared" si="2"/>
        <v>0</v>
      </c>
      <c r="O36" s="3">
        <v>38718</v>
      </c>
      <c r="P36">
        <v>2006</v>
      </c>
      <c r="Q36" t="s">
        <v>272</v>
      </c>
      <c r="R36" t="s">
        <v>273</v>
      </c>
    </row>
    <row r="37" spans="1:18">
      <c r="A37" s="3" t="e">
        <f t="shared" si="3"/>
        <v>#VALUE!</v>
      </c>
      <c r="B37" t="e">
        <f t="shared" si="0"/>
        <v>#VALUE!</v>
      </c>
      <c r="C37" t="e">
        <f t="shared" si="4"/>
        <v>#VALUE!</v>
      </c>
      <c r="D37" t="e">
        <f t="shared" si="1"/>
        <v>#VALUE!</v>
      </c>
      <c r="E37">
        <f>IF($B$2&lt;&gt;$I$3,COUNTIF(Tab_fériés[date],A37),0)</f>
        <v>0</v>
      </c>
      <c r="F37">
        <f t="shared" si="2"/>
        <v>0</v>
      </c>
      <c r="O37" s="3">
        <v>38824</v>
      </c>
      <c r="P37">
        <v>2006</v>
      </c>
      <c r="Q37" t="s">
        <v>272</v>
      </c>
      <c r="R37" t="s">
        <v>274</v>
      </c>
    </row>
    <row r="38" spans="1:18">
      <c r="A38" s="3" t="e">
        <f t="shared" si="3"/>
        <v>#VALUE!</v>
      </c>
      <c r="B38" t="e">
        <f t="shared" si="0"/>
        <v>#VALUE!</v>
      </c>
      <c r="C38" t="e">
        <f t="shared" si="4"/>
        <v>#VALUE!</v>
      </c>
      <c r="D38" t="e">
        <f t="shared" si="1"/>
        <v>#VALUE!</v>
      </c>
      <c r="E38">
        <f>IF($B$2&lt;&gt;$I$3,COUNTIF(Tab_fériés[date],A38),0)</f>
        <v>0</v>
      </c>
      <c r="F38">
        <f t="shared" si="2"/>
        <v>0</v>
      </c>
      <c r="O38" s="3">
        <v>38838</v>
      </c>
      <c r="P38">
        <v>2006</v>
      </c>
      <c r="Q38" t="s">
        <v>272</v>
      </c>
      <c r="R38" t="s">
        <v>275</v>
      </c>
    </row>
    <row r="39" spans="1:18">
      <c r="A39" s="3" t="e">
        <f t="shared" si="3"/>
        <v>#VALUE!</v>
      </c>
      <c r="B39" t="e">
        <f t="shared" si="0"/>
        <v>#VALUE!</v>
      </c>
      <c r="C39" t="e">
        <f t="shared" si="4"/>
        <v>#VALUE!</v>
      </c>
      <c r="D39" t="e">
        <f t="shared" si="1"/>
        <v>#VALUE!</v>
      </c>
      <c r="E39">
        <f>IF($B$2&lt;&gt;$I$3,COUNTIF(Tab_fériés[date],A39),0)</f>
        <v>0</v>
      </c>
      <c r="F39">
        <f t="shared" si="2"/>
        <v>0</v>
      </c>
      <c r="O39" s="3">
        <v>38845</v>
      </c>
      <c r="P39">
        <v>2006</v>
      </c>
      <c r="Q39" t="s">
        <v>272</v>
      </c>
      <c r="R39" s="145">
        <v>45054</v>
      </c>
    </row>
    <row r="40" spans="1:18">
      <c r="A40" s="3" t="e">
        <f t="shared" si="3"/>
        <v>#VALUE!</v>
      </c>
      <c r="B40" t="e">
        <f t="shared" si="0"/>
        <v>#VALUE!</v>
      </c>
      <c r="C40" t="e">
        <f t="shared" si="4"/>
        <v>#VALUE!</v>
      </c>
      <c r="D40" t="e">
        <f t="shared" si="1"/>
        <v>#VALUE!</v>
      </c>
      <c r="E40">
        <f>IF($B$2&lt;&gt;$I$3,COUNTIF(Tab_fériés[date],A40),0)</f>
        <v>0</v>
      </c>
      <c r="F40">
        <f t="shared" si="2"/>
        <v>0</v>
      </c>
      <c r="O40" s="3">
        <v>38862</v>
      </c>
      <c r="P40">
        <v>2006</v>
      </c>
      <c r="Q40" t="s">
        <v>272</v>
      </c>
      <c r="R40" t="s">
        <v>278</v>
      </c>
    </row>
    <row r="41" spans="1:18">
      <c r="A41" s="3" t="e">
        <f t="shared" si="3"/>
        <v>#VALUE!</v>
      </c>
      <c r="B41" t="e">
        <f t="shared" si="0"/>
        <v>#VALUE!</v>
      </c>
      <c r="C41" t="e">
        <f t="shared" si="4"/>
        <v>#VALUE!</v>
      </c>
      <c r="D41" t="e">
        <f t="shared" si="1"/>
        <v>#VALUE!</v>
      </c>
      <c r="E41">
        <f>IF($B$2&lt;&gt;$I$3,COUNTIF(Tab_fériés[date],A41),0)</f>
        <v>0</v>
      </c>
      <c r="F41">
        <f t="shared" si="2"/>
        <v>0</v>
      </c>
      <c r="O41" s="3">
        <v>38873</v>
      </c>
      <c r="P41">
        <v>2006</v>
      </c>
      <c r="Q41" t="s">
        <v>272</v>
      </c>
      <c r="R41" t="s">
        <v>279</v>
      </c>
    </row>
    <row r="42" spans="1:18">
      <c r="A42" s="3" t="e">
        <f t="shared" si="3"/>
        <v>#VALUE!</v>
      </c>
      <c r="B42" t="e">
        <f t="shared" si="0"/>
        <v>#VALUE!</v>
      </c>
      <c r="C42" t="e">
        <f t="shared" si="4"/>
        <v>#VALUE!</v>
      </c>
      <c r="D42" t="e">
        <f t="shared" si="1"/>
        <v>#VALUE!</v>
      </c>
      <c r="E42">
        <f>IF($B$2&lt;&gt;$I$3,COUNTIF(Tab_fériés[date],A42),0)</f>
        <v>0</v>
      </c>
      <c r="F42">
        <f t="shared" si="2"/>
        <v>0</v>
      </c>
      <c r="O42" s="3">
        <v>38912</v>
      </c>
      <c r="P42">
        <v>2006</v>
      </c>
      <c r="Q42" t="s">
        <v>272</v>
      </c>
      <c r="R42" s="145">
        <v>45121</v>
      </c>
    </row>
    <row r="43" spans="1:18">
      <c r="A43" s="3" t="e">
        <f t="shared" si="3"/>
        <v>#VALUE!</v>
      </c>
      <c r="B43" t="e">
        <f t="shared" si="0"/>
        <v>#VALUE!</v>
      </c>
      <c r="C43" t="e">
        <f t="shared" si="4"/>
        <v>#VALUE!</v>
      </c>
      <c r="D43" t="e">
        <f t="shared" si="1"/>
        <v>#VALUE!</v>
      </c>
      <c r="E43">
        <f>IF($B$2&lt;&gt;$I$3,COUNTIF(Tab_fériés[date],A43),0)</f>
        <v>0</v>
      </c>
      <c r="F43">
        <f t="shared" si="2"/>
        <v>0</v>
      </c>
      <c r="O43" s="3">
        <v>38944</v>
      </c>
      <c r="P43">
        <v>2006</v>
      </c>
      <c r="Q43" t="s">
        <v>272</v>
      </c>
      <c r="R43" t="s">
        <v>281</v>
      </c>
    </row>
    <row r="44" spans="1:18">
      <c r="A44" s="3" t="e">
        <f t="shared" si="3"/>
        <v>#VALUE!</v>
      </c>
      <c r="B44" t="e">
        <f t="shared" si="0"/>
        <v>#VALUE!</v>
      </c>
      <c r="C44" t="e">
        <f t="shared" si="4"/>
        <v>#VALUE!</v>
      </c>
      <c r="D44" t="e">
        <f t="shared" si="1"/>
        <v>#VALUE!</v>
      </c>
      <c r="E44">
        <f>IF($B$2&lt;&gt;$I$3,COUNTIF(Tab_fériés[date],A44),0)</f>
        <v>0</v>
      </c>
      <c r="F44">
        <f t="shared" si="2"/>
        <v>0</v>
      </c>
      <c r="O44" s="3">
        <v>39022</v>
      </c>
      <c r="P44">
        <v>2006</v>
      </c>
      <c r="Q44" t="s">
        <v>272</v>
      </c>
      <c r="R44" t="s">
        <v>282</v>
      </c>
    </row>
    <row r="45" spans="1:18">
      <c r="A45" s="3" t="e">
        <f t="shared" si="3"/>
        <v>#VALUE!</v>
      </c>
      <c r="B45" t="e">
        <f t="shared" si="0"/>
        <v>#VALUE!</v>
      </c>
      <c r="C45" t="e">
        <f t="shared" si="4"/>
        <v>#VALUE!</v>
      </c>
      <c r="D45" t="e">
        <f t="shared" si="1"/>
        <v>#VALUE!</v>
      </c>
      <c r="E45">
        <f>IF($B$2&lt;&gt;$I$3,COUNTIF(Tab_fériés[date],A45),0)</f>
        <v>0</v>
      </c>
      <c r="F45">
        <f t="shared" si="2"/>
        <v>0</v>
      </c>
      <c r="O45" s="3">
        <v>39032</v>
      </c>
      <c r="P45">
        <v>2006</v>
      </c>
      <c r="Q45" t="s">
        <v>272</v>
      </c>
      <c r="R45" s="145">
        <v>45241</v>
      </c>
    </row>
    <row r="46" spans="1:18">
      <c r="A46" s="3" t="e">
        <f t="shared" si="3"/>
        <v>#VALUE!</v>
      </c>
      <c r="B46" t="e">
        <f t="shared" si="0"/>
        <v>#VALUE!</v>
      </c>
      <c r="C46" t="e">
        <f t="shared" si="4"/>
        <v>#VALUE!</v>
      </c>
      <c r="D46" t="e">
        <f t="shared" si="1"/>
        <v>#VALUE!</v>
      </c>
      <c r="E46">
        <f>IF($B$2&lt;&gt;$I$3,COUNTIF(Tab_fériés[date],A46),0)</f>
        <v>0</v>
      </c>
      <c r="F46">
        <f t="shared" si="2"/>
        <v>0</v>
      </c>
      <c r="O46" s="3">
        <v>39076</v>
      </c>
      <c r="P46">
        <v>2006</v>
      </c>
      <c r="Q46" t="s">
        <v>272</v>
      </c>
      <c r="R46" t="s">
        <v>283</v>
      </c>
    </row>
    <row r="47" spans="1:18">
      <c r="A47" s="3" t="e">
        <f t="shared" si="3"/>
        <v>#VALUE!</v>
      </c>
      <c r="B47" t="e">
        <f t="shared" si="0"/>
        <v>#VALUE!</v>
      </c>
      <c r="C47" t="e">
        <f t="shared" si="4"/>
        <v>#VALUE!</v>
      </c>
      <c r="D47" t="e">
        <f t="shared" si="1"/>
        <v>#VALUE!</v>
      </c>
      <c r="E47">
        <f>IF($B$2&lt;&gt;$I$3,COUNTIF(Tab_fériés[date],A47),0)</f>
        <v>0</v>
      </c>
      <c r="F47">
        <f t="shared" si="2"/>
        <v>0</v>
      </c>
      <c r="O47" s="3">
        <v>39083</v>
      </c>
      <c r="P47">
        <v>2007</v>
      </c>
      <c r="Q47" t="s">
        <v>272</v>
      </c>
      <c r="R47" t="s">
        <v>273</v>
      </c>
    </row>
    <row r="48" spans="1:18">
      <c r="A48" s="3" t="e">
        <f t="shared" si="3"/>
        <v>#VALUE!</v>
      </c>
      <c r="B48" t="e">
        <f t="shared" si="0"/>
        <v>#VALUE!</v>
      </c>
      <c r="C48" t="e">
        <f t="shared" si="4"/>
        <v>#VALUE!</v>
      </c>
      <c r="D48" t="e">
        <f t="shared" si="1"/>
        <v>#VALUE!</v>
      </c>
      <c r="E48">
        <f>IF($B$2&lt;&gt;$I$3,COUNTIF(Tab_fériés[date],A48),0)</f>
        <v>0</v>
      </c>
      <c r="F48">
        <f t="shared" si="2"/>
        <v>0</v>
      </c>
      <c r="O48" s="3">
        <v>39181</v>
      </c>
      <c r="P48">
        <v>2007</v>
      </c>
      <c r="Q48" t="s">
        <v>272</v>
      </c>
      <c r="R48" t="s">
        <v>274</v>
      </c>
    </row>
    <row r="49" spans="1:18">
      <c r="A49" s="3" t="e">
        <f t="shared" si="3"/>
        <v>#VALUE!</v>
      </c>
      <c r="B49" t="e">
        <f t="shared" si="0"/>
        <v>#VALUE!</v>
      </c>
      <c r="C49" t="e">
        <f t="shared" si="4"/>
        <v>#VALUE!</v>
      </c>
      <c r="D49" t="e">
        <f t="shared" si="1"/>
        <v>#VALUE!</v>
      </c>
      <c r="E49">
        <f>IF($B$2&lt;&gt;$I$3,COUNTIF(Tab_fériés[date],A49),0)</f>
        <v>0</v>
      </c>
      <c r="F49">
        <f t="shared" si="2"/>
        <v>0</v>
      </c>
      <c r="O49" s="3">
        <v>39203</v>
      </c>
      <c r="P49">
        <v>2007</v>
      </c>
      <c r="Q49" t="s">
        <v>272</v>
      </c>
      <c r="R49" t="s">
        <v>275</v>
      </c>
    </row>
    <row r="50" spans="1:18">
      <c r="A50" s="3" t="e">
        <f t="shared" si="3"/>
        <v>#VALUE!</v>
      </c>
      <c r="B50" t="e">
        <f t="shared" si="0"/>
        <v>#VALUE!</v>
      </c>
      <c r="C50" t="e">
        <f t="shared" si="4"/>
        <v>#VALUE!</v>
      </c>
      <c r="D50" t="e">
        <f t="shared" si="1"/>
        <v>#VALUE!</v>
      </c>
      <c r="E50">
        <f>IF($B$2&lt;&gt;$I$3,COUNTIF(Tab_fériés[date],A50),0)</f>
        <v>0</v>
      </c>
      <c r="F50">
        <f t="shared" si="2"/>
        <v>0</v>
      </c>
      <c r="O50" s="3">
        <v>39210</v>
      </c>
      <c r="P50">
        <v>2007</v>
      </c>
      <c r="Q50" t="s">
        <v>272</v>
      </c>
      <c r="R50" s="145">
        <v>45054</v>
      </c>
    </row>
    <row r="51" spans="1:18">
      <c r="A51" s="3" t="e">
        <f t="shared" si="3"/>
        <v>#VALUE!</v>
      </c>
      <c r="B51" t="e">
        <f t="shared" si="0"/>
        <v>#VALUE!</v>
      </c>
      <c r="C51" t="e">
        <f t="shared" si="4"/>
        <v>#VALUE!</v>
      </c>
      <c r="D51" t="e">
        <f t="shared" si="1"/>
        <v>#VALUE!</v>
      </c>
      <c r="E51">
        <f>IF($B$2&lt;&gt;$I$3,COUNTIF(Tab_fériés[date],A51),0)</f>
        <v>0</v>
      </c>
      <c r="F51">
        <f t="shared" si="2"/>
        <v>0</v>
      </c>
      <c r="O51" s="3">
        <v>39219</v>
      </c>
      <c r="P51">
        <v>2007</v>
      </c>
      <c r="Q51" t="s">
        <v>272</v>
      </c>
      <c r="R51" t="s">
        <v>278</v>
      </c>
    </row>
    <row r="52" spans="1:18">
      <c r="A52" s="3" t="e">
        <f t="shared" si="3"/>
        <v>#VALUE!</v>
      </c>
      <c r="B52" t="e">
        <f t="shared" si="0"/>
        <v>#VALUE!</v>
      </c>
      <c r="C52" t="e">
        <f t="shared" si="4"/>
        <v>#VALUE!</v>
      </c>
      <c r="D52" t="e">
        <f t="shared" si="1"/>
        <v>#VALUE!</v>
      </c>
      <c r="E52">
        <f>IF($B$2&lt;&gt;$I$3,COUNTIF(Tab_fériés[date],A52),0)</f>
        <v>0</v>
      </c>
      <c r="F52">
        <f t="shared" si="2"/>
        <v>0</v>
      </c>
      <c r="O52" s="3">
        <v>39230</v>
      </c>
      <c r="P52">
        <v>2007</v>
      </c>
      <c r="Q52" t="s">
        <v>272</v>
      </c>
      <c r="R52" t="s">
        <v>279</v>
      </c>
    </row>
    <row r="53" spans="1:18">
      <c r="A53" s="3" t="e">
        <f t="shared" si="3"/>
        <v>#VALUE!</v>
      </c>
      <c r="B53" t="e">
        <f t="shared" si="0"/>
        <v>#VALUE!</v>
      </c>
      <c r="C53" t="e">
        <f t="shared" si="4"/>
        <v>#VALUE!</v>
      </c>
      <c r="D53" t="e">
        <f t="shared" si="1"/>
        <v>#VALUE!</v>
      </c>
      <c r="E53">
        <f>IF($B$2&lt;&gt;$I$3,COUNTIF(Tab_fériés[date],A53),0)</f>
        <v>0</v>
      </c>
      <c r="F53">
        <f t="shared" si="2"/>
        <v>0</v>
      </c>
      <c r="O53" s="3">
        <v>39277</v>
      </c>
      <c r="P53">
        <v>2007</v>
      </c>
      <c r="Q53" t="s">
        <v>272</v>
      </c>
      <c r="R53" s="145">
        <v>45121</v>
      </c>
    </row>
    <row r="54" spans="1:18">
      <c r="A54" s="3" t="e">
        <f t="shared" si="3"/>
        <v>#VALUE!</v>
      </c>
      <c r="B54" t="e">
        <f t="shared" si="0"/>
        <v>#VALUE!</v>
      </c>
      <c r="C54" t="e">
        <f t="shared" si="4"/>
        <v>#VALUE!</v>
      </c>
      <c r="D54" t="e">
        <f t="shared" si="1"/>
        <v>#VALUE!</v>
      </c>
      <c r="E54">
        <f>IF($B$2&lt;&gt;$I$3,COUNTIF(Tab_fériés[date],A54),0)</f>
        <v>0</v>
      </c>
      <c r="F54">
        <f t="shared" si="2"/>
        <v>0</v>
      </c>
      <c r="O54" s="3">
        <v>39309</v>
      </c>
      <c r="P54">
        <v>2007</v>
      </c>
      <c r="Q54" t="s">
        <v>272</v>
      </c>
      <c r="R54" t="s">
        <v>281</v>
      </c>
    </row>
    <row r="55" spans="1:18">
      <c r="A55" s="3" t="e">
        <f t="shared" si="3"/>
        <v>#VALUE!</v>
      </c>
      <c r="B55" t="e">
        <f t="shared" si="0"/>
        <v>#VALUE!</v>
      </c>
      <c r="C55" t="e">
        <f t="shared" si="4"/>
        <v>#VALUE!</v>
      </c>
      <c r="D55" t="e">
        <f t="shared" si="1"/>
        <v>#VALUE!</v>
      </c>
      <c r="E55">
        <f>IF($B$2&lt;&gt;$I$3,COUNTIF(Tab_fériés[date],A55),0)</f>
        <v>0</v>
      </c>
      <c r="F55">
        <f t="shared" si="2"/>
        <v>0</v>
      </c>
      <c r="O55" s="3">
        <v>39387</v>
      </c>
      <c r="P55">
        <v>2007</v>
      </c>
      <c r="Q55" t="s">
        <v>272</v>
      </c>
      <c r="R55" t="s">
        <v>282</v>
      </c>
    </row>
    <row r="56" spans="1:18">
      <c r="A56" s="3" t="e">
        <f t="shared" si="3"/>
        <v>#VALUE!</v>
      </c>
      <c r="B56" t="e">
        <f t="shared" si="0"/>
        <v>#VALUE!</v>
      </c>
      <c r="C56" t="e">
        <f t="shared" si="4"/>
        <v>#VALUE!</v>
      </c>
      <c r="D56" t="e">
        <f t="shared" si="1"/>
        <v>#VALUE!</v>
      </c>
      <c r="E56">
        <f>IF($B$2&lt;&gt;$I$3,COUNTIF(Tab_fériés[date],A56),0)</f>
        <v>0</v>
      </c>
      <c r="F56">
        <f t="shared" si="2"/>
        <v>0</v>
      </c>
      <c r="O56" s="3">
        <v>39397</v>
      </c>
      <c r="P56">
        <v>2007</v>
      </c>
      <c r="Q56" t="s">
        <v>272</v>
      </c>
      <c r="R56" s="145">
        <v>45241</v>
      </c>
    </row>
    <row r="57" spans="1:18">
      <c r="A57" s="3" t="e">
        <f t="shared" si="3"/>
        <v>#VALUE!</v>
      </c>
      <c r="B57" t="e">
        <f t="shared" si="0"/>
        <v>#VALUE!</v>
      </c>
      <c r="C57" t="e">
        <f t="shared" si="4"/>
        <v>#VALUE!</v>
      </c>
      <c r="D57" t="e">
        <f t="shared" si="1"/>
        <v>#VALUE!</v>
      </c>
      <c r="E57">
        <f>IF($B$2&lt;&gt;$I$3,COUNTIF(Tab_fériés[date],A57),0)</f>
        <v>0</v>
      </c>
      <c r="F57">
        <f t="shared" si="2"/>
        <v>0</v>
      </c>
      <c r="O57" s="3">
        <v>39441</v>
      </c>
      <c r="P57">
        <v>2007</v>
      </c>
      <c r="Q57" t="s">
        <v>272</v>
      </c>
      <c r="R57" t="s">
        <v>283</v>
      </c>
    </row>
    <row r="58" spans="1:18">
      <c r="A58" s="3" t="e">
        <f t="shared" si="3"/>
        <v>#VALUE!</v>
      </c>
      <c r="B58" t="e">
        <f t="shared" si="0"/>
        <v>#VALUE!</v>
      </c>
      <c r="C58" t="e">
        <f t="shared" si="4"/>
        <v>#VALUE!</v>
      </c>
      <c r="D58" t="e">
        <f t="shared" si="1"/>
        <v>#VALUE!</v>
      </c>
      <c r="E58">
        <f>IF($B$2&lt;&gt;$I$3,COUNTIF(Tab_fériés[date],A58),0)</f>
        <v>0</v>
      </c>
      <c r="F58">
        <f t="shared" si="2"/>
        <v>0</v>
      </c>
      <c r="O58" s="3">
        <v>39448</v>
      </c>
      <c r="P58">
        <v>2008</v>
      </c>
      <c r="Q58" t="s">
        <v>272</v>
      </c>
      <c r="R58" t="s">
        <v>273</v>
      </c>
    </row>
    <row r="59" spans="1:18">
      <c r="A59" s="3" t="e">
        <f t="shared" si="3"/>
        <v>#VALUE!</v>
      </c>
      <c r="B59" t="e">
        <f t="shared" si="0"/>
        <v>#VALUE!</v>
      </c>
      <c r="C59" t="e">
        <f t="shared" si="4"/>
        <v>#VALUE!</v>
      </c>
      <c r="D59" t="e">
        <f t="shared" si="1"/>
        <v>#VALUE!</v>
      </c>
      <c r="E59">
        <f>IF($B$2&lt;&gt;$I$3,COUNTIF(Tab_fériés[date],A59),0)</f>
        <v>0</v>
      </c>
      <c r="F59">
        <f t="shared" si="2"/>
        <v>0</v>
      </c>
      <c r="O59" s="3">
        <v>39531</v>
      </c>
      <c r="P59">
        <v>2008</v>
      </c>
      <c r="Q59" t="s">
        <v>272</v>
      </c>
      <c r="R59" t="s">
        <v>274</v>
      </c>
    </row>
    <row r="60" spans="1:18">
      <c r="A60" s="3" t="e">
        <f t="shared" si="3"/>
        <v>#VALUE!</v>
      </c>
      <c r="B60" t="e">
        <f t="shared" si="0"/>
        <v>#VALUE!</v>
      </c>
      <c r="C60" t="e">
        <f t="shared" si="4"/>
        <v>#VALUE!</v>
      </c>
      <c r="D60" t="e">
        <f t="shared" si="1"/>
        <v>#VALUE!</v>
      </c>
      <c r="E60">
        <f>IF($B$2&lt;&gt;$I$3,COUNTIF(Tab_fériés[date],A60),0)</f>
        <v>0</v>
      </c>
      <c r="F60">
        <f t="shared" si="2"/>
        <v>0</v>
      </c>
      <c r="O60" s="3">
        <v>39569</v>
      </c>
      <c r="P60">
        <v>2008</v>
      </c>
      <c r="Q60" t="s">
        <v>272</v>
      </c>
      <c r="R60" t="s">
        <v>275</v>
      </c>
    </row>
    <row r="61" spans="1:18">
      <c r="A61" s="3" t="e">
        <f t="shared" si="3"/>
        <v>#VALUE!</v>
      </c>
      <c r="B61" t="e">
        <f t="shared" si="0"/>
        <v>#VALUE!</v>
      </c>
      <c r="C61" t="e">
        <f t="shared" si="4"/>
        <v>#VALUE!</v>
      </c>
      <c r="D61" t="e">
        <f t="shared" si="1"/>
        <v>#VALUE!</v>
      </c>
      <c r="E61">
        <f>IF($B$2&lt;&gt;$I$3,COUNTIF(Tab_fériés[date],A61),0)</f>
        <v>0</v>
      </c>
      <c r="F61">
        <f t="shared" si="2"/>
        <v>0</v>
      </c>
      <c r="O61" s="3">
        <v>39569</v>
      </c>
      <c r="P61">
        <v>2008</v>
      </c>
      <c r="Q61" t="s">
        <v>272</v>
      </c>
      <c r="R61" t="s">
        <v>278</v>
      </c>
    </row>
    <row r="62" spans="1:18">
      <c r="A62" s="3" t="e">
        <f t="shared" si="3"/>
        <v>#VALUE!</v>
      </c>
      <c r="B62" t="e">
        <f t="shared" si="0"/>
        <v>#VALUE!</v>
      </c>
      <c r="C62" t="e">
        <f t="shared" si="4"/>
        <v>#VALUE!</v>
      </c>
      <c r="D62" t="e">
        <f t="shared" si="1"/>
        <v>#VALUE!</v>
      </c>
      <c r="E62">
        <f>IF($B$2&lt;&gt;$I$3,COUNTIF(Tab_fériés[date],A62),0)</f>
        <v>0</v>
      </c>
      <c r="F62">
        <f t="shared" si="2"/>
        <v>0</v>
      </c>
      <c r="O62" s="3">
        <v>39576</v>
      </c>
      <c r="P62">
        <v>2008</v>
      </c>
      <c r="Q62" t="s">
        <v>272</v>
      </c>
      <c r="R62" s="145">
        <v>45054</v>
      </c>
    </row>
    <row r="63" spans="1:18">
      <c r="A63" s="3" t="e">
        <f t="shared" si="3"/>
        <v>#VALUE!</v>
      </c>
      <c r="B63" t="e">
        <f t="shared" si="0"/>
        <v>#VALUE!</v>
      </c>
      <c r="C63" t="e">
        <f t="shared" si="4"/>
        <v>#VALUE!</v>
      </c>
      <c r="D63" t="e">
        <f t="shared" si="1"/>
        <v>#VALUE!</v>
      </c>
      <c r="E63">
        <f>IF($B$2&lt;&gt;$I$3,COUNTIF(Tab_fériés[date],A63),0)</f>
        <v>0</v>
      </c>
      <c r="F63">
        <f t="shared" si="2"/>
        <v>0</v>
      </c>
      <c r="O63" s="3">
        <v>39580</v>
      </c>
      <c r="P63">
        <v>2008</v>
      </c>
      <c r="Q63" t="s">
        <v>272</v>
      </c>
      <c r="R63" t="s">
        <v>279</v>
      </c>
    </row>
    <row r="64" spans="1:18">
      <c r="A64" s="3" t="e">
        <f t="shared" si="3"/>
        <v>#VALUE!</v>
      </c>
      <c r="B64" t="e">
        <f t="shared" si="0"/>
        <v>#VALUE!</v>
      </c>
      <c r="C64" t="e">
        <f t="shared" si="4"/>
        <v>#VALUE!</v>
      </c>
      <c r="D64" t="e">
        <f t="shared" si="1"/>
        <v>#VALUE!</v>
      </c>
      <c r="E64">
        <f>IF($B$2&lt;&gt;$I$3,COUNTIF(Tab_fériés[date],A64),0)</f>
        <v>0</v>
      </c>
      <c r="F64">
        <f t="shared" si="2"/>
        <v>0</v>
      </c>
      <c r="O64" s="3">
        <v>39643</v>
      </c>
      <c r="P64">
        <v>2008</v>
      </c>
      <c r="Q64" t="s">
        <v>272</v>
      </c>
      <c r="R64" s="145">
        <v>45121</v>
      </c>
    </row>
    <row r="65" spans="1:18">
      <c r="A65" s="3" t="e">
        <f t="shared" si="3"/>
        <v>#VALUE!</v>
      </c>
      <c r="B65" t="e">
        <f t="shared" si="0"/>
        <v>#VALUE!</v>
      </c>
      <c r="C65" t="e">
        <f t="shared" si="4"/>
        <v>#VALUE!</v>
      </c>
      <c r="D65" t="e">
        <f t="shared" si="1"/>
        <v>#VALUE!</v>
      </c>
      <c r="E65">
        <f>IF($B$2&lt;&gt;$I$3,COUNTIF(Tab_fériés[date],A65),0)</f>
        <v>0</v>
      </c>
      <c r="F65">
        <f t="shared" si="2"/>
        <v>0</v>
      </c>
      <c r="O65" s="3">
        <v>39675</v>
      </c>
      <c r="P65">
        <v>2008</v>
      </c>
      <c r="Q65" t="s">
        <v>272</v>
      </c>
      <c r="R65" t="s">
        <v>281</v>
      </c>
    </row>
    <row r="66" spans="1:18">
      <c r="A66" s="3" t="e">
        <f t="shared" si="3"/>
        <v>#VALUE!</v>
      </c>
      <c r="B66" t="e">
        <f t="shared" si="0"/>
        <v>#VALUE!</v>
      </c>
      <c r="C66" t="e">
        <f t="shared" si="4"/>
        <v>#VALUE!</v>
      </c>
      <c r="D66" t="e">
        <f t="shared" si="1"/>
        <v>#VALUE!</v>
      </c>
      <c r="E66">
        <f>IF($B$2&lt;&gt;$I$3,COUNTIF(Tab_fériés[date],A66),0)</f>
        <v>0</v>
      </c>
      <c r="F66">
        <f t="shared" si="2"/>
        <v>0</v>
      </c>
      <c r="O66" s="3">
        <v>39753</v>
      </c>
      <c r="P66">
        <v>2008</v>
      </c>
      <c r="Q66" t="s">
        <v>272</v>
      </c>
      <c r="R66" t="s">
        <v>282</v>
      </c>
    </row>
    <row r="67" spans="1:18">
      <c r="A67" s="3" t="e">
        <f t="shared" si="3"/>
        <v>#VALUE!</v>
      </c>
      <c r="B67" t="e">
        <f t="shared" si="0"/>
        <v>#VALUE!</v>
      </c>
      <c r="C67" t="e">
        <f t="shared" si="4"/>
        <v>#VALUE!</v>
      </c>
      <c r="D67" t="e">
        <f t="shared" si="1"/>
        <v>#VALUE!</v>
      </c>
      <c r="E67">
        <f>IF($B$2&lt;&gt;$I$3,COUNTIF(Tab_fériés[date],A67),0)</f>
        <v>0</v>
      </c>
      <c r="F67">
        <f t="shared" si="2"/>
        <v>0</v>
      </c>
      <c r="O67" s="3">
        <v>39763</v>
      </c>
      <c r="P67">
        <v>2008</v>
      </c>
      <c r="Q67" t="s">
        <v>272</v>
      </c>
      <c r="R67" s="145">
        <v>45241</v>
      </c>
    </row>
    <row r="68" spans="1:18">
      <c r="A68" s="3" t="e">
        <f t="shared" si="3"/>
        <v>#VALUE!</v>
      </c>
      <c r="B68" t="e">
        <f t="shared" si="0"/>
        <v>#VALUE!</v>
      </c>
      <c r="C68" t="e">
        <f t="shared" si="4"/>
        <v>#VALUE!</v>
      </c>
      <c r="D68" t="e">
        <f t="shared" si="1"/>
        <v>#VALUE!</v>
      </c>
      <c r="E68">
        <f>IF($B$2&lt;&gt;$I$3,COUNTIF(Tab_fériés[date],A68),0)</f>
        <v>0</v>
      </c>
      <c r="F68">
        <f t="shared" si="2"/>
        <v>0</v>
      </c>
      <c r="O68" s="3">
        <v>39807</v>
      </c>
      <c r="P68">
        <v>2008</v>
      </c>
      <c r="Q68" t="s">
        <v>272</v>
      </c>
      <c r="R68" t="s">
        <v>283</v>
      </c>
    </row>
    <row r="69" spans="1:18">
      <c r="A69" s="3" t="e">
        <f t="shared" si="3"/>
        <v>#VALUE!</v>
      </c>
      <c r="B69" t="e">
        <f t="shared" ref="B69:B132" si="5">WEEKDAY(A69,2)</f>
        <v>#VALUE!</v>
      </c>
      <c r="C69" t="e">
        <f t="shared" si="4"/>
        <v>#VALUE!</v>
      </c>
      <c r="D69" t="e">
        <f t="shared" ref="D69:D132" si="6">IF(AND(B69=7,$B$2&lt;&gt;$I$3),1,0)</f>
        <v>#VALUE!</v>
      </c>
      <c r="E69">
        <f>IF($B$2&lt;&gt;$I$3,COUNTIF(Tab_fériés[date],A69),0)</f>
        <v>0</v>
      </c>
      <c r="F69">
        <f t="shared" ref="F69:F132" si="7">IFERROR(IF(SUM(C69:E69)&gt;0,1,0),0)</f>
        <v>0</v>
      </c>
      <c r="O69" s="3">
        <v>39814</v>
      </c>
      <c r="P69">
        <v>2009</v>
      </c>
      <c r="Q69" t="s">
        <v>272</v>
      </c>
      <c r="R69" t="s">
        <v>273</v>
      </c>
    </row>
    <row r="70" spans="1:18">
      <c r="A70" s="3" t="e">
        <f t="shared" ref="A70:A133" si="8">A69+1</f>
        <v>#VALUE!</v>
      </c>
      <c r="B70" t="e">
        <f t="shared" si="5"/>
        <v>#VALUE!</v>
      </c>
      <c r="C70" t="e">
        <f t="shared" ref="C70:C133" si="9">IF(AND(B70=6,$B$2&lt;&gt;$I$3,$B$2&lt;&gt;$I$5),1,0)</f>
        <v>#VALUE!</v>
      </c>
      <c r="D70" t="e">
        <f t="shared" si="6"/>
        <v>#VALUE!</v>
      </c>
      <c r="E70">
        <f>IF($B$2&lt;&gt;$I$3,COUNTIF(Tab_fériés[date],A70),0)</f>
        <v>0</v>
      </c>
      <c r="F70">
        <f t="shared" si="7"/>
        <v>0</v>
      </c>
      <c r="O70" s="3">
        <v>39916</v>
      </c>
      <c r="P70">
        <v>2009</v>
      </c>
      <c r="Q70" t="s">
        <v>272</v>
      </c>
      <c r="R70" t="s">
        <v>274</v>
      </c>
    </row>
    <row r="71" spans="1:18">
      <c r="A71" s="3" t="e">
        <f t="shared" si="8"/>
        <v>#VALUE!</v>
      </c>
      <c r="B71" t="e">
        <f t="shared" si="5"/>
        <v>#VALUE!</v>
      </c>
      <c r="C71" t="e">
        <f t="shared" si="9"/>
        <v>#VALUE!</v>
      </c>
      <c r="D71" t="e">
        <f t="shared" si="6"/>
        <v>#VALUE!</v>
      </c>
      <c r="E71">
        <f>IF($B$2&lt;&gt;$I$3,COUNTIF(Tab_fériés[date],A71),0)</f>
        <v>0</v>
      </c>
      <c r="F71">
        <f t="shared" si="7"/>
        <v>0</v>
      </c>
      <c r="O71" s="3">
        <v>39934</v>
      </c>
      <c r="P71">
        <v>2009</v>
      </c>
      <c r="Q71" t="s">
        <v>272</v>
      </c>
      <c r="R71" t="s">
        <v>275</v>
      </c>
    </row>
    <row r="72" spans="1:18">
      <c r="A72" s="3" t="e">
        <f t="shared" si="8"/>
        <v>#VALUE!</v>
      </c>
      <c r="B72" t="e">
        <f t="shared" si="5"/>
        <v>#VALUE!</v>
      </c>
      <c r="C72" t="e">
        <f t="shared" si="9"/>
        <v>#VALUE!</v>
      </c>
      <c r="D72" t="e">
        <f t="shared" si="6"/>
        <v>#VALUE!</v>
      </c>
      <c r="E72">
        <f>IF($B$2&lt;&gt;$I$3,COUNTIF(Tab_fériés[date],A72),0)</f>
        <v>0</v>
      </c>
      <c r="F72">
        <f t="shared" si="7"/>
        <v>0</v>
      </c>
      <c r="O72" s="3">
        <v>39941</v>
      </c>
      <c r="P72">
        <v>2009</v>
      </c>
      <c r="Q72" t="s">
        <v>272</v>
      </c>
      <c r="R72" s="145">
        <v>45054</v>
      </c>
    </row>
    <row r="73" spans="1:18">
      <c r="A73" s="3" t="e">
        <f t="shared" si="8"/>
        <v>#VALUE!</v>
      </c>
      <c r="B73" t="e">
        <f t="shared" si="5"/>
        <v>#VALUE!</v>
      </c>
      <c r="C73" t="e">
        <f t="shared" si="9"/>
        <v>#VALUE!</v>
      </c>
      <c r="D73" t="e">
        <f t="shared" si="6"/>
        <v>#VALUE!</v>
      </c>
      <c r="E73">
        <f>IF($B$2&lt;&gt;$I$3,COUNTIF(Tab_fériés[date],A73),0)</f>
        <v>0</v>
      </c>
      <c r="F73">
        <f t="shared" si="7"/>
        <v>0</v>
      </c>
      <c r="O73" s="3">
        <v>39954</v>
      </c>
      <c r="P73">
        <v>2009</v>
      </c>
      <c r="Q73" t="s">
        <v>272</v>
      </c>
      <c r="R73" t="s">
        <v>278</v>
      </c>
    </row>
    <row r="74" spans="1:18">
      <c r="A74" s="3" t="e">
        <f t="shared" si="8"/>
        <v>#VALUE!</v>
      </c>
      <c r="B74" t="e">
        <f t="shared" si="5"/>
        <v>#VALUE!</v>
      </c>
      <c r="C74" t="e">
        <f t="shared" si="9"/>
        <v>#VALUE!</v>
      </c>
      <c r="D74" t="e">
        <f t="shared" si="6"/>
        <v>#VALUE!</v>
      </c>
      <c r="E74">
        <f>IF($B$2&lt;&gt;$I$3,COUNTIF(Tab_fériés[date],A74),0)</f>
        <v>0</v>
      </c>
      <c r="F74">
        <f t="shared" si="7"/>
        <v>0</v>
      </c>
      <c r="O74" s="3">
        <v>39965</v>
      </c>
      <c r="P74">
        <v>2009</v>
      </c>
      <c r="Q74" t="s">
        <v>272</v>
      </c>
      <c r="R74" t="s">
        <v>279</v>
      </c>
    </row>
    <row r="75" spans="1:18">
      <c r="A75" s="3" t="e">
        <f t="shared" si="8"/>
        <v>#VALUE!</v>
      </c>
      <c r="B75" t="e">
        <f t="shared" si="5"/>
        <v>#VALUE!</v>
      </c>
      <c r="C75" t="e">
        <f t="shared" si="9"/>
        <v>#VALUE!</v>
      </c>
      <c r="D75" t="e">
        <f t="shared" si="6"/>
        <v>#VALUE!</v>
      </c>
      <c r="E75">
        <f>IF($B$2&lt;&gt;$I$3,COUNTIF(Tab_fériés[date],A75),0)</f>
        <v>0</v>
      </c>
      <c r="F75">
        <f t="shared" si="7"/>
        <v>0</v>
      </c>
      <c r="O75" s="3">
        <v>40008</v>
      </c>
      <c r="P75">
        <v>2009</v>
      </c>
      <c r="Q75" t="s">
        <v>272</v>
      </c>
      <c r="R75" s="145">
        <v>45121</v>
      </c>
    </row>
    <row r="76" spans="1:18">
      <c r="A76" s="3" t="e">
        <f t="shared" si="8"/>
        <v>#VALUE!</v>
      </c>
      <c r="B76" t="e">
        <f t="shared" si="5"/>
        <v>#VALUE!</v>
      </c>
      <c r="C76" t="e">
        <f t="shared" si="9"/>
        <v>#VALUE!</v>
      </c>
      <c r="D76" t="e">
        <f t="shared" si="6"/>
        <v>#VALUE!</v>
      </c>
      <c r="E76">
        <f>IF($B$2&lt;&gt;$I$3,COUNTIF(Tab_fériés[date],A76),0)</f>
        <v>0</v>
      </c>
      <c r="F76">
        <f t="shared" si="7"/>
        <v>0</v>
      </c>
      <c r="O76" s="3">
        <v>40040</v>
      </c>
      <c r="P76">
        <v>2009</v>
      </c>
      <c r="Q76" t="s">
        <v>272</v>
      </c>
      <c r="R76" t="s">
        <v>281</v>
      </c>
    </row>
    <row r="77" spans="1:18">
      <c r="A77" s="3" t="e">
        <f t="shared" si="8"/>
        <v>#VALUE!</v>
      </c>
      <c r="B77" t="e">
        <f t="shared" si="5"/>
        <v>#VALUE!</v>
      </c>
      <c r="C77" t="e">
        <f t="shared" si="9"/>
        <v>#VALUE!</v>
      </c>
      <c r="D77" t="e">
        <f t="shared" si="6"/>
        <v>#VALUE!</v>
      </c>
      <c r="E77">
        <f>IF($B$2&lt;&gt;$I$3,COUNTIF(Tab_fériés[date],A77),0)</f>
        <v>0</v>
      </c>
      <c r="F77">
        <f t="shared" si="7"/>
        <v>0</v>
      </c>
      <c r="O77" s="3">
        <v>40118</v>
      </c>
      <c r="P77">
        <v>2009</v>
      </c>
      <c r="Q77" t="s">
        <v>272</v>
      </c>
      <c r="R77" t="s">
        <v>282</v>
      </c>
    </row>
    <row r="78" spans="1:18">
      <c r="A78" s="3" t="e">
        <f t="shared" si="8"/>
        <v>#VALUE!</v>
      </c>
      <c r="B78" t="e">
        <f t="shared" si="5"/>
        <v>#VALUE!</v>
      </c>
      <c r="C78" t="e">
        <f t="shared" si="9"/>
        <v>#VALUE!</v>
      </c>
      <c r="D78" t="e">
        <f t="shared" si="6"/>
        <v>#VALUE!</v>
      </c>
      <c r="E78">
        <f>IF($B$2&lt;&gt;$I$3,COUNTIF(Tab_fériés[date],A78),0)</f>
        <v>0</v>
      </c>
      <c r="F78">
        <f t="shared" si="7"/>
        <v>0</v>
      </c>
      <c r="O78" s="3">
        <v>40128</v>
      </c>
      <c r="P78">
        <v>2009</v>
      </c>
      <c r="Q78" t="s">
        <v>272</v>
      </c>
      <c r="R78" s="145">
        <v>45241</v>
      </c>
    </row>
    <row r="79" spans="1:18">
      <c r="A79" s="3" t="e">
        <f t="shared" si="8"/>
        <v>#VALUE!</v>
      </c>
      <c r="B79" t="e">
        <f t="shared" si="5"/>
        <v>#VALUE!</v>
      </c>
      <c r="C79" t="e">
        <f t="shared" si="9"/>
        <v>#VALUE!</v>
      </c>
      <c r="D79" t="e">
        <f t="shared" si="6"/>
        <v>#VALUE!</v>
      </c>
      <c r="E79">
        <f>IF($B$2&lt;&gt;$I$3,COUNTIF(Tab_fériés[date],A79),0)</f>
        <v>0</v>
      </c>
      <c r="F79">
        <f t="shared" si="7"/>
        <v>0</v>
      </c>
      <c r="O79" s="3">
        <v>40172</v>
      </c>
      <c r="P79">
        <v>2009</v>
      </c>
      <c r="Q79" t="s">
        <v>272</v>
      </c>
      <c r="R79" t="s">
        <v>283</v>
      </c>
    </row>
    <row r="80" spans="1:18">
      <c r="A80" s="3" t="e">
        <f t="shared" si="8"/>
        <v>#VALUE!</v>
      </c>
      <c r="B80" t="e">
        <f t="shared" si="5"/>
        <v>#VALUE!</v>
      </c>
      <c r="C80" t="e">
        <f t="shared" si="9"/>
        <v>#VALUE!</v>
      </c>
      <c r="D80" t="e">
        <f t="shared" si="6"/>
        <v>#VALUE!</v>
      </c>
      <c r="E80">
        <f>IF($B$2&lt;&gt;$I$3,COUNTIF(Tab_fériés[date],A80),0)</f>
        <v>0</v>
      </c>
      <c r="F80">
        <f t="shared" si="7"/>
        <v>0</v>
      </c>
      <c r="O80" s="3">
        <v>40179</v>
      </c>
      <c r="P80">
        <v>2010</v>
      </c>
      <c r="Q80" t="s">
        <v>272</v>
      </c>
      <c r="R80" t="s">
        <v>273</v>
      </c>
    </row>
    <row r="81" spans="1:18">
      <c r="A81" s="3" t="e">
        <f t="shared" si="8"/>
        <v>#VALUE!</v>
      </c>
      <c r="B81" t="e">
        <f t="shared" si="5"/>
        <v>#VALUE!</v>
      </c>
      <c r="C81" t="e">
        <f t="shared" si="9"/>
        <v>#VALUE!</v>
      </c>
      <c r="D81" t="e">
        <f t="shared" si="6"/>
        <v>#VALUE!</v>
      </c>
      <c r="E81">
        <f>IF($B$2&lt;&gt;$I$3,COUNTIF(Tab_fériés[date],A81),0)</f>
        <v>0</v>
      </c>
      <c r="F81">
        <f t="shared" si="7"/>
        <v>0</v>
      </c>
      <c r="O81" s="3">
        <v>40273</v>
      </c>
      <c r="P81">
        <v>2010</v>
      </c>
      <c r="Q81" t="s">
        <v>272</v>
      </c>
      <c r="R81" t="s">
        <v>274</v>
      </c>
    </row>
    <row r="82" spans="1:18">
      <c r="A82" s="3" t="e">
        <f t="shared" si="8"/>
        <v>#VALUE!</v>
      </c>
      <c r="B82" t="e">
        <f t="shared" si="5"/>
        <v>#VALUE!</v>
      </c>
      <c r="C82" t="e">
        <f t="shared" si="9"/>
        <v>#VALUE!</v>
      </c>
      <c r="D82" t="e">
        <f t="shared" si="6"/>
        <v>#VALUE!</v>
      </c>
      <c r="E82">
        <f>IF($B$2&lt;&gt;$I$3,COUNTIF(Tab_fériés[date],A82),0)</f>
        <v>0</v>
      </c>
      <c r="F82">
        <f t="shared" si="7"/>
        <v>0</v>
      </c>
      <c r="O82" s="3">
        <v>40299</v>
      </c>
      <c r="P82">
        <v>2010</v>
      </c>
      <c r="Q82" t="s">
        <v>272</v>
      </c>
      <c r="R82" t="s">
        <v>275</v>
      </c>
    </row>
    <row r="83" spans="1:18">
      <c r="A83" s="3" t="e">
        <f t="shared" si="8"/>
        <v>#VALUE!</v>
      </c>
      <c r="B83" t="e">
        <f t="shared" si="5"/>
        <v>#VALUE!</v>
      </c>
      <c r="C83" t="e">
        <f t="shared" si="9"/>
        <v>#VALUE!</v>
      </c>
      <c r="D83" t="e">
        <f t="shared" si="6"/>
        <v>#VALUE!</v>
      </c>
      <c r="E83">
        <f>IF($B$2&lt;&gt;$I$3,COUNTIF(Tab_fériés[date],A83),0)</f>
        <v>0</v>
      </c>
      <c r="F83">
        <f t="shared" si="7"/>
        <v>0</v>
      </c>
      <c r="O83" s="3">
        <v>40306</v>
      </c>
      <c r="P83">
        <v>2010</v>
      </c>
      <c r="Q83" t="s">
        <v>272</v>
      </c>
      <c r="R83" s="145">
        <v>45054</v>
      </c>
    </row>
    <row r="84" spans="1:18">
      <c r="A84" s="3" t="e">
        <f t="shared" si="8"/>
        <v>#VALUE!</v>
      </c>
      <c r="B84" t="e">
        <f t="shared" si="5"/>
        <v>#VALUE!</v>
      </c>
      <c r="C84" t="e">
        <f t="shared" si="9"/>
        <v>#VALUE!</v>
      </c>
      <c r="D84" t="e">
        <f t="shared" si="6"/>
        <v>#VALUE!</v>
      </c>
      <c r="E84">
        <f>IF($B$2&lt;&gt;$I$3,COUNTIF(Tab_fériés[date],A84),0)</f>
        <v>0</v>
      </c>
      <c r="F84">
        <f t="shared" si="7"/>
        <v>0</v>
      </c>
      <c r="O84" s="3">
        <v>40311</v>
      </c>
      <c r="P84">
        <v>2010</v>
      </c>
      <c r="Q84" t="s">
        <v>272</v>
      </c>
      <c r="R84" t="s">
        <v>278</v>
      </c>
    </row>
    <row r="85" spans="1:18">
      <c r="A85" s="3" t="e">
        <f t="shared" si="8"/>
        <v>#VALUE!</v>
      </c>
      <c r="B85" t="e">
        <f t="shared" si="5"/>
        <v>#VALUE!</v>
      </c>
      <c r="C85" t="e">
        <f t="shared" si="9"/>
        <v>#VALUE!</v>
      </c>
      <c r="D85" t="e">
        <f t="shared" si="6"/>
        <v>#VALUE!</v>
      </c>
      <c r="E85">
        <f>IF($B$2&lt;&gt;$I$3,COUNTIF(Tab_fériés[date],A85),0)</f>
        <v>0</v>
      </c>
      <c r="F85">
        <f t="shared" si="7"/>
        <v>0</v>
      </c>
      <c r="O85" s="3">
        <v>40322</v>
      </c>
      <c r="P85">
        <v>2010</v>
      </c>
      <c r="Q85" t="s">
        <v>272</v>
      </c>
      <c r="R85" t="s">
        <v>279</v>
      </c>
    </row>
    <row r="86" spans="1:18">
      <c r="A86" s="3" t="e">
        <f t="shared" si="8"/>
        <v>#VALUE!</v>
      </c>
      <c r="B86" t="e">
        <f t="shared" si="5"/>
        <v>#VALUE!</v>
      </c>
      <c r="C86" t="e">
        <f t="shared" si="9"/>
        <v>#VALUE!</v>
      </c>
      <c r="D86" t="e">
        <f t="shared" si="6"/>
        <v>#VALUE!</v>
      </c>
      <c r="E86">
        <f>IF($B$2&lt;&gt;$I$3,COUNTIF(Tab_fériés[date],A86),0)</f>
        <v>0</v>
      </c>
      <c r="F86">
        <f t="shared" si="7"/>
        <v>0</v>
      </c>
      <c r="O86" s="3">
        <v>40373</v>
      </c>
      <c r="P86">
        <v>2010</v>
      </c>
      <c r="Q86" t="s">
        <v>272</v>
      </c>
      <c r="R86" s="145">
        <v>45121</v>
      </c>
    </row>
    <row r="87" spans="1:18">
      <c r="A87" s="3" t="e">
        <f t="shared" si="8"/>
        <v>#VALUE!</v>
      </c>
      <c r="B87" t="e">
        <f t="shared" si="5"/>
        <v>#VALUE!</v>
      </c>
      <c r="C87" t="e">
        <f t="shared" si="9"/>
        <v>#VALUE!</v>
      </c>
      <c r="D87" t="e">
        <f t="shared" si="6"/>
        <v>#VALUE!</v>
      </c>
      <c r="E87">
        <f>IF($B$2&lt;&gt;$I$3,COUNTIF(Tab_fériés[date],A87),0)</f>
        <v>0</v>
      </c>
      <c r="F87">
        <f t="shared" si="7"/>
        <v>0</v>
      </c>
      <c r="O87" s="3">
        <v>40405</v>
      </c>
      <c r="P87">
        <v>2010</v>
      </c>
      <c r="Q87" t="s">
        <v>272</v>
      </c>
      <c r="R87" t="s">
        <v>281</v>
      </c>
    </row>
    <row r="88" spans="1:18">
      <c r="A88" s="3" t="e">
        <f t="shared" si="8"/>
        <v>#VALUE!</v>
      </c>
      <c r="B88" t="e">
        <f t="shared" si="5"/>
        <v>#VALUE!</v>
      </c>
      <c r="C88" t="e">
        <f t="shared" si="9"/>
        <v>#VALUE!</v>
      </c>
      <c r="D88" t="e">
        <f t="shared" si="6"/>
        <v>#VALUE!</v>
      </c>
      <c r="E88">
        <f>IF($B$2&lt;&gt;$I$3,COUNTIF(Tab_fériés[date],A88),0)</f>
        <v>0</v>
      </c>
      <c r="F88">
        <f t="shared" si="7"/>
        <v>0</v>
      </c>
      <c r="O88" s="3">
        <v>40483</v>
      </c>
      <c r="P88">
        <v>2010</v>
      </c>
      <c r="Q88" t="s">
        <v>272</v>
      </c>
      <c r="R88" t="s">
        <v>282</v>
      </c>
    </row>
    <row r="89" spans="1:18">
      <c r="A89" s="3" t="e">
        <f t="shared" si="8"/>
        <v>#VALUE!</v>
      </c>
      <c r="B89" t="e">
        <f t="shared" si="5"/>
        <v>#VALUE!</v>
      </c>
      <c r="C89" t="e">
        <f t="shared" si="9"/>
        <v>#VALUE!</v>
      </c>
      <c r="D89" t="e">
        <f t="shared" si="6"/>
        <v>#VALUE!</v>
      </c>
      <c r="E89">
        <f>IF($B$2&lt;&gt;$I$3,COUNTIF(Tab_fériés[date],A89),0)</f>
        <v>0</v>
      </c>
      <c r="F89">
        <f t="shared" si="7"/>
        <v>0</v>
      </c>
      <c r="O89" s="3">
        <v>40493</v>
      </c>
      <c r="P89">
        <v>2010</v>
      </c>
      <c r="Q89" t="s">
        <v>272</v>
      </c>
      <c r="R89" s="145">
        <v>45241</v>
      </c>
    </row>
    <row r="90" spans="1:18">
      <c r="A90" s="3" t="e">
        <f t="shared" si="8"/>
        <v>#VALUE!</v>
      </c>
      <c r="B90" t="e">
        <f t="shared" si="5"/>
        <v>#VALUE!</v>
      </c>
      <c r="C90" t="e">
        <f t="shared" si="9"/>
        <v>#VALUE!</v>
      </c>
      <c r="D90" t="e">
        <f t="shared" si="6"/>
        <v>#VALUE!</v>
      </c>
      <c r="E90">
        <f>IF($B$2&lt;&gt;$I$3,COUNTIF(Tab_fériés[date],A90),0)</f>
        <v>0</v>
      </c>
      <c r="F90">
        <f t="shared" si="7"/>
        <v>0</v>
      </c>
      <c r="O90" s="3">
        <v>40537</v>
      </c>
      <c r="P90">
        <v>2010</v>
      </c>
      <c r="Q90" t="s">
        <v>272</v>
      </c>
      <c r="R90" t="s">
        <v>283</v>
      </c>
    </row>
    <row r="91" spans="1:18">
      <c r="A91" s="3" t="e">
        <f t="shared" si="8"/>
        <v>#VALUE!</v>
      </c>
      <c r="B91" t="e">
        <f t="shared" si="5"/>
        <v>#VALUE!</v>
      </c>
      <c r="C91" t="e">
        <f t="shared" si="9"/>
        <v>#VALUE!</v>
      </c>
      <c r="D91" t="e">
        <f t="shared" si="6"/>
        <v>#VALUE!</v>
      </c>
      <c r="E91">
        <f>IF($B$2&lt;&gt;$I$3,COUNTIF(Tab_fériés[date],A91),0)</f>
        <v>0</v>
      </c>
      <c r="F91">
        <f t="shared" si="7"/>
        <v>0</v>
      </c>
      <c r="O91" s="3">
        <v>40544</v>
      </c>
      <c r="P91">
        <v>2011</v>
      </c>
      <c r="Q91" t="s">
        <v>272</v>
      </c>
      <c r="R91" t="s">
        <v>273</v>
      </c>
    </row>
    <row r="92" spans="1:18">
      <c r="A92" s="3" t="e">
        <f t="shared" si="8"/>
        <v>#VALUE!</v>
      </c>
      <c r="B92" t="e">
        <f t="shared" si="5"/>
        <v>#VALUE!</v>
      </c>
      <c r="C92" t="e">
        <f t="shared" si="9"/>
        <v>#VALUE!</v>
      </c>
      <c r="D92" t="e">
        <f t="shared" si="6"/>
        <v>#VALUE!</v>
      </c>
      <c r="E92">
        <f>IF($B$2&lt;&gt;$I$3,COUNTIF(Tab_fériés[date],A92),0)</f>
        <v>0</v>
      </c>
      <c r="F92">
        <f t="shared" si="7"/>
        <v>0</v>
      </c>
      <c r="O92" s="3">
        <v>40658</v>
      </c>
      <c r="P92">
        <v>2011</v>
      </c>
      <c r="Q92" t="s">
        <v>272</v>
      </c>
      <c r="R92" t="s">
        <v>274</v>
      </c>
    </row>
    <row r="93" spans="1:18">
      <c r="A93" s="3" t="e">
        <f t="shared" si="8"/>
        <v>#VALUE!</v>
      </c>
      <c r="B93" t="e">
        <f t="shared" si="5"/>
        <v>#VALUE!</v>
      </c>
      <c r="C93" t="e">
        <f t="shared" si="9"/>
        <v>#VALUE!</v>
      </c>
      <c r="D93" t="e">
        <f t="shared" si="6"/>
        <v>#VALUE!</v>
      </c>
      <c r="E93">
        <f>IF($B$2&lt;&gt;$I$3,COUNTIF(Tab_fériés[date],A93),0)</f>
        <v>0</v>
      </c>
      <c r="F93">
        <f t="shared" si="7"/>
        <v>0</v>
      </c>
      <c r="O93" s="3">
        <v>40664</v>
      </c>
      <c r="P93">
        <v>2011</v>
      </c>
      <c r="Q93" t="s">
        <v>272</v>
      </c>
      <c r="R93" t="s">
        <v>275</v>
      </c>
    </row>
    <row r="94" spans="1:18">
      <c r="A94" s="3" t="e">
        <f t="shared" si="8"/>
        <v>#VALUE!</v>
      </c>
      <c r="B94" t="e">
        <f t="shared" si="5"/>
        <v>#VALUE!</v>
      </c>
      <c r="C94" t="e">
        <f t="shared" si="9"/>
        <v>#VALUE!</v>
      </c>
      <c r="D94" t="e">
        <f t="shared" si="6"/>
        <v>#VALUE!</v>
      </c>
      <c r="E94">
        <f>IF($B$2&lt;&gt;$I$3,COUNTIF(Tab_fériés[date],A94),0)</f>
        <v>0</v>
      </c>
      <c r="F94">
        <f t="shared" si="7"/>
        <v>0</v>
      </c>
      <c r="O94" s="3">
        <v>40671</v>
      </c>
      <c r="P94">
        <v>2011</v>
      </c>
      <c r="Q94" t="s">
        <v>272</v>
      </c>
      <c r="R94" s="145">
        <v>45054</v>
      </c>
    </row>
    <row r="95" spans="1:18">
      <c r="A95" s="3" t="e">
        <f t="shared" si="8"/>
        <v>#VALUE!</v>
      </c>
      <c r="B95" t="e">
        <f t="shared" si="5"/>
        <v>#VALUE!</v>
      </c>
      <c r="C95" t="e">
        <f t="shared" si="9"/>
        <v>#VALUE!</v>
      </c>
      <c r="D95" t="e">
        <f t="shared" si="6"/>
        <v>#VALUE!</v>
      </c>
      <c r="E95">
        <f>IF($B$2&lt;&gt;$I$3,COUNTIF(Tab_fériés[date],A95),0)</f>
        <v>0</v>
      </c>
      <c r="F95">
        <f t="shared" si="7"/>
        <v>0</v>
      </c>
      <c r="O95" s="3">
        <v>40696</v>
      </c>
      <c r="P95">
        <v>2011</v>
      </c>
      <c r="Q95" t="s">
        <v>272</v>
      </c>
      <c r="R95" t="s">
        <v>278</v>
      </c>
    </row>
    <row r="96" spans="1:18">
      <c r="A96" s="3" t="e">
        <f t="shared" si="8"/>
        <v>#VALUE!</v>
      </c>
      <c r="B96" t="e">
        <f t="shared" si="5"/>
        <v>#VALUE!</v>
      </c>
      <c r="C96" t="e">
        <f t="shared" si="9"/>
        <v>#VALUE!</v>
      </c>
      <c r="D96" t="e">
        <f t="shared" si="6"/>
        <v>#VALUE!</v>
      </c>
      <c r="E96">
        <f>IF($B$2&lt;&gt;$I$3,COUNTIF(Tab_fériés[date],A96),0)</f>
        <v>0</v>
      </c>
      <c r="F96">
        <f t="shared" si="7"/>
        <v>0</v>
      </c>
      <c r="O96" s="3">
        <v>40707</v>
      </c>
      <c r="P96">
        <v>2011</v>
      </c>
      <c r="Q96" t="s">
        <v>272</v>
      </c>
      <c r="R96" t="s">
        <v>279</v>
      </c>
    </row>
    <row r="97" spans="1:18">
      <c r="A97" s="3" t="e">
        <f t="shared" si="8"/>
        <v>#VALUE!</v>
      </c>
      <c r="B97" t="e">
        <f t="shared" si="5"/>
        <v>#VALUE!</v>
      </c>
      <c r="C97" t="e">
        <f t="shared" si="9"/>
        <v>#VALUE!</v>
      </c>
      <c r="D97" t="e">
        <f t="shared" si="6"/>
        <v>#VALUE!</v>
      </c>
      <c r="E97">
        <f>IF($B$2&lt;&gt;$I$3,COUNTIF(Tab_fériés[date],A97),0)</f>
        <v>0</v>
      </c>
      <c r="F97">
        <f t="shared" si="7"/>
        <v>0</v>
      </c>
      <c r="O97" s="3">
        <v>40738</v>
      </c>
      <c r="P97">
        <v>2011</v>
      </c>
      <c r="Q97" t="s">
        <v>272</v>
      </c>
      <c r="R97" s="145">
        <v>45121</v>
      </c>
    </row>
    <row r="98" spans="1:18">
      <c r="A98" s="3" t="e">
        <f t="shared" si="8"/>
        <v>#VALUE!</v>
      </c>
      <c r="B98" t="e">
        <f t="shared" si="5"/>
        <v>#VALUE!</v>
      </c>
      <c r="C98" t="e">
        <f t="shared" si="9"/>
        <v>#VALUE!</v>
      </c>
      <c r="D98" t="e">
        <f t="shared" si="6"/>
        <v>#VALUE!</v>
      </c>
      <c r="E98">
        <f>IF($B$2&lt;&gt;$I$3,COUNTIF(Tab_fériés[date],A98),0)</f>
        <v>0</v>
      </c>
      <c r="F98">
        <f t="shared" si="7"/>
        <v>0</v>
      </c>
      <c r="O98" s="3">
        <v>40770</v>
      </c>
      <c r="P98">
        <v>2011</v>
      </c>
      <c r="Q98" t="s">
        <v>272</v>
      </c>
      <c r="R98" t="s">
        <v>281</v>
      </c>
    </row>
    <row r="99" spans="1:18">
      <c r="A99" s="3" t="e">
        <f t="shared" si="8"/>
        <v>#VALUE!</v>
      </c>
      <c r="B99" t="e">
        <f t="shared" si="5"/>
        <v>#VALUE!</v>
      </c>
      <c r="C99" t="e">
        <f t="shared" si="9"/>
        <v>#VALUE!</v>
      </c>
      <c r="D99" t="e">
        <f t="shared" si="6"/>
        <v>#VALUE!</v>
      </c>
      <c r="E99">
        <f>IF($B$2&lt;&gt;$I$3,COUNTIF(Tab_fériés[date],A99),0)</f>
        <v>0</v>
      </c>
      <c r="F99">
        <f t="shared" si="7"/>
        <v>0</v>
      </c>
      <c r="O99" s="3">
        <v>40848</v>
      </c>
      <c r="P99">
        <v>2011</v>
      </c>
      <c r="Q99" t="s">
        <v>272</v>
      </c>
      <c r="R99" t="s">
        <v>282</v>
      </c>
    </row>
    <row r="100" spans="1:18">
      <c r="A100" s="3" t="e">
        <f t="shared" si="8"/>
        <v>#VALUE!</v>
      </c>
      <c r="B100" t="e">
        <f t="shared" si="5"/>
        <v>#VALUE!</v>
      </c>
      <c r="C100" t="e">
        <f t="shared" si="9"/>
        <v>#VALUE!</v>
      </c>
      <c r="D100" t="e">
        <f t="shared" si="6"/>
        <v>#VALUE!</v>
      </c>
      <c r="E100">
        <f>IF($B$2&lt;&gt;$I$3,COUNTIF(Tab_fériés[date],A100),0)</f>
        <v>0</v>
      </c>
      <c r="F100">
        <f t="shared" si="7"/>
        <v>0</v>
      </c>
      <c r="O100" s="3">
        <v>40858</v>
      </c>
      <c r="P100">
        <v>2011</v>
      </c>
      <c r="Q100" t="s">
        <v>272</v>
      </c>
      <c r="R100" s="145">
        <v>45241</v>
      </c>
    </row>
    <row r="101" spans="1:18">
      <c r="A101" s="3" t="e">
        <f t="shared" si="8"/>
        <v>#VALUE!</v>
      </c>
      <c r="B101" t="e">
        <f t="shared" si="5"/>
        <v>#VALUE!</v>
      </c>
      <c r="C101" t="e">
        <f t="shared" si="9"/>
        <v>#VALUE!</v>
      </c>
      <c r="D101" t="e">
        <f t="shared" si="6"/>
        <v>#VALUE!</v>
      </c>
      <c r="E101">
        <f>IF($B$2&lt;&gt;$I$3,COUNTIF(Tab_fériés[date],A101),0)</f>
        <v>0</v>
      </c>
      <c r="F101">
        <f t="shared" si="7"/>
        <v>0</v>
      </c>
      <c r="O101" s="3">
        <v>40902</v>
      </c>
      <c r="P101">
        <v>2011</v>
      </c>
      <c r="Q101" t="s">
        <v>272</v>
      </c>
      <c r="R101" t="s">
        <v>283</v>
      </c>
    </row>
    <row r="102" spans="1:18">
      <c r="A102" s="3" t="e">
        <f t="shared" si="8"/>
        <v>#VALUE!</v>
      </c>
      <c r="B102" t="e">
        <f t="shared" si="5"/>
        <v>#VALUE!</v>
      </c>
      <c r="C102" t="e">
        <f t="shared" si="9"/>
        <v>#VALUE!</v>
      </c>
      <c r="D102" t="e">
        <f t="shared" si="6"/>
        <v>#VALUE!</v>
      </c>
      <c r="E102">
        <f>IF($B$2&lt;&gt;$I$3,COUNTIF(Tab_fériés[date],A102),0)</f>
        <v>0</v>
      </c>
      <c r="F102">
        <f t="shared" si="7"/>
        <v>0</v>
      </c>
      <c r="O102" s="3">
        <v>40909</v>
      </c>
      <c r="P102">
        <v>2012</v>
      </c>
      <c r="Q102" t="s">
        <v>272</v>
      </c>
      <c r="R102" t="s">
        <v>273</v>
      </c>
    </row>
    <row r="103" spans="1:18">
      <c r="A103" s="3" t="e">
        <f t="shared" si="8"/>
        <v>#VALUE!</v>
      </c>
      <c r="B103" t="e">
        <f t="shared" si="5"/>
        <v>#VALUE!</v>
      </c>
      <c r="C103" t="e">
        <f t="shared" si="9"/>
        <v>#VALUE!</v>
      </c>
      <c r="D103" t="e">
        <f t="shared" si="6"/>
        <v>#VALUE!</v>
      </c>
      <c r="E103">
        <f>IF($B$2&lt;&gt;$I$3,COUNTIF(Tab_fériés[date],A103),0)</f>
        <v>0</v>
      </c>
      <c r="F103">
        <f t="shared" si="7"/>
        <v>0</v>
      </c>
      <c r="O103" s="3">
        <v>41008</v>
      </c>
      <c r="P103">
        <v>2012</v>
      </c>
      <c r="Q103" t="s">
        <v>272</v>
      </c>
      <c r="R103" t="s">
        <v>274</v>
      </c>
    </row>
    <row r="104" spans="1:18">
      <c r="A104" s="3" t="e">
        <f t="shared" si="8"/>
        <v>#VALUE!</v>
      </c>
      <c r="B104" t="e">
        <f t="shared" si="5"/>
        <v>#VALUE!</v>
      </c>
      <c r="C104" t="e">
        <f t="shared" si="9"/>
        <v>#VALUE!</v>
      </c>
      <c r="D104" t="e">
        <f t="shared" si="6"/>
        <v>#VALUE!</v>
      </c>
      <c r="E104">
        <f>IF($B$2&lt;&gt;$I$3,COUNTIF(Tab_fériés[date],A104),0)</f>
        <v>0</v>
      </c>
      <c r="F104">
        <f t="shared" si="7"/>
        <v>0</v>
      </c>
      <c r="O104" s="3">
        <v>41030</v>
      </c>
      <c r="P104">
        <v>2012</v>
      </c>
      <c r="Q104" t="s">
        <v>272</v>
      </c>
      <c r="R104" t="s">
        <v>275</v>
      </c>
    </row>
    <row r="105" spans="1:18">
      <c r="A105" s="3" t="e">
        <f t="shared" si="8"/>
        <v>#VALUE!</v>
      </c>
      <c r="B105" t="e">
        <f t="shared" si="5"/>
        <v>#VALUE!</v>
      </c>
      <c r="C105" t="e">
        <f t="shared" si="9"/>
        <v>#VALUE!</v>
      </c>
      <c r="D105" t="e">
        <f t="shared" si="6"/>
        <v>#VALUE!</v>
      </c>
      <c r="E105">
        <f>IF($B$2&lt;&gt;$I$3,COUNTIF(Tab_fériés[date],A105),0)</f>
        <v>0</v>
      </c>
      <c r="F105">
        <f t="shared" si="7"/>
        <v>0</v>
      </c>
      <c r="O105" s="3">
        <v>41037</v>
      </c>
      <c r="P105">
        <v>2012</v>
      </c>
      <c r="Q105" t="s">
        <v>272</v>
      </c>
      <c r="R105" s="145">
        <v>45054</v>
      </c>
    </row>
    <row r="106" spans="1:18">
      <c r="A106" s="3" t="e">
        <f t="shared" si="8"/>
        <v>#VALUE!</v>
      </c>
      <c r="B106" t="e">
        <f t="shared" si="5"/>
        <v>#VALUE!</v>
      </c>
      <c r="C106" t="e">
        <f t="shared" si="9"/>
        <v>#VALUE!</v>
      </c>
      <c r="D106" t="e">
        <f t="shared" si="6"/>
        <v>#VALUE!</v>
      </c>
      <c r="E106">
        <f>IF($B$2&lt;&gt;$I$3,COUNTIF(Tab_fériés[date],A106),0)</f>
        <v>0</v>
      </c>
      <c r="F106">
        <f t="shared" si="7"/>
        <v>0</v>
      </c>
      <c r="O106" s="3">
        <v>41046</v>
      </c>
      <c r="P106">
        <v>2012</v>
      </c>
      <c r="Q106" t="s">
        <v>272</v>
      </c>
      <c r="R106" t="s">
        <v>278</v>
      </c>
    </row>
    <row r="107" spans="1:18">
      <c r="A107" s="3" t="e">
        <f t="shared" si="8"/>
        <v>#VALUE!</v>
      </c>
      <c r="B107" t="e">
        <f t="shared" si="5"/>
        <v>#VALUE!</v>
      </c>
      <c r="C107" t="e">
        <f t="shared" si="9"/>
        <v>#VALUE!</v>
      </c>
      <c r="D107" t="e">
        <f t="shared" si="6"/>
        <v>#VALUE!</v>
      </c>
      <c r="E107">
        <f>IF($B$2&lt;&gt;$I$3,COUNTIF(Tab_fériés[date],A107),0)</f>
        <v>0</v>
      </c>
      <c r="F107">
        <f t="shared" si="7"/>
        <v>0</v>
      </c>
      <c r="O107" s="3">
        <v>41057</v>
      </c>
      <c r="P107">
        <v>2012</v>
      </c>
      <c r="Q107" t="s">
        <v>272</v>
      </c>
      <c r="R107" t="s">
        <v>279</v>
      </c>
    </row>
    <row r="108" spans="1:18">
      <c r="A108" s="3" t="e">
        <f t="shared" si="8"/>
        <v>#VALUE!</v>
      </c>
      <c r="B108" t="e">
        <f t="shared" si="5"/>
        <v>#VALUE!</v>
      </c>
      <c r="C108" t="e">
        <f t="shared" si="9"/>
        <v>#VALUE!</v>
      </c>
      <c r="D108" t="e">
        <f t="shared" si="6"/>
        <v>#VALUE!</v>
      </c>
      <c r="E108">
        <f>IF($B$2&lt;&gt;$I$3,COUNTIF(Tab_fériés[date],A108),0)</f>
        <v>0</v>
      </c>
      <c r="F108">
        <f t="shared" si="7"/>
        <v>0</v>
      </c>
      <c r="O108" s="3">
        <v>41104</v>
      </c>
      <c r="P108">
        <v>2012</v>
      </c>
      <c r="Q108" t="s">
        <v>272</v>
      </c>
      <c r="R108" s="145">
        <v>45121</v>
      </c>
    </row>
    <row r="109" spans="1:18">
      <c r="A109" s="3" t="e">
        <f t="shared" si="8"/>
        <v>#VALUE!</v>
      </c>
      <c r="B109" t="e">
        <f t="shared" si="5"/>
        <v>#VALUE!</v>
      </c>
      <c r="C109" t="e">
        <f t="shared" si="9"/>
        <v>#VALUE!</v>
      </c>
      <c r="D109" t="e">
        <f t="shared" si="6"/>
        <v>#VALUE!</v>
      </c>
      <c r="E109">
        <f>IF($B$2&lt;&gt;$I$3,COUNTIF(Tab_fériés[date],A109),0)</f>
        <v>0</v>
      </c>
      <c r="F109">
        <f t="shared" si="7"/>
        <v>0</v>
      </c>
      <c r="O109" s="3">
        <v>41136</v>
      </c>
      <c r="P109">
        <v>2012</v>
      </c>
      <c r="Q109" t="s">
        <v>272</v>
      </c>
      <c r="R109" t="s">
        <v>281</v>
      </c>
    </row>
    <row r="110" spans="1:18">
      <c r="A110" s="3" t="e">
        <f t="shared" si="8"/>
        <v>#VALUE!</v>
      </c>
      <c r="B110" t="e">
        <f t="shared" si="5"/>
        <v>#VALUE!</v>
      </c>
      <c r="C110" t="e">
        <f t="shared" si="9"/>
        <v>#VALUE!</v>
      </c>
      <c r="D110" t="e">
        <f t="shared" si="6"/>
        <v>#VALUE!</v>
      </c>
      <c r="E110">
        <f>IF($B$2&lt;&gt;$I$3,COUNTIF(Tab_fériés[date],A110),0)</f>
        <v>0</v>
      </c>
      <c r="F110">
        <f t="shared" si="7"/>
        <v>0</v>
      </c>
      <c r="O110" s="3">
        <v>41214</v>
      </c>
      <c r="P110">
        <v>2012</v>
      </c>
      <c r="Q110" t="s">
        <v>272</v>
      </c>
      <c r="R110" t="s">
        <v>282</v>
      </c>
    </row>
    <row r="111" spans="1:18">
      <c r="A111" s="3" t="e">
        <f t="shared" si="8"/>
        <v>#VALUE!</v>
      </c>
      <c r="B111" t="e">
        <f t="shared" si="5"/>
        <v>#VALUE!</v>
      </c>
      <c r="C111" t="e">
        <f t="shared" si="9"/>
        <v>#VALUE!</v>
      </c>
      <c r="D111" t="e">
        <f t="shared" si="6"/>
        <v>#VALUE!</v>
      </c>
      <c r="E111">
        <f>IF($B$2&lt;&gt;$I$3,COUNTIF(Tab_fériés[date],A111),0)</f>
        <v>0</v>
      </c>
      <c r="F111">
        <f t="shared" si="7"/>
        <v>0</v>
      </c>
      <c r="O111" s="3">
        <v>41224</v>
      </c>
      <c r="P111">
        <v>2012</v>
      </c>
      <c r="Q111" t="s">
        <v>272</v>
      </c>
      <c r="R111" s="145">
        <v>45241</v>
      </c>
    </row>
    <row r="112" spans="1:18">
      <c r="A112" s="3" t="e">
        <f t="shared" si="8"/>
        <v>#VALUE!</v>
      </c>
      <c r="B112" t="e">
        <f t="shared" si="5"/>
        <v>#VALUE!</v>
      </c>
      <c r="C112" t="e">
        <f t="shared" si="9"/>
        <v>#VALUE!</v>
      </c>
      <c r="D112" t="e">
        <f t="shared" si="6"/>
        <v>#VALUE!</v>
      </c>
      <c r="E112">
        <f>IF($B$2&lt;&gt;$I$3,COUNTIF(Tab_fériés[date],A112),0)</f>
        <v>0</v>
      </c>
      <c r="F112">
        <f t="shared" si="7"/>
        <v>0</v>
      </c>
      <c r="O112" s="3">
        <v>41268</v>
      </c>
      <c r="P112">
        <v>2012</v>
      </c>
      <c r="Q112" t="s">
        <v>272</v>
      </c>
      <c r="R112" t="s">
        <v>283</v>
      </c>
    </row>
    <row r="113" spans="1:18">
      <c r="A113" s="3" t="e">
        <f t="shared" si="8"/>
        <v>#VALUE!</v>
      </c>
      <c r="B113" t="e">
        <f t="shared" si="5"/>
        <v>#VALUE!</v>
      </c>
      <c r="C113" t="e">
        <f t="shared" si="9"/>
        <v>#VALUE!</v>
      </c>
      <c r="D113" t="e">
        <f t="shared" si="6"/>
        <v>#VALUE!</v>
      </c>
      <c r="E113">
        <f>IF($B$2&lt;&gt;$I$3,COUNTIF(Tab_fériés[date],A113),0)</f>
        <v>0</v>
      </c>
      <c r="F113">
        <f t="shared" si="7"/>
        <v>0</v>
      </c>
      <c r="O113" s="3">
        <v>41275</v>
      </c>
      <c r="P113">
        <v>2013</v>
      </c>
      <c r="Q113" t="s">
        <v>272</v>
      </c>
      <c r="R113" t="s">
        <v>273</v>
      </c>
    </row>
    <row r="114" spans="1:18">
      <c r="A114" s="3" t="e">
        <f t="shared" si="8"/>
        <v>#VALUE!</v>
      </c>
      <c r="B114" t="e">
        <f t="shared" si="5"/>
        <v>#VALUE!</v>
      </c>
      <c r="C114" t="e">
        <f t="shared" si="9"/>
        <v>#VALUE!</v>
      </c>
      <c r="D114" t="e">
        <f t="shared" si="6"/>
        <v>#VALUE!</v>
      </c>
      <c r="E114">
        <f>IF($B$2&lt;&gt;$I$3,COUNTIF(Tab_fériés[date],A114),0)</f>
        <v>0</v>
      </c>
      <c r="F114">
        <f t="shared" si="7"/>
        <v>0</v>
      </c>
      <c r="O114" s="3">
        <v>41365</v>
      </c>
      <c r="P114">
        <v>2013</v>
      </c>
      <c r="Q114" t="s">
        <v>272</v>
      </c>
      <c r="R114" t="s">
        <v>274</v>
      </c>
    </row>
    <row r="115" spans="1:18">
      <c r="A115" s="3" t="e">
        <f t="shared" si="8"/>
        <v>#VALUE!</v>
      </c>
      <c r="B115" t="e">
        <f t="shared" si="5"/>
        <v>#VALUE!</v>
      </c>
      <c r="C115" t="e">
        <f t="shared" si="9"/>
        <v>#VALUE!</v>
      </c>
      <c r="D115" t="e">
        <f t="shared" si="6"/>
        <v>#VALUE!</v>
      </c>
      <c r="E115">
        <f>IF($B$2&lt;&gt;$I$3,COUNTIF(Tab_fériés[date],A115),0)</f>
        <v>0</v>
      </c>
      <c r="F115">
        <f t="shared" si="7"/>
        <v>0</v>
      </c>
      <c r="O115" s="3">
        <v>41395</v>
      </c>
      <c r="P115">
        <v>2013</v>
      </c>
      <c r="Q115" t="s">
        <v>272</v>
      </c>
      <c r="R115" t="s">
        <v>275</v>
      </c>
    </row>
    <row r="116" spans="1:18">
      <c r="A116" s="3" t="e">
        <f t="shared" si="8"/>
        <v>#VALUE!</v>
      </c>
      <c r="B116" t="e">
        <f t="shared" si="5"/>
        <v>#VALUE!</v>
      </c>
      <c r="C116" t="e">
        <f t="shared" si="9"/>
        <v>#VALUE!</v>
      </c>
      <c r="D116" t="e">
        <f t="shared" si="6"/>
        <v>#VALUE!</v>
      </c>
      <c r="E116">
        <f>IF($B$2&lt;&gt;$I$3,COUNTIF(Tab_fériés[date],A116),0)</f>
        <v>0</v>
      </c>
      <c r="F116">
        <f t="shared" si="7"/>
        <v>0</v>
      </c>
      <c r="O116" s="3">
        <v>41402</v>
      </c>
      <c r="P116">
        <v>2013</v>
      </c>
      <c r="Q116" t="s">
        <v>272</v>
      </c>
      <c r="R116" s="145">
        <v>45054</v>
      </c>
    </row>
    <row r="117" spans="1:18">
      <c r="A117" s="3" t="e">
        <f t="shared" si="8"/>
        <v>#VALUE!</v>
      </c>
      <c r="B117" t="e">
        <f t="shared" si="5"/>
        <v>#VALUE!</v>
      </c>
      <c r="C117" t="e">
        <f t="shared" si="9"/>
        <v>#VALUE!</v>
      </c>
      <c r="D117" t="e">
        <f t="shared" si="6"/>
        <v>#VALUE!</v>
      </c>
      <c r="E117">
        <f>IF($B$2&lt;&gt;$I$3,COUNTIF(Tab_fériés[date],A117),0)</f>
        <v>0</v>
      </c>
      <c r="F117">
        <f t="shared" si="7"/>
        <v>0</v>
      </c>
      <c r="O117" s="3">
        <v>41403</v>
      </c>
      <c r="P117">
        <v>2013</v>
      </c>
      <c r="Q117" t="s">
        <v>272</v>
      </c>
      <c r="R117" t="s">
        <v>278</v>
      </c>
    </row>
    <row r="118" spans="1:18">
      <c r="A118" s="3" t="e">
        <f t="shared" si="8"/>
        <v>#VALUE!</v>
      </c>
      <c r="B118" t="e">
        <f t="shared" si="5"/>
        <v>#VALUE!</v>
      </c>
      <c r="C118" t="e">
        <f t="shared" si="9"/>
        <v>#VALUE!</v>
      </c>
      <c r="D118" t="e">
        <f t="shared" si="6"/>
        <v>#VALUE!</v>
      </c>
      <c r="E118">
        <f>IF($B$2&lt;&gt;$I$3,COUNTIF(Tab_fériés[date],A118),0)</f>
        <v>0</v>
      </c>
      <c r="F118">
        <f t="shared" si="7"/>
        <v>0</v>
      </c>
      <c r="O118" s="3">
        <v>41414</v>
      </c>
      <c r="P118">
        <v>2013</v>
      </c>
      <c r="Q118" t="s">
        <v>272</v>
      </c>
      <c r="R118" t="s">
        <v>279</v>
      </c>
    </row>
    <row r="119" spans="1:18">
      <c r="A119" s="3" t="e">
        <f t="shared" si="8"/>
        <v>#VALUE!</v>
      </c>
      <c r="B119" t="e">
        <f t="shared" si="5"/>
        <v>#VALUE!</v>
      </c>
      <c r="C119" t="e">
        <f t="shared" si="9"/>
        <v>#VALUE!</v>
      </c>
      <c r="D119" t="e">
        <f t="shared" si="6"/>
        <v>#VALUE!</v>
      </c>
      <c r="E119">
        <f>IF($B$2&lt;&gt;$I$3,COUNTIF(Tab_fériés[date],A119),0)</f>
        <v>0</v>
      </c>
      <c r="F119">
        <f t="shared" si="7"/>
        <v>0</v>
      </c>
      <c r="O119" s="3">
        <v>41469</v>
      </c>
      <c r="P119">
        <v>2013</v>
      </c>
      <c r="Q119" t="s">
        <v>272</v>
      </c>
      <c r="R119" s="145">
        <v>45121</v>
      </c>
    </row>
    <row r="120" spans="1:18">
      <c r="A120" s="3" t="e">
        <f t="shared" si="8"/>
        <v>#VALUE!</v>
      </c>
      <c r="B120" t="e">
        <f t="shared" si="5"/>
        <v>#VALUE!</v>
      </c>
      <c r="C120" t="e">
        <f t="shared" si="9"/>
        <v>#VALUE!</v>
      </c>
      <c r="D120" t="e">
        <f t="shared" si="6"/>
        <v>#VALUE!</v>
      </c>
      <c r="E120">
        <f>IF($B$2&lt;&gt;$I$3,COUNTIF(Tab_fériés[date],A120),0)</f>
        <v>0</v>
      </c>
      <c r="F120">
        <f t="shared" si="7"/>
        <v>0</v>
      </c>
      <c r="O120" s="3">
        <v>41501</v>
      </c>
      <c r="P120">
        <v>2013</v>
      </c>
      <c r="Q120" t="s">
        <v>272</v>
      </c>
      <c r="R120" t="s">
        <v>281</v>
      </c>
    </row>
    <row r="121" spans="1:18">
      <c r="A121" s="3" t="e">
        <f t="shared" si="8"/>
        <v>#VALUE!</v>
      </c>
      <c r="B121" t="e">
        <f t="shared" si="5"/>
        <v>#VALUE!</v>
      </c>
      <c r="C121" t="e">
        <f t="shared" si="9"/>
        <v>#VALUE!</v>
      </c>
      <c r="D121" t="e">
        <f t="shared" si="6"/>
        <v>#VALUE!</v>
      </c>
      <c r="E121">
        <f>IF($B$2&lt;&gt;$I$3,COUNTIF(Tab_fériés[date],A121),0)</f>
        <v>0</v>
      </c>
      <c r="F121">
        <f t="shared" si="7"/>
        <v>0</v>
      </c>
      <c r="O121" s="3">
        <v>41579</v>
      </c>
      <c r="P121">
        <v>2013</v>
      </c>
      <c r="Q121" t="s">
        <v>272</v>
      </c>
      <c r="R121" t="s">
        <v>282</v>
      </c>
    </row>
    <row r="122" spans="1:18">
      <c r="A122" s="3" t="e">
        <f t="shared" si="8"/>
        <v>#VALUE!</v>
      </c>
      <c r="B122" t="e">
        <f t="shared" si="5"/>
        <v>#VALUE!</v>
      </c>
      <c r="C122" t="e">
        <f t="shared" si="9"/>
        <v>#VALUE!</v>
      </c>
      <c r="D122" t="e">
        <f t="shared" si="6"/>
        <v>#VALUE!</v>
      </c>
      <c r="E122">
        <f>IF($B$2&lt;&gt;$I$3,COUNTIF(Tab_fériés[date],A122),0)</f>
        <v>0</v>
      </c>
      <c r="F122">
        <f t="shared" si="7"/>
        <v>0</v>
      </c>
      <c r="O122" s="3">
        <v>41589</v>
      </c>
      <c r="P122">
        <v>2013</v>
      </c>
      <c r="Q122" t="s">
        <v>272</v>
      </c>
      <c r="R122" s="145">
        <v>45241</v>
      </c>
    </row>
    <row r="123" spans="1:18">
      <c r="A123" s="3" t="e">
        <f t="shared" si="8"/>
        <v>#VALUE!</v>
      </c>
      <c r="B123" t="e">
        <f t="shared" si="5"/>
        <v>#VALUE!</v>
      </c>
      <c r="C123" t="e">
        <f t="shared" si="9"/>
        <v>#VALUE!</v>
      </c>
      <c r="D123" t="e">
        <f t="shared" si="6"/>
        <v>#VALUE!</v>
      </c>
      <c r="E123">
        <f>IF($B$2&lt;&gt;$I$3,COUNTIF(Tab_fériés[date],A123),0)</f>
        <v>0</v>
      </c>
      <c r="F123">
        <f t="shared" si="7"/>
        <v>0</v>
      </c>
      <c r="O123" s="3">
        <v>41633</v>
      </c>
      <c r="P123">
        <v>2013</v>
      </c>
      <c r="Q123" t="s">
        <v>272</v>
      </c>
      <c r="R123" t="s">
        <v>283</v>
      </c>
    </row>
    <row r="124" spans="1:18">
      <c r="A124" s="3" t="e">
        <f t="shared" si="8"/>
        <v>#VALUE!</v>
      </c>
      <c r="B124" t="e">
        <f t="shared" si="5"/>
        <v>#VALUE!</v>
      </c>
      <c r="C124" t="e">
        <f t="shared" si="9"/>
        <v>#VALUE!</v>
      </c>
      <c r="D124" t="e">
        <f t="shared" si="6"/>
        <v>#VALUE!</v>
      </c>
      <c r="E124">
        <f>IF($B$2&lt;&gt;$I$3,COUNTIF(Tab_fériés[date],A124),0)</f>
        <v>0</v>
      </c>
      <c r="F124">
        <f t="shared" si="7"/>
        <v>0</v>
      </c>
      <c r="O124" s="3">
        <v>41640</v>
      </c>
      <c r="P124">
        <v>2014</v>
      </c>
      <c r="Q124" t="s">
        <v>272</v>
      </c>
      <c r="R124" t="s">
        <v>273</v>
      </c>
    </row>
    <row r="125" spans="1:18">
      <c r="A125" s="3" t="e">
        <f t="shared" si="8"/>
        <v>#VALUE!</v>
      </c>
      <c r="B125" t="e">
        <f t="shared" si="5"/>
        <v>#VALUE!</v>
      </c>
      <c r="C125" t="e">
        <f t="shared" si="9"/>
        <v>#VALUE!</v>
      </c>
      <c r="D125" t="e">
        <f t="shared" si="6"/>
        <v>#VALUE!</v>
      </c>
      <c r="E125">
        <f>IF($B$2&lt;&gt;$I$3,COUNTIF(Tab_fériés[date],A125),0)</f>
        <v>0</v>
      </c>
      <c r="F125">
        <f t="shared" si="7"/>
        <v>0</v>
      </c>
      <c r="O125" s="3">
        <v>41750</v>
      </c>
      <c r="P125">
        <v>2014</v>
      </c>
      <c r="Q125" t="s">
        <v>272</v>
      </c>
      <c r="R125" t="s">
        <v>274</v>
      </c>
    </row>
    <row r="126" spans="1:18">
      <c r="A126" s="3" t="e">
        <f t="shared" si="8"/>
        <v>#VALUE!</v>
      </c>
      <c r="B126" t="e">
        <f t="shared" si="5"/>
        <v>#VALUE!</v>
      </c>
      <c r="C126" t="e">
        <f t="shared" si="9"/>
        <v>#VALUE!</v>
      </c>
      <c r="D126" t="e">
        <f t="shared" si="6"/>
        <v>#VALUE!</v>
      </c>
      <c r="E126">
        <f>IF($B$2&lt;&gt;$I$3,COUNTIF(Tab_fériés[date],A126),0)</f>
        <v>0</v>
      </c>
      <c r="F126">
        <f t="shared" si="7"/>
        <v>0</v>
      </c>
      <c r="O126" s="3">
        <v>41760</v>
      </c>
      <c r="P126">
        <v>2014</v>
      </c>
      <c r="Q126" t="s">
        <v>272</v>
      </c>
      <c r="R126" t="s">
        <v>275</v>
      </c>
    </row>
    <row r="127" spans="1:18">
      <c r="A127" s="3" t="e">
        <f t="shared" si="8"/>
        <v>#VALUE!</v>
      </c>
      <c r="B127" t="e">
        <f t="shared" si="5"/>
        <v>#VALUE!</v>
      </c>
      <c r="C127" t="e">
        <f t="shared" si="9"/>
        <v>#VALUE!</v>
      </c>
      <c r="D127" t="e">
        <f t="shared" si="6"/>
        <v>#VALUE!</v>
      </c>
      <c r="E127">
        <f>IF($B$2&lt;&gt;$I$3,COUNTIF(Tab_fériés[date],A127),0)</f>
        <v>0</v>
      </c>
      <c r="F127">
        <f t="shared" si="7"/>
        <v>0</v>
      </c>
      <c r="O127" s="3">
        <v>41767</v>
      </c>
      <c r="P127">
        <v>2014</v>
      </c>
      <c r="Q127" t="s">
        <v>272</v>
      </c>
      <c r="R127" s="145">
        <v>45054</v>
      </c>
    </row>
    <row r="128" spans="1:18">
      <c r="A128" s="3" t="e">
        <f t="shared" si="8"/>
        <v>#VALUE!</v>
      </c>
      <c r="B128" t="e">
        <f t="shared" si="5"/>
        <v>#VALUE!</v>
      </c>
      <c r="C128" t="e">
        <f t="shared" si="9"/>
        <v>#VALUE!</v>
      </c>
      <c r="D128" t="e">
        <f t="shared" si="6"/>
        <v>#VALUE!</v>
      </c>
      <c r="E128">
        <f>IF($B$2&lt;&gt;$I$3,COUNTIF(Tab_fériés[date],A128),0)</f>
        <v>0</v>
      </c>
      <c r="F128">
        <f t="shared" si="7"/>
        <v>0</v>
      </c>
      <c r="O128" s="3">
        <v>41788</v>
      </c>
      <c r="P128">
        <v>2014</v>
      </c>
      <c r="Q128" t="s">
        <v>272</v>
      </c>
      <c r="R128" t="s">
        <v>278</v>
      </c>
    </row>
    <row r="129" spans="1:18">
      <c r="A129" s="3" t="e">
        <f t="shared" si="8"/>
        <v>#VALUE!</v>
      </c>
      <c r="B129" t="e">
        <f t="shared" si="5"/>
        <v>#VALUE!</v>
      </c>
      <c r="C129" t="e">
        <f t="shared" si="9"/>
        <v>#VALUE!</v>
      </c>
      <c r="D129" t="e">
        <f t="shared" si="6"/>
        <v>#VALUE!</v>
      </c>
      <c r="E129">
        <f>IF($B$2&lt;&gt;$I$3,COUNTIF(Tab_fériés[date],A129),0)</f>
        <v>0</v>
      </c>
      <c r="F129">
        <f t="shared" si="7"/>
        <v>0</v>
      </c>
      <c r="O129" s="3">
        <v>41799</v>
      </c>
      <c r="P129">
        <v>2014</v>
      </c>
      <c r="Q129" t="s">
        <v>272</v>
      </c>
      <c r="R129" t="s">
        <v>279</v>
      </c>
    </row>
    <row r="130" spans="1:18">
      <c r="A130" s="3" t="e">
        <f t="shared" si="8"/>
        <v>#VALUE!</v>
      </c>
      <c r="B130" t="e">
        <f t="shared" si="5"/>
        <v>#VALUE!</v>
      </c>
      <c r="C130" t="e">
        <f t="shared" si="9"/>
        <v>#VALUE!</v>
      </c>
      <c r="D130" t="e">
        <f t="shared" si="6"/>
        <v>#VALUE!</v>
      </c>
      <c r="E130">
        <f>IF($B$2&lt;&gt;$I$3,COUNTIF(Tab_fériés[date],A130),0)</f>
        <v>0</v>
      </c>
      <c r="F130">
        <f t="shared" si="7"/>
        <v>0</v>
      </c>
      <c r="O130" s="3">
        <v>41834</v>
      </c>
      <c r="P130">
        <v>2014</v>
      </c>
      <c r="Q130" t="s">
        <v>272</v>
      </c>
      <c r="R130" s="145">
        <v>45121</v>
      </c>
    </row>
    <row r="131" spans="1:18">
      <c r="A131" s="3" t="e">
        <f t="shared" si="8"/>
        <v>#VALUE!</v>
      </c>
      <c r="B131" t="e">
        <f t="shared" si="5"/>
        <v>#VALUE!</v>
      </c>
      <c r="C131" t="e">
        <f t="shared" si="9"/>
        <v>#VALUE!</v>
      </c>
      <c r="D131" t="e">
        <f t="shared" si="6"/>
        <v>#VALUE!</v>
      </c>
      <c r="E131">
        <f>IF($B$2&lt;&gt;$I$3,COUNTIF(Tab_fériés[date],A131),0)</f>
        <v>0</v>
      </c>
      <c r="F131">
        <f t="shared" si="7"/>
        <v>0</v>
      </c>
      <c r="O131" s="3">
        <v>41866</v>
      </c>
      <c r="P131">
        <v>2014</v>
      </c>
      <c r="Q131" t="s">
        <v>272</v>
      </c>
      <c r="R131" t="s">
        <v>281</v>
      </c>
    </row>
    <row r="132" spans="1:18">
      <c r="A132" s="3" t="e">
        <f t="shared" si="8"/>
        <v>#VALUE!</v>
      </c>
      <c r="B132" t="e">
        <f t="shared" si="5"/>
        <v>#VALUE!</v>
      </c>
      <c r="C132" t="e">
        <f t="shared" si="9"/>
        <v>#VALUE!</v>
      </c>
      <c r="D132" t="e">
        <f t="shared" si="6"/>
        <v>#VALUE!</v>
      </c>
      <c r="E132">
        <f>IF($B$2&lt;&gt;$I$3,COUNTIF(Tab_fériés[date],A132),0)</f>
        <v>0</v>
      </c>
      <c r="F132">
        <f t="shared" si="7"/>
        <v>0</v>
      </c>
      <c r="O132" s="3">
        <v>41944</v>
      </c>
      <c r="P132">
        <v>2014</v>
      </c>
      <c r="Q132" t="s">
        <v>272</v>
      </c>
      <c r="R132" t="s">
        <v>282</v>
      </c>
    </row>
    <row r="133" spans="1:18">
      <c r="A133" s="3" t="e">
        <f t="shared" si="8"/>
        <v>#VALUE!</v>
      </c>
      <c r="B133" t="e">
        <f t="shared" ref="B133:B196" si="10">WEEKDAY(A133,2)</f>
        <v>#VALUE!</v>
      </c>
      <c r="C133" t="e">
        <f t="shared" si="9"/>
        <v>#VALUE!</v>
      </c>
      <c r="D133" t="e">
        <f t="shared" ref="D133:D196" si="11">IF(AND(B133=7,$B$2&lt;&gt;$I$3),1,0)</f>
        <v>#VALUE!</v>
      </c>
      <c r="E133">
        <f>IF($B$2&lt;&gt;$I$3,COUNTIF(Tab_fériés[date],A133),0)</f>
        <v>0</v>
      </c>
      <c r="F133">
        <f t="shared" ref="F133:F196" si="12">IFERROR(IF(SUM(C133:E133)&gt;0,1,0),0)</f>
        <v>0</v>
      </c>
      <c r="O133" s="3">
        <v>41954</v>
      </c>
      <c r="P133">
        <v>2014</v>
      </c>
      <c r="Q133" t="s">
        <v>272</v>
      </c>
      <c r="R133" s="145">
        <v>45241</v>
      </c>
    </row>
    <row r="134" spans="1:18">
      <c r="A134" s="3" t="e">
        <f t="shared" ref="A134:A197" si="13">A133+1</f>
        <v>#VALUE!</v>
      </c>
      <c r="B134" t="e">
        <f t="shared" si="10"/>
        <v>#VALUE!</v>
      </c>
      <c r="C134" t="e">
        <f t="shared" ref="C134:C197" si="14">IF(AND(B134=6,$B$2&lt;&gt;$I$3,$B$2&lt;&gt;$I$5),1,0)</f>
        <v>#VALUE!</v>
      </c>
      <c r="D134" t="e">
        <f t="shared" si="11"/>
        <v>#VALUE!</v>
      </c>
      <c r="E134">
        <f>IF($B$2&lt;&gt;$I$3,COUNTIF(Tab_fériés[date],A134),0)</f>
        <v>0</v>
      </c>
      <c r="F134">
        <f t="shared" si="12"/>
        <v>0</v>
      </c>
      <c r="O134" s="3">
        <v>41998</v>
      </c>
      <c r="P134">
        <v>2014</v>
      </c>
      <c r="Q134" t="s">
        <v>272</v>
      </c>
      <c r="R134" t="s">
        <v>283</v>
      </c>
    </row>
    <row r="135" spans="1:18">
      <c r="A135" s="3" t="e">
        <f t="shared" si="13"/>
        <v>#VALUE!</v>
      </c>
      <c r="B135" t="e">
        <f t="shared" si="10"/>
        <v>#VALUE!</v>
      </c>
      <c r="C135" t="e">
        <f t="shared" si="14"/>
        <v>#VALUE!</v>
      </c>
      <c r="D135" t="e">
        <f t="shared" si="11"/>
        <v>#VALUE!</v>
      </c>
      <c r="E135">
        <f>IF($B$2&lt;&gt;$I$3,COUNTIF(Tab_fériés[date],A135),0)</f>
        <v>0</v>
      </c>
      <c r="F135">
        <f t="shared" si="12"/>
        <v>0</v>
      </c>
      <c r="O135" s="3">
        <v>42005</v>
      </c>
      <c r="P135">
        <v>2015</v>
      </c>
      <c r="Q135" t="s">
        <v>272</v>
      </c>
      <c r="R135" t="s">
        <v>273</v>
      </c>
    </row>
    <row r="136" spans="1:18">
      <c r="A136" s="3" t="e">
        <f t="shared" si="13"/>
        <v>#VALUE!</v>
      </c>
      <c r="B136" t="e">
        <f t="shared" si="10"/>
        <v>#VALUE!</v>
      </c>
      <c r="C136" t="e">
        <f t="shared" si="14"/>
        <v>#VALUE!</v>
      </c>
      <c r="D136" t="e">
        <f t="shared" si="11"/>
        <v>#VALUE!</v>
      </c>
      <c r="E136">
        <f>IF($B$2&lt;&gt;$I$3,COUNTIF(Tab_fériés[date],A136),0)</f>
        <v>0</v>
      </c>
      <c r="F136">
        <f t="shared" si="12"/>
        <v>0</v>
      </c>
      <c r="O136" s="3">
        <v>42100</v>
      </c>
      <c r="P136">
        <v>2015</v>
      </c>
      <c r="Q136" t="s">
        <v>272</v>
      </c>
      <c r="R136" t="s">
        <v>274</v>
      </c>
    </row>
    <row r="137" spans="1:18">
      <c r="A137" s="3" t="e">
        <f t="shared" si="13"/>
        <v>#VALUE!</v>
      </c>
      <c r="B137" t="e">
        <f t="shared" si="10"/>
        <v>#VALUE!</v>
      </c>
      <c r="C137" t="e">
        <f t="shared" si="14"/>
        <v>#VALUE!</v>
      </c>
      <c r="D137" t="e">
        <f t="shared" si="11"/>
        <v>#VALUE!</v>
      </c>
      <c r="E137">
        <f>IF($B$2&lt;&gt;$I$3,COUNTIF(Tab_fériés[date],A137),0)</f>
        <v>0</v>
      </c>
      <c r="F137">
        <f t="shared" si="12"/>
        <v>0</v>
      </c>
      <c r="O137" s="3">
        <v>42125</v>
      </c>
      <c r="P137">
        <v>2015</v>
      </c>
      <c r="Q137" t="s">
        <v>272</v>
      </c>
      <c r="R137" t="s">
        <v>275</v>
      </c>
    </row>
    <row r="138" spans="1:18">
      <c r="A138" s="3" t="e">
        <f t="shared" si="13"/>
        <v>#VALUE!</v>
      </c>
      <c r="B138" t="e">
        <f t="shared" si="10"/>
        <v>#VALUE!</v>
      </c>
      <c r="C138" t="e">
        <f t="shared" si="14"/>
        <v>#VALUE!</v>
      </c>
      <c r="D138" t="e">
        <f t="shared" si="11"/>
        <v>#VALUE!</v>
      </c>
      <c r="E138">
        <f>IF($B$2&lt;&gt;$I$3,COUNTIF(Tab_fériés[date],A138),0)</f>
        <v>0</v>
      </c>
      <c r="F138">
        <f t="shared" si="12"/>
        <v>0</v>
      </c>
      <c r="O138" s="3">
        <v>42132</v>
      </c>
      <c r="P138">
        <v>2015</v>
      </c>
      <c r="Q138" t="s">
        <v>272</v>
      </c>
      <c r="R138" s="145">
        <v>45054</v>
      </c>
    </row>
    <row r="139" spans="1:18">
      <c r="A139" s="3" t="e">
        <f t="shared" si="13"/>
        <v>#VALUE!</v>
      </c>
      <c r="B139" t="e">
        <f t="shared" si="10"/>
        <v>#VALUE!</v>
      </c>
      <c r="C139" t="e">
        <f t="shared" si="14"/>
        <v>#VALUE!</v>
      </c>
      <c r="D139" t="e">
        <f t="shared" si="11"/>
        <v>#VALUE!</v>
      </c>
      <c r="E139">
        <f>IF($B$2&lt;&gt;$I$3,COUNTIF(Tab_fériés[date],A139),0)</f>
        <v>0</v>
      </c>
      <c r="F139">
        <f t="shared" si="12"/>
        <v>0</v>
      </c>
      <c r="O139" s="3">
        <v>42138</v>
      </c>
      <c r="P139">
        <v>2015</v>
      </c>
      <c r="Q139" t="s">
        <v>272</v>
      </c>
      <c r="R139" t="s">
        <v>278</v>
      </c>
    </row>
    <row r="140" spans="1:18">
      <c r="A140" s="3" t="e">
        <f t="shared" si="13"/>
        <v>#VALUE!</v>
      </c>
      <c r="B140" t="e">
        <f t="shared" si="10"/>
        <v>#VALUE!</v>
      </c>
      <c r="C140" t="e">
        <f t="shared" si="14"/>
        <v>#VALUE!</v>
      </c>
      <c r="D140" t="e">
        <f t="shared" si="11"/>
        <v>#VALUE!</v>
      </c>
      <c r="E140">
        <f>IF($B$2&lt;&gt;$I$3,COUNTIF(Tab_fériés[date],A140),0)</f>
        <v>0</v>
      </c>
      <c r="F140">
        <f t="shared" si="12"/>
        <v>0</v>
      </c>
      <c r="O140" s="3">
        <v>42149</v>
      </c>
      <c r="P140">
        <v>2015</v>
      </c>
      <c r="Q140" t="s">
        <v>272</v>
      </c>
      <c r="R140" t="s">
        <v>279</v>
      </c>
    </row>
    <row r="141" spans="1:18">
      <c r="A141" s="3" t="e">
        <f t="shared" si="13"/>
        <v>#VALUE!</v>
      </c>
      <c r="B141" t="e">
        <f t="shared" si="10"/>
        <v>#VALUE!</v>
      </c>
      <c r="C141" t="e">
        <f t="shared" si="14"/>
        <v>#VALUE!</v>
      </c>
      <c r="D141" t="e">
        <f t="shared" si="11"/>
        <v>#VALUE!</v>
      </c>
      <c r="E141">
        <f>IF($B$2&lt;&gt;$I$3,COUNTIF(Tab_fériés[date],A141),0)</f>
        <v>0</v>
      </c>
      <c r="F141">
        <f t="shared" si="12"/>
        <v>0</v>
      </c>
      <c r="O141" s="3">
        <v>42199</v>
      </c>
      <c r="P141">
        <v>2015</v>
      </c>
      <c r="Q141" t="s">
        <v>272</v>
      </c>
      <c r="R141" s="145">
        <v>45121</v>
      </c>
    </row>
    <row r="142" spans="1:18">
      <c r="A142" s="3" t="e">
        <f t="shared" si="13"/>
        <v>#VALUE!</v>
      </c>
      <c r="B142" t="e">
        <f t="shared" si="10"/>
        <v>#VALUE!</v>
      </c>
      <c r="C142" t="e">
        <f t="shared" si="14"/>
        <v>#VALUE!</v>
      </c>
      <c r="D142" t="e">
        <f t="shared" si="11"/>
        <v>#VALUE!</v>
      </c>
      <c r="E142">
        <f>IF($B$2&lt;&gt;$I$3,COUNTIF(Tab_fériés[date],A142),0)</f>
        <v>0</v>
      </c>
      <c r="F142">
        <f t="shared" si="12"/>
        <v>0</v>
      </c>
      <c r="O142" s="3">
        <v>42231</v>
      </c>
      <c r="P142">
        <v>2015</v>
      </c>
      <c r="Q142" t="s">
        <v>272</v>
      </c>
      <c r="R142" t="s">
        <v>281</v>
      </c>
    </row>
    <row r="143" spans="1:18">
      <c r="A143" s="3" t="e">
        <f t="shared" si="13"/>
        <v>#VALUE!</v>
      </c>
      <c r="B143" t="e">
        <f t="shared" si="10"/>
        <v>#VALUE!</v>
      </c>
      <c r="C143" t="e">
        <f t="shared" si="14"/>
        <v>#VALUE!</v>
      </c>
      <c r="D143" t="e">
        <f t="shared" si="11"/>
        <v>#VALUE!</v>
      </c>
      <c r="E143">
        <f>IF($B$2&lt;&gt;$I$3,COUNTIF(Tab_fériés[date],A143),0)</f>
        <v>0</v>
      </c>
      <c r="F143">
        <f t="shared" si="12"/>
        <v>0</v>
      </c>
      <c r="O143" s="3">
        <v>42309</v>
      </c>
      <c r="P143">
        <v>2015</v>
      </c>
      <c r="Q143" t="s">
        <v>272</v>
      </c>
      <c r="R143" t="s">
        <v>282</v>
      </c>
    </row>
    <row r="144" spans="1:18">
      <c r="A144" s="3" t="e">
        <f t="shared" si="13"/>
        <v>#VALUE!</v>
      </c>
      <c r="B144" t="e">
        <f t="shared" si="10"/>
        <v>#VALUE!</v>
      </c>
      <c r="C144" t="e">
        <f t="shared" si="14"/>
        <v>#VALUE!</v>
      </c>
      <c r="D144" t="e">
        <f t="shared" si="11"/>
        <v>#VALUE!</v>
      </c>
      <c r="E144">
        <f>IF($B$2&lt;&gt;$I$3,COUNTIF(Tab_fériés[date],A144),0)</f>
        <v>0</v>
      </c>
      <c r="F144">
        <f t="shared" si="12"/>
        <v>0</v>
      </c>
      <c r="O144" s="3">
        <v>42319</v>
      </c>
      <c r="P144">
        <v>2015</v>
      </c>
      <c r="Q144" t="s">
        <v>272</v>
      </c>
      <c r="R144" s="145">
        <v>45241</v>
      </c>
    </row>
    <row r="145" spans="1:18">
      <c r="A145" s="3" t="e">
        <f t="shared" si="13"/>
        <v>#VALUE!</v>
      </c>
      <c r="B145" t="e">
        <f t="shared" si="10"/>
        <v>#VALUE!</v>
      </c>
      <c r="C145" t="e">
        <f t="shared" si="14"/>
        <v>#VALUE!</v>
      </c>
      <c r="D145" t="e">
        <f t="shared" si="11"/>
        <v>#VALUE!</v>
      </c>
      <c r="E145">
        <f>IF($B$2&lt;&gt;$I$3,COUNTIF(Tab_fériés[date],A145),0)</f>
        <v>0</v>
      </c>
      <c r="F145">
        <f t="shared" si="12"/>
        <v>0</v>
      </c>
      <c r="O145" s="3">
        <v>42363</v>
      </c>
      <c r="P145">
        <v>2015</v>
      </c>
      <c r="Q145" t="s">
        <v>272</v>
      </c>
      <c r="R145" t="s">
        <v>283</v>
      </c>
    </row>
    <row r="146" spans="1:18">
      <c r="A146" s="3" t="e">
        <f t="shared" si="13"/>
        <v>#VALUE!</v>
      </c>
      <c r="B146" t="e">
        <f t="shared" si="10"/>
        <v>#VALUE!</v>
      </c>
      <c r="C146" t="e">
        <f t="shared" si="14"/>
        <v>#VALUE!</v>
      </c>
      <c r="D146" t="e">
        <f t="shared" si="11"/>
        <v>#VALUE!</v>
      </c>
      <c r="E146">
        <f>IF($B$2&lt;&gt;$I$3,COUNTIF(Tab_fériés[date],A146),0)</f>
        <v>0</v>
      </c>
      <c r="F146">
        <f t="shared" si="12"/>
        <v>0</v>
      </c>
      <c r="O146" s="3">
        <v>42370</v>
      </c>
      <c r="P146">
        <v>2016</v>
      </c>
      <c r="Q146" t="s">
        <v>272</v>
      </c>
      <c r="R146" t="s">
        <v>273</v>
      </c>
    </row>
    <row r="147" spans="1:18">
      <c r="A147" s="3" t="e">
        <f t="shared" si="13"/>
        <v>#VALUE!</v>
      </c>
      <c r="B147" t="e">
        <f t="shared" si="10"/>
        <v>#VALUE!</v>
      </c>
      <c r="C147" t="e">
        <f t="shared" si="14"/>
        <v>#VALUE!</v>
      </c>
      <c r="D147" t="e">
        <f t="shared" si="11"/>
        <v>#VALUE!</v>
      </c>
      <c r="E147">
        <f>IF($B$2&lt;&gt;$I$3,COUNTIF(Tab_fériés[date],A147),0)</f>
        <v>0</v>
      </c>
      <c r="F147">
        <f t="shared" si="12"/>
        <v>0</v>
      </c>
      <c r="O147" s="3">
        <v>42457</v>
      </c>
      <c r="P147">
        <v>2016</v>
      </c>
      <c r="Q147" t="s">
        <v>272</v>
      </c>
      <c r="R147" t="s">
        <v>274</v>
      </c>
    </row>
    <row r="148" spans="1:18">
      <c r="A148" s="3" t="e">
        <f t="shared" si="13"/>
        <v>#VALUE!</v>
      </c>
      <c r="B148" t="e">
        <f t="shared" si="10"/>
        <v>#VALUE!</v>
      </c>
      <c r="C148" t="e">
        <f t="shared" si="14"/>
        <v>#VALUE!</v>
      </c>
      <c r="D148" t="e">
        <f t="shared" si="11"/>
        <v>#VALUE!</v>
      </c>
      <c r="E148">
        <f>IF($B$2&lt;&gt;$I$3,COUNTIF(Tab_fériés[date],A148),0)</f>
        <v>0</v>
      </c>
      <c r="F148">
        <f t="shared" si="12"/>
        <v>0</v>
      </c>
      <c r="O148" s="3">
        <v>42491</v>
      </c>
      <c r="P148">
        <v>2016</v>
      </c>
      <c r="Q148" t="s">
        <v>272</v>
      </c>
      <c r="R148" t="s">
        <v>275</v>
      </c>
    </row>
    <row r="149" spans="1:18">
      <c r="A149" s="3" t="e">
        <f t="shared" si="13"/>
        <v>#VALUE!</v>
      </c>
      <c r="B149" t="e">
        <f t="shared" si="10"/>
        <v>#VALUE!</v>
      </c>
      <c r="C149" t="e">
        <f t="shared" si="14"/>
        <v>#VALUE!</v>
      </c>
      <c r="D149" t="e">
        <f t="shared" si="11"/>
        <v>#VALUE!</v>
      </c>
      <c r="E149">
        <f>IF($B$2&lt;&gt;$I$3,COUNTIF(Tab_fériés[date],A149),0)</f>
        <v>0</v>
      </c>
      <c r="F149">
        <f t="shared" si="12"/>
        <v>0</v>
      </c>
      <c r="O149" s="3">
        <v>42495</v>
      </c>
      <c r="P149">
        <v>2016</v>
      </c>
      <c r="Q149" t="s">
        <v>272</v>
      </c>
      <c r="R149" t="s">
        <v>278</v>
      </c>
    </row>
    <row r="150" spans="1:18">
      <c r="A150" s="3" t="e">
        <f t="shared" si="13"/>
        <v>#VALUE!</v>
      </c>
      <c r="B150" t="e">
        <f t="shared" si="10"/>
        <v>#VALUE!</v>
      </c>
      <c r="C150" t="e">
        <f t="shared" si="14"/>
        <v>#VALUE!</v>
      </c>
      <c r="D150" t="e">
        <f t="shared" si="11"/>
        <v>#VALUE!</v>
      </c>
      <c r="E150">
        <f>IF($B$2&lt;&gt;$I$3,COUNTIF(Tab_fériés[date],A150),0)</f>
        <v>0</v>
      </c>
      <c r="F150">
        <f t="shared" si="12"/>
        <v>0</v>
      </c>
      <c r="O150" s="3">
        <v>42498</v>
      </c>
      <c r="P150">
        <v>2016</v>
      </c>
      <c r="Q150" t="s">
        <v>272</v>
      </c>
      <c r="R150" s="145">
        <v>45054</v>
      </c>
    </row>
    <row r="151" spans="1:18">
      <c r="A151" s="3" t="e">
        <f t="shared" si="13"/>
        <v>#VALUE!</v>
      </c>
      <c r="B151" t="e">
        <f t="shared" si="10"/>
        <v>#VALUE!</v>
      </c>
      <c r="C151" t="e">
        <f t="shared" si="14"/>
        <v>#VALUE!</v>
      </c>
      <c r="D151" t="e">
        <f t="shared" si="11"/>
        <v>#VALUE!</v>
      </c>
      <c r="E151">
        <f>IF($B$2&lt;&gt;$I$3,COUNTIF(Tab_fériés[date],A151),0)</f>
        <v>0</v>
      </c>
      <c r="F151">
        <f t="shared" si="12"/>
        <v>0</v>
      </c>
      <c r="O151" s="3">
        <v>42506</v>
      </c>
      <c r="P151">
        <v>2016</v>
      </c>
      <c r="Q151" t="s">
        <v>272</v>
      </c>
      <c r="R151" t="s">
        <v>279</v>
      </c>
    </row>
    <row r="152" spans="1:18">
      <c r="A152" s="3" t="e">
        <f t="shared" si="13"/>
        <v>#VALUE!</v>
      </c>
      <c r="B152" t="e">
        <f t="shared" si="10"/>
        <v>#VALUE!</v>
      </c>
      <c r="C152" t="e">
        <f t="shared" si="14"/>
        <v>#VALUE!</v>
      </c>
      <c r="D152" t="e">
        <f t="shared" si="11"/>
        <v>#VALUE!</v>
      </c>
      <c r="E152">
        <f>IF($B$2&lt;&gt;$I$3,COUNTIF(Tab_fériés[date],A152),0)</f>
        <v>0</v>
      </c>
      <c r="F152">
        <f t="shared" si="12"/>
        <v>0</v>
      </c>
      <c r="O152" s="3">
        <v>42565</v>
      </c>
      <c r="P152">
        <v>2016</v>
      </c>
      <c r="Q152" t="s">
        <v>272</v>
      </c>
      <c r="R152" s="145">
        <v>45121</v>
      </c>
    </row>
    <row r="153" spans="1:18">
      <c r="A153" s="3" t="e">
        <f t="shared" si="13"/>
        <v>#VALUE!</v>
      </c>
      <c r="B153" t="e">
        <f t="shared" si="10"/>
        <v>#VALUE!</v>
      </c>
      <c r="C153" t="e">
        <f t="shared" si="14"/>
        <v>#VALUE!</v>
      </c>
      <c r="D153" t="e">
        <f t="shared" si="11"/>
        <v>#VALUE!</v>
      </c>
      <c r="E153">
        <f>IF($B$2&lt;&gt;$I$3,COUNTIF(Tab_fériés[date],A153),0)</f>
        <v>0</v>
      </c>
      <c r="F153">
        <f t="shared" si="12"/>
        <v>0</v>
      </c>
      <c r="O153" s="3">
        <v>42597</v>
      </c>
      <c r="P153">
        <v>2016</v>
      </c>
      <c r="Q153" t="s">
        <v>272</v>
      </c>
      <c r="R153" t="s">
        <v>281</v>
      </c>
    </row>
    <row r="154" spans="1:18">
      <c r="A154" s="3" t="e">
        <f t="shared" si="13"/>
        <v>#VALUE!</v>
      </c>
      <c r="B154" t="e">
        <f t="shared" si="10"/>
        <v>#VALUE!</v>
      </c>
      <c r="C154" t="e">
        <f t="shared" si="14"/>
        <v>#VALUE!</v>
      </c>
      <c r="D154" t="e">
        <f t="shared" si="11"/>
        <v>#VALUE!</v>
      </c>
      <c r="E154">
        <f>IF($B$2&lt;&gt;$I$3,COUNTIF(Tab_fériés[date],A154),0)</f>
        <v>0</v>
      </c>
      <c r="F154">
        <f t="shared" si="12"/>
        <v>0</v>
      </c>
      <c r="O154" s="3">
        <v>42675</v>
      </c>
      <c r="P154">
        <v>2016</v>
      </c>
      <c r="Q154" t="s">
        <v>272</v>
      </c>
      <c r="R154" t="s">
        <v>282</v>
      </c>
    </row>
    <row r="155" spans="1:18">
      <c r="A155" s="3" t="e">
        <f t="shared" si="13"/>
        <v>#VALUE!</v>
      </c>
      <c r="B155" t="e">
        <f t="shared" si="10"/>
        <v>#VALUE!</v>
      </c>
      <c r="C155" t="e">
        <f t="shared" si="14"/>
        <v>#VALUE!</v>
      </c>
      <c r="D155" t="e">
        <f t="shared" si="11"/>
        <v>#VALUE!</v>
      </c>
      <c r="E155">
        <f>IF($B$2&lt;&gt;$I$3,COUNTIF(Tab_fériés[date],A155),0)</f>
        <v>0</v>
      </c>
      <c r="F155">
        <f t="shared" si="12"/>
        <v>0</v>
      </c>
      <c r="O155" s="3">
        <v>42685</v>
      </c>
      <c r="P155">
        <v>2016</v>
      </c>
      <c r="Q155" t="s">
        <v>272</v>
      </c>
      <c r="R155" s="145">
        <v>45241</v>
      </c>
    </row>
    <row r="156" spans="1:18">
      <c r="A156" s="3" t="e">
        <f t="shared" si="13"/>
        <v>#VALUE!</v>
      </c>
      <c r="B156" t="e">
        <f t="shared" si="10"/>
        <v>#VALUE!</v>
      </c>
      <c r="C156" t="e">
        <f t="shared" si="14"/>
        <v>#VALUE!</v>
      </c>
      <c r="D156" t="e">
        <f t="shared" si="11"/>
        <v>#VALUE!</v>
      </c>
      <c r="E156">
        <f>IF($B$2&lt;&gt;$I$3,COUNTIF(Tab_fériés[date],A156),0)</f>
        <v>0</v>
      </c>
      <c r="F156">
        <f t="shared" si="12"/>
        <v>0</v>
      </c>
      <c r="O156" s="3">
        <v>42729</v>
      </c>
      <c r="P156">
        <v>2016</v>
      </c>
      <c r="Q156" t="s">
        <v>272</v>
      </c>
      <c r="R156" t="s">
        <v>283</v>
      </c>
    </row>
    <row r="157" spans="1:18">
      <c r="A157" s="3" t="e">
        <f t="shared" si="13"/>
        <v>#VALUE!</v>
      </c>
      <c r="B157" t="e">
        <f t="shared" si="10"/>
        <v>#VALUE!</v>
      </c>
      <c r="C157" t="e">
        <f t="shared" si="14"/>
        <v>#VALUE!</v>
      </c>
      <c r="D157" t="e">
        <f t="shared" si="11"/>
        <v>#VALUE!</v>
      </c>
      <c r="E157">
        <f>IF($B$2&lt;&gt;$I$3,COUNTIF(Tab_fériés[date],A157),0)</f>
        <v>0</v>
      </c>
      <c r="F157">
        <f t="shared" si="12"/>
        <v>0</v>
      </c>
      <c r="O157" s="3">
        <v>42736</v>
      </c>
      <c r="P157">
        <v>2017</v>
      </c>
      <c r="Q157" t="s">
        <v>272</v>
      </c>
      <c r="R157" t="s">
        <v>273</v>
      </c>
    </row>
    <row r="158" spans="1:18">
      <c r="A158" s="3" t="e">
        <f t="shared" si="13"/>
        <v>#VALUE!</v>
      </c>
      <c r="B158" t="e">
        <f t="shared" si="10"/>
        <v>#VALUE!</v>
      </c>
      <c r="C158" t="e">
        <f t="shared" si="14"/>
        <v>#VALUE!</v>
      </c>
      <c r="D158" t="e">
        <f t="shared" si="11"/>
        <v>#VALUE!</v>
      </c>
      <c r="E158">
        <f>IF($B$2&lt;&gt;$I$3,COUNTIF(Tab_fériés[date],A158),0)</f>
        <v>0</v>
      </c>
      <c r="F158">
        <f t="shared" si="12"/>
        <v>0</v>
      </c>
      <c r="O158" s="3">
        <v>42842</v>
      </c>
      <c r="P158">
        <v>2017</v>
      </c>
      <c r="Q158" t="s">
        <v>272</v>
      </c>
      <c r="R158" t="s">
        <v>274</v>
      </c>
    </row>
    <row r="159" spans="1:18">
      <c r="A159" s="3" t="e">
        <f t="shared" si="13"/>
        <v>#VALUE!</v>
      </c>
      <c r="B159" t="e">
        <f t="shared" si="10"/>
        <v>#VALUE!</v>
      </c>
      <c r="C159" t="e">
        <f t="shared" si="14"/>
        <v>#VALUE!</v>
      </c>
      <c r="D159" t="e">
        <f t="shared" si="11"/>
        <v>#VALUE!</v>
      </c>
      <c r="E159">
        <f>IF($B$2&lt;&gt;$I$3,COUNTIF(Tab_fériés[date],A159),0)</f>
        <v>0</v>
      </c>
      <c r="F159">
        <f t="shared" si="12"/>
        <v>0</v>
      </c>
      <c r="O159" s="3">
        <v>42856</v>
      </c>
      <c r="P159">
        <v>2017</v>
      </c>
      <c r="Q159" t="s">
        <v>272</v>
      </c>
      <c r="R159" t="s">
        <v>275</v>
      </c>
    </row>
    <row r="160" spans="1:18">
      <c r="A160" s="3" t="e">
        <f t="shared" si="13"/>
        <v>#VALUE!</v>
      </c>
      <c r="B160" t="e">
        <f t="shared" si="10"/>
        <v>#VALUE!</v>
      </c>
      <c r="C160" t="e">
        <f t="shared" si="14"/>
        <v>#VALUE!</v>
      </c>
      <c r="D160" t="e">
        <f t="shared" si="11"/>
        <v>#VALUE!</v>
      </c>
      <c r="E160">
        <f>IF($B$2&lt;&gt;$I$3,COUNTIF(Tab_fériés[date],A160),0)</f>
        <v>0</v>
      </c>
      <c r="F160">
        <f t="shared" si="12"/>
        <v>0</v>
      </c>
      <c r="O160" s="3">
        <v>42863</v>
      </c>
      <c r="P160">
        <v>2017</v>
      </c>
      <c r="Q160" t="s">
        <v>272</v>
      </c>
      <c r="R160" s="145">
        <v>45054</v>
      </c>
    </row>
    <row r="161" spans="1:18">
      <c r="A161" s="3" t="e">
        <f t="shared" si="13"/>
        <v>#VALUE!</v>
      </c>
      <c r="B161" t="e">
        <f t="shared" si="10"/>
        <v>#VALUE!</v>
      </c>
      <c r="C161" t="e">
        <f t="shared" si="14"/>
        <v>#VALUE!</v>
      </c>
      <c r="D161" t="e">
        <f t="shared" si="11"/>
        <v>#VALUE!</v>
      </c>
      <c r="E161">
        <f>IF($B$2&lt;&gt;$I$3,COUNTIF(Tab_fériés[date],A161),0)</f>
        <v>0</v>
      </c>
      <c r="F161">
        <f t="shared" si="12"/>
        <v>0</v>
      </c>
      <c r="O161" s="3">
        <v>42880</v>
      </c>
      <c r="P161">
        <v>2017</v>
      </c>
      <c r="Q161" t="s">
        <v>272</v>
      </c>
      <c r="R161" t="s">
        <v>278</v>
      </c>
    </row>
    <row r="162" spans="1:18">
      <c r="A162" s="3" t="e">
        <f t="shared" si="13"/>
        <v>#VALUE!</v>
      </c>
      <c r="B162" t="e">
        <f t="shared" si="10"/>
        <v>#VALUE!</v>
      </c>
      <c r="C162" t="e">
        <f t="shared" si="14"/>
        <v>#VALUE!</v>
      </c>
      <c r="D162" t="e">
        <f t="shared" si="11"/>
        <v>#VALUE!</v>
      </c>
      <c r="E162">
        <f>IF($B$2&lt;&gt;$I$3,COUNTIF(Tab_fériés[date],A162),0)</f>
        <v>0</v>
      </c>
      <c r="F162">
        <f t="shared" si="12"/>
        <v>0</v>
      </c>
      <c r="O162" s="3">
        <v>42891</v>
      </c>
      <c r="P162">
        <v>2017</v>
      </c>
      <c r="Q162" t="s">
        <v>272</v>
      </c>
      <c r="R162" t="s">
        <v>279</v>
      </c>
    </row>
    <row r="163" spans="1:18">
      <c r="A163" s="3" t="e">
        <f t="shared" si="13"/>
        <v>#VALUE!</v>
      </c>
      <c r="B163" t="e">
        <f t="shared" si="10"/>
        <v>#VALUE!</v>
      </c>
      <c r="C163" t="e">
        <f t="shared" si="14"/>
        <v>#VALUE!</v>
      </c>
      <c r="D163" t="e">
        <f t="shared" si="11"/>
        <v>#VALUE!</v>
      </c>
      <c r="E163">
        <f>IF($B$2&lt;&gt;$I$3,COUNTIF(Tab_fériés[date],A163),0)</f>
        <v>0</v>
      </c>
      <c r="F163">
        <f t="shared" si="12"/>
        <v>0</v>
      </c>
      <c r="O163" s="3">
        <v>42930</v>
      </c>
      <c r="P163">
        <v>2017</v>
      </c>
      <c r="Q163" t="s">
        <v>272</v>
      </c>
      <c r="R163" s="145">
        <v>45121</v>
      </c>
    </row>
    <row r="164" spans="1:18">
      <c r="A164" s="3" t="e">
        <f t="shared" si="13"/>
        <v>#VALUE!</v>
      </c>
      <c r="B164" t="e">
        <f t="shared" si="10"/>
        <v>#VALUE!</v>
      </c>
      <c r="C164" t="e">
        <f t="shared" si="14"/>
        <v>#VALUE!</v>
      </c>
      <c r="D164" t="e">
        <f t="shared" si="11"/>
        <v>#VALUE!</v>
      </c>
      <c r="E164">
        <f>IF($B$2&lt;&gt;$I$3,COUNTIF(Tab_fériés[date],A164),0)</f>
        <v>0</v>
      </c>
      <c r="F164">
        <f t="shared" si="12"/>
        <v>0</v>
      </c>
      <c r="O164" s="3">
        <v>42962</v>
      </c>
      <c r="P164">
        <v>2017</v>
      </c>
      <c r="Q164" t="s">
        <v>272</v>
      </c>
      <c r="R164" t="s">
        <v>281</v>
      </c>
    </row>
    <row r="165" spans="1:18">
      <c r="A165" s="3" t="e">
        <f t="shared" si="13"/>
        <v>#VALUE!</v>
      </c>
      <c r="B165" t="e">
        <f t="shared" si="10"/>
        <v>#VALUE!</v>
      </c>
      <c r="C165" t="e">
        <f t="shared" si="14"/>
        <v>#VALUE!</v>
      </c>
      <c r="D165" t="e">
        <f t="shared" si="11"/>
        <v>#VALUE!</v>
      </c>
      <c r="E165">
        <f>IF($B$2&lt;&gt;$I$3,COUNTIF(Tab_fériés[date],A165),0)</f>
        <v>0</v>
      </c>
      <c r="F165">
        <f t="shared" si="12"/>
        <v>0</v>
      </c>
      <c r="O165" s="3">
        <v>43040</v>
      </c>
      <c r="P165">
        <v>2017</v>
      </c>
      <c r="Q165" t="s">
        <v>272</v>
      </c>
      <c r="R165" t="s">
        <v>282</v>
      </c>
    </row>
    <row r="166" spans="1:18">
      <c r="A166" s="3" t="e">
        <f t="shared" si="13"/>
        <v>#VALUE!</v>
      </c>
      <c r="B166" t="e">
        <f t="shared" si="10"/>
        <v>#VALUE!</v>
      </c>
      <c r="C166" t="e">
        <f t="shared" si="14"/>
        <v>#VALUE!</v>
      </c>
      <c r="D166" t="e">
        <f t="shared" si="11"/>
        <v>#VALUE!</v>
      </c>
      <c r="E166">
        <f>IF($B$2&lt;&gt;$I$3,COUNTIF(Tab_fériés[date],A166),0)</f>
        <v>0</v>
      </c>
      <c r="F166">
        <f t="shared" si="12"/>
        <v>0</v>
      </c>
      <c r="O166" s="3">
        <v>43050</v>
      </c>
      <c r="P166">
        <v>2017</v>
      </c>
      <c r="Q166" t="s">
        <v>272</v>
      </c>
      <c r="R166" s="145">
        <v>45241</v>
      </c>
    </row>
    <row r="167" spans="1:18">
      <c r="A167" s="3" t="e">
        <f t="shared" si="13"/>
        <v>#VALUE!</v>
      </c>
      <c r="B167" t="e">
        <f t="shared" si="10"/>
        <v>#VALUE!</v>
      </c>
      <c r="C167" t="e">
        <f t="shared" si="14"/>
        <v>#VALUE!</v>
      </c>
      <c r="D167" t="e">
        <f t="shared" si="11"/>
        <v>#VALUE!</v>
      </c>
      <c r="E167">
        <f>IF($B$2&lt;&gt;$I$3,COUNTIF(Tab_fériés[date],A167),0)</f>
        <v>0</v>
      </c>
      <c r="F167">
        <f t="shared" si="12"/>
        <v>0</v>
      </c>
      <c r="O167" s="3">
        <v>43094</v>
      </c>
      <c r="P167">
        <v>2017</v>
      </c>
      <c r="Q167" t="s">
        <v>272</v>
      </c>
      <c r="R167" t="s">
        <v>283</v>
      </c>
    </row>
    <row r="168" spans="1:18">
      <c r="A168" s="3" t="e">
        <f t="shared" si="13"/>
        <v>#VALUE!</v>
      </c>
      <c r="B168" t="e">
        <f t="shared" si="10"/>
        <v>#VALUE!</v>
      </c>
      <c r="C168" t="e">
        <f t="shared" si="14"/>
        <v>#VALUE!</v>
      </c>
      <c r="D168" t="e">
        <f t="shared" si="11"/>
        <v>#VALUE!</v>
      </c>
      <c r="E168">
        <f>IF($B$2&lt;&gt;$I$3,COUNTIF(Tab_fériés[date],A168),0)</f>
        <v>0</v>
      </c>
      <c r="F168">
        <f t="shared" si="12"/>
        <v>0</v>
      </c>
      <c r="O168" s="3">
        <v>43101</v>
      </c>
      <c r="P168">
        <v>2018</v>
      </c>
      <c r="Q168" t="s">
        <v>272</v>
      </c>
      <c r="R168" t="s">
        <v>273</v>
      </c>
    </row>
    <row r="169" spans="1:18">
      <c r="A169" s="3" t="e">
        <f t="shared" si="13"/>
        <v>#VALUE!</v>
      </c>
      <c r="B169" t="e">
        <f t="shared" si="10"/>
        <v>#VALUE!</v>
      </c>
      <c r="C169" t="e">
        <f t="shared" si="14"/>
        <v>#VALUE!</v>
      </c>
      <c r="D169" t="e">
        <f t="shared" si="11"/>
        <v>#VALUE!</v>
      </c>
      <c r="E169">
        <f>IF($B$2&lt;&gt;$I$3,COUNTIF(Tab_fériés[date],A169),0)</f>
        <v>0</v>
      </c>
      <c r="F169">
        <f t="shared" si="12"/>
        <v>0</v>
      </c>
      <c r="O169" s="3">
        <v>43192</v>
      </c>
      <c r="P169">
        <v>2018</v>
      </c>
      <c r="Q169" t="s">
        <v>272</v>
      </c>
      <c r="R169" t="s">
        <v>274</v>
      </c>
    </row>
    <row r="170" spans="1:18">
      <c r="A170" s="3" t="e">
        <f t="shared" si="13"/>
        <v>#VALUE!</v>
      </c>
      <c r="B170" t="e">
        <f t="shared" si="10"/>
        <v>#VALUE!</v>
      </c>
      <c r="C170" t="e">
        <f t="shared" si="14"/>
        <v>#VALUE!</v>
      </c>
      <c r="D170" t="e">
        <f t="shared" si="11"/>
        <v>#VALUE!</v>
      </c>
      <c r="E170">
        <f>IF($B$2&lt;&gt;$I$3,COUNTIF(Tab_fériés[date],A170),0)</f>
        <v>0</v>
      </c>
      <c r="F170">
        <f t="shared" si="12"/>
        <v>0</v>
      </c>
      <c r="O170" s="3">
        <v>43221</v>
      </c>
      <c r="P170">
        <v>2018</v>
      </c>
      <c r="Q170" t="s">
        <v>272</v>
      </c>
      <c r="R170" t="s">
        <v>275</v>
      </c>
    </row>
    <row r="171" spans="1:18">
      <c r="A171" s="3" t="e">
        <f t="shared" si="13"/>
        <v>#VALUE!</v>
      </c>
      <c r="B171" t="e">
        <f t="shared" si="10"/>
        <v>#VALUE!</v>
      </c>
      <c r="C171" t="e">
        <f t="shared" si="14"/>
        <v>#VALUE!</v>
      </c>
      <c r="D171" t="e">
        <f t="shared" si="11"/>
        <v>#VALUE!</v>
      </c>
      <c r="E171">
        <f>IF($B$2&lt;&gt;$I$3,COUNTIF(Tab_fériés[date],A171),0)</f>
        <v>0</v>
      </c>
      <c r="F171">
        <f t="shared" si="12"/>
        <v>0</v>
      </c>
      <c r="O171" s="3">
        <v>43228</v>
      </c>
      <c r="P171">
        <v>2018</v>
      </c>
      <c r="Q171" t="s">
        <v>272</v>
      </c>
      <c r="R171" s="145">
        <v>45054</v>
      </c>
    </row>
    <row r="172" spans="1:18">
      <c r="A172" s="3" t="e">
        <f t="shared" si="13"/>
        <v>#VALUE!</v>
      </c>
      <c r="B172" t="e">
        <f t="shared" si="10"/>
        <v>#VALUE!</v>
      </c>
      <c r="C172" t="e">
        <f t="shared" si="14"/>
        <v>#VALUE!</v>
      </c>
      <c r="D172" t="e">
        <f t="shared" si="11"/>
        <v>#VALUE!</v>
      </c>
      <c r="E172">
        <f>IF($B$2&lt;&gt;$I$3,COUNTIF(Tab_fériés[date],A172),0)</f>
        <v>0</v>
      </c>
      <c r="F172">
        <f t="shared" si="12"/>
        <v>0</v>
      </c>
      <c r="O172" s="3">
        <v>43230</v>
      </c>
      <c r="P172">
        <v>2018</v>
      </c>
      <c r="Q172" t="s">
        <v>272</v>
      </c>
      <c r="R172" t="s">
        <v>278</v>
      </c>
    </row>
    <row r="173" spans="1:18">
      <c r="A173" s="3" t="e">
        <f t="shared" si="13"/>
        <v>#VALUE!</v>
      </c>
      <c r="B173" t="e">
        <f t="shared" si="10"/>
        <v>#VALUE!</v>
      </c>
      <c r="C173" t="e">
        <f t="shared" si="14"/>
        <v>#VALUE!</v>
      </c>
      <c r="D173" t="e">
        <f t="shared" si="11"/>
        <v>#VALUE!</v>
      </c>
      <c r="E173">
        <f>IF($B$2&lt;&gt;$I$3,COUNTIF(Tab_fériés[date],A173),0)</f>
        <v>0</v>
      </c>
      <c r="F173">
        <f t="shared" si="12"/>
        <v>0</v>
      </c>
      <c r="O173" s="3">
        <v>43241</v>
      </c>
      <c r="P173">
        <v>2018</v>
      </c>
      <c r="Q173" t="s">
        <v>272</v>
      </c>
      <c r="R173" t="s">
        <v>279</v>
      </c>
    </row>
    <row r="174" spans="1:18">
      <c r="A174" s="3" t="e">
        <f t="shared" si="13"/>
        <v>#VALUE!</v>
      </c>
      <c r="B174" t="e">
        <f t="shared" si="10"/>
        <v>#VALUE!</v>
      </c>
      <c r="C174" t="e">
        <f t="shared" si="14"/>
        <v>#VALUE!</v>
      </c>
      <c r="D174" t="e">
        <f t="shared" si="11"/>
        <v>#VALUE!</v>
      </c>
      <c r="E174">
        <f>IF($B$2&lt;&gt;$I$3,COUNTIF(Tab_fériés[date],A174),0)</f>
        <v>0</v>
      </c>
      <c r="F174">
        <f t="shared" si="12"/>
        <v>0</v>
      </c>
      <c r="O174" s="3">
        <v>43295</v>
      </c>
      <c r="P174">
        <v>2018</v>
      </c>
      <c r="Q174" t="s">
        <v>272</v>
      </c>
      <c r="R174" s="145">
        <v>45121</v>
      </c>
    </row>
    <row r="175" spans="1:18">
      <c r="A175" s="3" t="e">
        <f t="shared" si="13"/>
        <v>#VALUE!</v>
      </c>
      <c r="B175" t="e">
        <f t="shared" si="10"/>
        <v>#VALUE!</v>
      </c>
      <c r="C175" t="e">
        <f t="shared" si="14"/>
        <v>#VALUE!</v>
      </c>
      <c r="D175" t="e">
        <f t="shared" si="11"/>
        <v>#VALUE!</v>
      </c>
      <c r="E175">
        <f>IF($B$2&lt;&gt;$I$3,COUNTIF(Tab_fériés[date],A175),0)</f>
        <v>0</v>
      </c>
      <c r="F175">
        <f t="shared" si="12"/>
        <v>0</v>
      </c>
      <c r="O175" s="3">
        <v>43327</v>
      </c>
      <c r="P175">
        <v>2018</v>
      </c>
      <c r="Q175" t="s">
        <v>272</v>
      </c>
      <c r="R175" t="s">
        <v>281</v>
      </c>
    </row>
    <row r="176" spans="1:18">
      <c r="A176" s="3" t="e">
        <f t="shared" si="13"/>
        <v>#VALUE!</v>
      </c>
      <c r="B176" t="e">
        <f t="shared" si="10"/>
        <v>#VALUE!</v>
      </c>
      <c r="C176" t="e">
        <f t="shared" si="14"/>
        <v>#VALUE!</v>
      </c>
      <c r="D176" t="e">
        <f t="shared" si="11"/>
        <v>#VALUE!</v>
      </c>
      <c r="E176">
        <f>IF($B$2&lt;&gt;$I$3,COUNTIF(Tab_fériés[date],A176),0)</f>
        <v>0</v>
      </c>
      <c r="F176">
        <f t="shared" si="12"/>
        <v>0</v>
      </c>
      <c r="O176" s="3">
        <v>43405</v>
      </c>
      <c r="P176">
        <v>2018</v>
      </c>
      <c r="Q176" t="s">
        <v>272</v>
      </c>
      <c r="R176" t="s">
        <v>282</v>
      </c>
    </row>
    <row r="177" spans="1:18">
      <c r="A177" s="3" t="e">
        <f t="shared" si="13"/>
        <v>#VALUE!</v>
      </c>
      <c r="B177" t="e">
        <f t="shared" si="10"/>
        <v>#VALUE!</v>
      </c>
      <c r="C177" t="e">
        <f t="shared" si="14"/>
        <v>#VALUE!</v>
      </c>
      <c r="D177" t="e">
        <f t="shared" si="11"/>
        <v>#VALUE!</v>
      </c>
      <c r="E177">
        <f>IF($B$2&lt;&gt;$I$3,COUNTIF(Tab_fériés[date],A177),0)</f>
        <v>0</v>
      </c>
      <c r="F177">
        <f t="shared" si="12"/>
        <v>0</v>
      </c>
      <c r="O177" s="3">
        <v>43415</v>
      </c>
      <c r="P177">
        <v>2018</v>
      </c>
      <c r="Q177" t="s">
        <v>272</v>
      </c>
      <c r="R177" s="145">
        <v>45241</v>
      </c>
    </row>
    <row r="178" spans="1:18">
      <c r="A178" s="3" t="e">
        <f t="shared" si="13"/>
        <v>#VALUE!</v>
      </c>
      <c r="B178" t="e">
        <f t="shared" si="10"/>
        <v>#VALUE!</v>
      </c>
      <c r="C178" t="e">
        <f t="shared" si="14"/>
        <v>#VALUE!</v>
      </c>
      <c r="D178" t="e">
        <f t="shared" si="11"/>
        <v>#VALUE!</v>
      </c>
      <c r="E178">
        <f>IF($B$2&lt;&gt;$I$3,COUNTIF(Tab_fériés[date],A178),0)</f>
        <v>0</v>
      </c>
      <c r="F178">
        <f t="shared" si="12"/>
        <v>0</v>
      </c>
      <c r="O178" s="3">
        <v>43459</v>
      </c>
      <c r="P178">
        <v>2018</v>
      </c>
      <c r="Q178" t="s">
        <v>272</v>
      </c>
      <c r="R178" t="s">
        <v>283</v>
      </c>
    </row>
    <row r="179" spans="1:18">
      <c r="A179" s="3" t="e">
        <f t="shared" si="13"/>
        <v>#VALUE!</v>
      </c>
      <c r="B179" t="e">
        <f t="shared" si="10"/>
        <v>#VALUE!</v>
      </c>
      <c r="C179" t="e">
        <f t="shared" si="14"/>
        <v>#VALUE!</v>
      </c>
      <c r="D179" t="e">
        <f t="shared" si="11"/>
        <v>#VALUE!</v>
      </c>
      <c r="E179">
        <f>IF($B$2&lt;&gt;$I$3,COUNTIF(Tab_fériés[date],A179),0)</f>
        <v>0</v>
      </c>
      <c r="F179">
        <f t="shared" si="12"/>
        <v>0</v>
      </c>
      <c r="O179" s="3">
        <v>43466</v>
      </c>
      <c r="P179">
        <v>2019</v>
      </c>
      <c r="Q179" t="s">
        <v>272</v>
      </c>
      <c r="R179" t="s">
        <v>273</v>
      </c>
    </row>
    <row r="180" spans="1:18">
      <c r="A180" s="3" t="e">
        <f t="shared" si="13"/>
        <v>#VALUE!</v>
      </c>
      <c r="B180" t="e">
        <f t="shared" si="10"/>
        <v>#VALUE!</v>
      </c>
      <c r="C180" t="e">
        <f t="shared" si="14"/>
        <v>#VALUE!</v>
      </c>
      <c r="D180" t="e">
        <f t="shared" si="11"/>
        <v>#VALUE!</v>
      </c>
      <c r="E180">
        <f>IF($B$2&lt;&gt;$I$3,COUNTIF(Tab_fériés[date],A180),0)</f>
        <v>0</v>
      </c>
      <c r="F180">
        <f t="shared" si="12"/>
        <v>0</v>
      </c>
      <c r="O180" s="3">
        <v>43577</v>
      </c>
      <c r="P180">
        <v>2019</v>
      </c>
      <c r="Q180" t="s">
        <v>272</v>
      </c>
      <c r="R180" t="s">
        <v>274</v>
      </c>
    </row>
    <row r="181" spans="1:18">
      <c r="A181" s="3" t="e">
        <f t="shared" si="13"/>
        <v>#VALUE!</v>
      </c>
      <c r="B181" t="e">
        <f t="shared" si="10"/>
        <v>#VALUE!</v>
      </c>
      <c r="C181" t="e">
        <f t="shared" si="14"/>
        <v>#VALUE!</v>
      </c>
      <c r="D181" t="e">
        <f t="shared" si="11"/>
        <v>#VALUE!</v>
      </c>
      <c r="E181">
        <f>IF($B$2&lt;&gt;$I$3,COUNTIF(Tab_fériés[date],A181),0)</f>
        <v>0</v>
      </c>
      <c r="F181">
        <f t="shared" si="12"/>
        <v>0</v>
      </c>
      <c r="O181" s="3">
        <v>43586</v>
      </c>
      <c r="P181">
        <v>2019</v>
      </c>
      <c r="Q181" t="s">
        <v>272</v>
      </c>
      <c r="R181" t="s">
        <v>275</v>
      </c>
    </row>
    <row r="182" spans="1:18">
      <c r="A182" s="3" t="e">
        <f t="shared" si="13"/>
        <v>#VALUE!</v>
      </c>
      <c r="B182" t="e">
        <f t="shared" si="10"/>
        <v>#VALUE!</v>
      </c>
      <c r="C182" t="e">
        <f t="shared" si="14"/>
        <v>#VALUE!</v>
      </c>
      <c r="D182" t="e">
        <f t="shared" si="11"/>
        <v>#VALUE!</v>
      </c>
      <c r="E182">
        <f>IF($B$2&lt;&gt;$I$3,COUNTIF(Tab_fériés[date],A182),0)</f>
        <v>0</v>
      </c>
      <c r="F182">
        <f t="shared" si="12"/>
        <v>0</v>
      </c>
      <c r="O182" s="3">
        <v>43593</v>
      </c>
      <c r="P182">
        <v>2019</v>
      </c>
      <c r="Q182" t="s">
        <v>272</v>
      </c>
      <c r="R182" s="145">
        <v>45054</v>
      </c>
    </row>
    <row r="183" spans="1:18">
      <c r="A183" s="3" t="e">
        <f t="shared" si="13"/>
        <v>#VALUE!</v>
      </c>
      <c r="B183" t="e">
        <f t="shared" si="10"/>
        <v>#VALUE!</v>
      </c>
      <c r="C183" t="e">
        <f t="shared" si="14"/>
        <v>#VALUE!</v>
      </c>
      <c r="D183" t="e">
        <f t="shared" si="11"/>
        <v>#VALUE!</v>
      </c>
      <c r="E183">
        <f>IF($B$2&lt;&gt;$I$3,COUNTIF(Tab_fériés[date],A183),0)</f>
        <v>0</v>
      </c>
      <c r="F183">
        <f t="shared" si="12"/>
        <v>0</v>
      </c>
      <c r="O183" s="3">
        <v>43615</v>
      </c>
      <c r="P183">
        <v>2019</v>
      </c>
      <c r="Q183" t="s">
        <v>272</v>
      </c>
      <c r="R183" t="s">
        <v>278</v>
      </c>
    </row>
    <row r="184" spans="1:18">
      <c r="A184" s="3" t="e">
        <f t="shared" si="13"/>
        <v>#VALUE!</v>
      </c>
      <c r="B184" t="e">
        <f t="shared" si="10"/>
        <v>#VALUE!</v>
      </c>
      <c r="C184" t="e">
        <f t="shared" si="14"/>
        <v>#VALUE!</v>
      </c>
      <c r="D184" t="e">
        <f t="shared" si="11"/>
        <v>#VALUE!</v>
      </c>
      <c r="E184">
        <f>IF($B$2&lt;&gt;$I$3,COUNTIF(Tab_fériés[date],A184),0)</f>
        <v>0</v>
      </c>
      <c r="F184">
        <f t="shared" si="12"/>
        <v>0</v>
      </c>
      <c r="O184" s="3">
        <v>43626</v>
      </c>
      <c r="P184">
        <v>2019</v>
      </c>
      <c r="Q184" t="s">
        <v>272</v>
      </c>
      <c r="R184" t="s">
        <v>279</v>
      </c>
    </row>
    <row r="185" spans="1:18">
      <c r="A185" s="3" t="e">
        <f t="shared" si="13"/>
        <v>#VALUE!</v>
      </c>
      <c r="B185" t="e">
        <f t="shared" si="10"/>
        <v>#VALUE!</v>
      </c>
      <c r="C185" t="e">
        <f t="shared" si="14"/>
        <v>#VALUE!</v>
      </c>
      <c r="D185" t="e">
        <f t="shared" si="11"/>
        <v>#VALUE!</v>
      </c>
      <c r="E185">
        <f>IF($B$2&lt;&gt;$I$3,COUNTIF(Tab_fériés[date],A185),0)</f>
        <v>0</v>
      </c>
      <c r="F185">
        <f t="shared" si="12"/>
        <v>0</v>
      </c>
      <c r="O185" s="3">
        <v>43660</v>
      </c>
      <c r="P185">
        <v>2019</v>
      </c>
      <c r="Q185" t="s">
        <v>272</v>
      </c>
      <c r="R185" s="145">
        <v>45121</v>
      </c>
    </row>
    <row r="186" spans="1:18">
      <c r="A186" s="3" t="e">
        <f t="shared" si="13"/>
        <v>#VALUE!</v>
      </c>
      <c r="B186" t="e">
        <f t="shared" si="10"/>
        <v>#VALUE!</v>
      </c>
      <c r="C186" t="e">
        <f t="shared" si="14"/>
        <v>#VALUE!</v>
      </c>
      <c r="D186" t="e">
        <f t="shared" si="11"/>
        <v>#VALUE!</v>
      </c>
      <c r="E186">
        <f>IF($B$2&lt;&gt;$I$3,COUNTIF(Tab_fériés[date],A186),0)</f>
        <v>0</v>
      </c>
      <c r="F186">
        <f t="shared" si="12"/>
        <v>0</v>
      </c>
      <c r="O186" s="3">
        <v>43692</v>
      </c>
      <c r="P186">
        <v>2019</v>
      </c>
      <c r="Q186" t="s">
        <v>272</v>
      </c>
      <c r="R186" t="s">
        <v>281</v>
      </c>
    </row>
    <row r="187" spans="1:18">
      <c r="A187" s="3" t="e">
        <f t="shared" si="13"/>
        <v>#VALUE!</v>
      </c>
      <c r="B187" t="e">
        <f t="shared" si="10"/>
        <v>#VALUE!</v>
      </c>
      <c r="C187" t="e">
        <f t="shared" si="14"/>
        <v>#VALUE!</v>
      </c>
      <c r="D187" t="e">
        <f t="shared" si="11"/>
        <v>#VALUE!</v>
      </c>
      <c r="E187">
        <f>IF($B$2&lt;&gt;$I$3,COUNTIF(Tab_fériés[date],A187),0)</f>
        <v>0</v>
      </c>
      <c r="F187">
        <f t="shared" si="12"/>
        <v>0</v>
      </c>
      <c r="O187" s="3">
        <v>43770</v>
      </c>
      <c r="P187">
        <v>2019</v>
      </c>
      <c r="Q187" t="s">
        <v>272</v>
      </c>
      <c r="R187" t="s">
        <v>282</v>
      </c>
    </row>
    <row r="188" spans="1:18">
      <c r="A188" s="3" t="e">
        <f t="shared" si="13"/>
        <v>#VALUE!</v>
      </c>
      <c r="B188" t="e">
        <f t="shared" si="10"/>
        <v>#VALUE!</v>
      </c>
      <c r="C188" t="e">
        <f t="shared" si="14"/>
        <v>#VALUE!</v>
      </c>
      <c r="D188" t="e">
        <f t="shared" si="11"/>
        <v>#VALUE!</v>
      </c>
      <c r="E188">
        <f>IF($B$2&lt;&gt;$I$3,COUNTIF(Tab_fériés[date],A188),0)</f>
        <v>0</v>
      </c>
      <c r="F188">
        <f t="shared" si="12"/>
        <v>0</v>
      </c>
      <c r="O188" s="3">
        <v>43780</v>
      </c>
      <c r="P188">
        <v>2019</v>
      </c>
      <c r="Q188" t="s">
        <v>272</v>
      </c>
      <c r="R188" s="145">
        <v>45241</v>
      </c>
    </row>
    <row r="189" spans="1:18">
      <c r="A189" s="3" t="e">
        <f t="shared" si="13"/>
        <v>#VALUE!</v>
      </c>
      <c r="B189" t="e">
        <f t="shared" si="10"/>
        <v>#VALUE!</v>
      </c>
      <c r="C189" t="e">
        <f t="shared" si="14"/>
        <v>#VALUE!</v>
      </c>
      <c r="D189" t="e">
        <f t="shared" si="11"/>
        <v>#VALUE!</v>
      </c>
      <c r="E189">
        <f>IF($B$2&lt;&gt;$I$3,COUNTIF(Tab_fériés[date],A189),0)</f>
        <v>0</v>
      </c>
      <c r="F189">
        <f t="shared" si="12"/>
        <v>0</v>
      </c>
      <c r="O189" s="3">
        <v>43824</v>
      </c>
      <c r="P189">
        <v>2019</v>
      </c>
      <c r="Q189" t="s">
        <v>272</v>
      </c>
      <c r="R189" t="s">
        <v>283</v>
      </c>
    </row>
    <row r="190" spans="1:18">
      <c r="A190" s="3" t="e">
        <f t="shared" si="13"/>
        <v>#VALUE!</v>
      </c>
      <c r="B190" t="e">
        <f t="shared" si="10"/>
        <v>#VALUE!</v>
      </c>
      <c r="C190" t="e">
        <f t="shared" si="14"/>
        <v>#VALUE!</v>
      </c>
      <c r="D190" t="e">
        <f t="shared" si="11"/>
        <v>#VALUE!</v>
      </c>
      <c r="E190">
        <f>IF($B$2&lt;&gt;$I$3,COUNTIF(Tab_fériés[date],A190),0)</f>
        <v>0</v>
      </c>
      <c r="F190">
        <f t="shared" si="12"/>
        <v>0</v>
      </c>
      <c r="O190" s="3">
        <v>43831</v>
      </c>
      <c r="P190">
        <v>2020</v>
      </c>
      <c r="Q190" t="s">
        <v>272</v>
      </c>
      <c r="R190" t="s">
        <v>273</v>
      </c>
    </row>
    <row r="191" spans="1:18">
      <c r="A191" s="3" t="e">
        <f t="shared" si="13"/>
        <v>#VALUE!</v>
      </c>
      <c r="B191" t="e">
        <f t="shared" si="10"/>
        <v>#VALUE!</v>
      </c>
      <c r="C191" t="e">
        <f t="shared" si="14"/>
        <v>#VALUE!</v>
      </c>
      <c r="D191" t="e">
        <f t="shared" si="11"/>
        <v>#VALUE!</v>
      </c>
      <c r="E191">
        <f>IF($B$2&lt;&gt;$I$3,COUNTIF(Tab_fériés[date],A191),0)</f>
        <v>0</v>
      </c>
      <c r="F191">
        <f t="shared" si="12"/>
        <v>0</v>
      </c>
      <c r="O191" s="3">
        <v>43934</v>
      </c>
      <c r="P191">
        <v>2020</v>
      </c>
      <c r="Q191" t="s">
        <v>272</v>
      </c>
      <c r="R191" t="s">
        <v>274</v>
      </c>
    </row>
    <row r="192" spans="1:18">
      <c r="A192" s="3" t="e">
        <f t="shared" si="13"/>
        <v>#VALUE!</v>
      </c>
      <c r="B192" t="e">
        <f t="shared" si="10"/>
        <v>#VALUE!</v>
      </c>
      <c r="C192" t="e">
        <f t="shared" si="14"/>
        <v>#VALUE!</v>
      </c>
      <c r="D192" t="e">
        <f t="shared" si="11"/>
        <v>#VALUE!</v>
      </c>
      <c r="E192">
        <f>IF($B$2&lt;&gt;$I$3,COUNTIF(Tab_fériés[date],A192),0)</f>
        <v>0</v>
      </c>
      <c r="F192">
        <f t="shared" si="12"/>
        <v>0</v>
      </c>
      <c r="O192" s="3">
        <v>43952</v>
      </c>
      <c r="P192">
        <v>2020</v>
      </c>
      <c r="Q192" t="s">
        <v>272</v>
      </c>
      <c r="R192" t="s">
        <v>275</v>
      </c>
    </row>
    <row r="193" spans="1:18">
      <c r="A193" s="3" t="e">
        <f t="shared" si="13"/>
        <v>#VALUE!</v>
      </c>
      <c r="B193" t="e">
        <f t="shared" si="10"/>
        <v>#VALUE!</v>
      </c>
      <c r="C193" t="e">
        <f t="shared" si="14"/>
        <v>#VALUE!</v>
      </c>
      <c r="D193" t="e">
        <f t="shared" si="11"/>
        <v>#VALUE!</v>
      </c>
      <c r="E193">
        <f>IF($B$2&lt;&gt;$I$3,COUNTIF(Tab_fériés[date],A193),0)</f>
        <v>0</v>
      </c>
      <c r="F193">
        <f t="shared" si="12"/>
        <v>0</v>
      </c>
      <c r="O193" s="3">
        <v>43959</v>
      </c>
      <c r="P193">
        <v>2020</v>
      </c>
      <c r="Q193" t="s">
        <v>272</v>
      </c>
      <c r="R193" s="145">
        <v>45054</v>
      </c>
    </row>
    <row r="194" spans="1:18">
      <c r="A194" s="3" t="e">
        <f t="shared" si="13"/>
        <v>#VALUE!</v>
      </c>
      <c r="B194" t="e">
        <f t="shared" si="10"/>
        <v>#VALUE!</v>
      </c>
      <c r="C194" t="e">
        <f t="shared" si="14"/>
        <v>#VALUE!</v>
      </c>
      <c r="D194" t="e">
        <f t="shared" si="11"/>
        <v>#VALUE!</v>
      </c>
      <c r="E194">
        <f>IF($B$2&lt;&gt;$I$3,COUNTIF(Tab_fériés[date],A194),0)</f>
        <v>0</v>
      </c>
      <c r="F194">
        <f t="shared" si="12"/>
        <v>0</v>
      </c>
      <c r="O194" s="3">
        <v>43972</v>
      </c>
      <c r="P194">
        <v>2020</v>
      </c>
      <c r="Q194" t="s">
        <v>272</v>
      </c>
      <c r="R194" t="s">
        <v>278</v>
      </c>
    </row>
    <row r="195" spans="1:18">
      <c r="A195" s="3" t="e">
        <f t="shared" si="13"/>
        <v>#VALUE!</v>
      </c>
      <c r="B195" t="e">
        <f t="shared" si="10"/>
        <v>#VALUE!</v>
      </c>
      <c r="C195" t="e">
        <f t="shared" si="14"/>
        <v>#VALUE!</v>
      </c>
      <c r="D195" t="e">
        <f t="shared" si="11"/>
        <v>#VALUE!</v>
      </c>
      <c r="E195">
        <f>IF($B$2&lt;&gt;$I$3,COUNTIF(Tab_fériés[date],A195),0)</f>
        <v>0</v>
      </c>
      <c r="F195">
        <f t="shared" si="12"/>
        <v>0</v>
      </c>
      <c r="O195" s="3">
        <v>43983</v>
      </c>
      <c r="P195">
        <v>2020</v>
      </c>
      <c r="Q195" t="s">
        <v>272</v>
      </c>
      <c r="R195" t="s">
        <v>279</v>
      </c>
    </row>
    <row r="196" spans="1:18">
      <c r="A196" s="3" t="e">
        <f t="shared" si="13"/>
        <v>#VALUE!</v>
      </c>
      <c r="B196" t="e">
        <f t="shared" si="10"/>
        <v>#VALUE!</v>
      </c>
      <c r="C196" t="e">
        <f t="shared" si="14"/>
        <v>#VALUE!</v>
      </c>
      <c r="D196" t="e">
        <f t="shared" si="11"/>
        <v>#VALUE!</v>
      </c>
      <c r="E196">
        <f>IF($B$2&lt;&gt;$I$3,COUNTIF(Tab_fériés[date],A196),0)</f>
        <v>0</v>
      </c>
      <c r="F196">
        <f t="shared" si="12"/>
        <v>0</v>
      </c>
      <c r="O196" s="3">
        <v>44026</v>
      </c>
      <c r="P196">
        <v>2020</v>
      </c>
      <c r="Q196" t="s">
        <v>272</v>
      </c>
      <c r="R196" s="145">
        <v>45121</v>
      </c>
    </row>
    <row r="197" spans="1:18">
      <c r="A197" s="3" t="e">
        <f t="shared" si="13"/>
        <v>#VALUE!</v>
      </c>
      <c r="B197" t="e">
        <f t="shared" ref="B197:B260" si="15">WEEKDAY(A197,2)</f>
        <v>#VALUE!</v>
      </c>
      <c r="C197" t="e">
        <f t="shared" si="14"/>
        <v>#VALUE!</v>
      </c>
      <c r="D197" t="e">
        <f t="shared" ref="D197:D260" si="16">IF(AND(B197=7,$B$2&lt;&gt;$I$3),1,0)</f>
        <v>#VALUE!</v>
      </c>
      <c r="E197">
        <f>IF($B$2&lt;&gt;$I$3,COUNTIF(Tab_fériés[date],A197),0)</f>
        <v>0</v>
      </c>
      <c r="F197">
        <f t="shared" ref="F197:F260" si="17">IFERROR(IF(SUM(C197:E197)&gt;0,1,0),0)</f>
        <v>0</v>
      </c>
      <c r="O197" s="3">
        <v>44058</v>
      </c>
      <c r="P197">
        <v>2020</v>
      </c>
      <c r="Q197" t="s">
        <v>272</v>
      </c>
      <c r="R197" t="s">
        <v>281</v>
      </c>
    </row>
    <row r="198" spans="1:18">
      <c r="A198" s="3" t="e">
        <f t="shared" ref="A198:A261" si="18">A197+1</f>
        <v>#VALUE!</v>
      </c>
      <c r="B198" t="e">
        <f t="shared" si="15"/>
        <v>#VALUE!</v>
      </c>
      <c r="C198" t="e">
        <f t="shared" ref="C198:C261" si="19">IF(AND(B198=6,$B$2&lt;&gt;$I$3,$B$2&lt;&gt;$I$5),1,0)</f>
        <v>#VALUE!</v>
      </c>
      <c r="D198" t="e">
        <f t="shared" si="16"/>
        <v>#VALUE!</v>
      </c>
      <c r="E198">
        <f>IF($B$2&lt;&gt;$I$3,COUNTIF(Tab_fériés[date],A198),0)</f>
        <v>0</v>
      </c>
      <c r="F198">
        <f t="shared" si="17"/>
        <v>0</v>
      </c>
      <c r="O198" s="3">
        <v>44136</v>
      </c>
      <c r="P198">
        <v>2020</v>
      </c>
      <c r="Q198" t="s">
        <v>272</v>
      </c>
      <c r="R198" t="s">
        <v>282</v>
      </c>
    </row>
    <row r="199" spans="1:18">
      <c r="A199" s="3" t="e">
        <f t="shared" si="18"/>
        <v>#VALUE!</v>
      </c>
      <c r="B199" t="e">
        <f t="shared" si="15"/>
        <v>#VALUE!</v>
      </c>
      <c r="C199" t="e">
        <f t="shared" si="19"/>
        <v>#VALUE!</v>
      </c>
      <c r="D199" t="e">
        <f t="shared" si="16"/>
        <v>#VALUE!</v>
      </c>
      <c r="E199">
        <f>IF($B$2&lt;&gt;$I$3,COUNTIF(Tab_fériés[date],A199),0)</f>
        <v>0</v>
      </c>
      <c r="F199">
        <f t="shared" si="17"/>
        <v>0</v>
      </c>
      <c r="O199" s="3">
        <v>44146</v>
      </c>
      <c r="P199">
        <v>2020</v>
      </c>
      <c r="Q199" t="s">
        <v>272</v>
      </c>
      <c r="R199" s="145">
        <v>45241</v>
      </c>
    </row>
    <row r="200" spans="1:18">
      <c r="A200" s="3" t="e">
        <f t="shared" si="18"/>
        <v>#VALUE!</v>
      </c>
      <c r="B200" t="e">
        <f t="shared" si="15"/>
        <v>#VALUE!</v>
      </c>
      <c r="C200" t="e">
        <f t="shared" si="19"/>
        <v>#VALUE!</v>
      </c>
      <c r="D200" t="e">
        <f t="shared" si="16"/>
        <v>#VALUE!</v>
      </c>
      <c r="E200">
        <f>IF($B$2&lt;&gt;$I$3,COUNTIF(Tab_fériés[date],A200),0)</f>
        <v>0</v>
      </c>
      <c r="F200">
        <f t="shared" si="17"/>
        <v>0</v>
      </c>
      <c r="O200" s="3">
        <v>44190</v>
      </c>
      <c r="P200">
        <v>2020</v>
      </c>
      <c r="Q200" t="s">
        <v>272</v>
      </c>
      <c r="R200" t="s">
        <v>283</v>
      </c>
    </row>
    <row r="201" spans="1:18">
      <c r="A201" s="3" t="e">
        <f t="shared" si="18"/>
        <v>#VALUE!</v>
      </c>
      <c r="B201" t="e">
        <f t="shared" si="15"/>
        <v>#VALUE!</v>
      </c>
      <c r="C201" t="e">
        <f t="shared" si="19"/>
        <v>#VALUE!</v>
      </c>
      <c r="D201" t="e">
        <f t="shared" si="16"/>
        <v>#VALUE!</v>
      </c>
      <c r="E201">
        <f>IF($B$2&lt;&gt;$I$3,COUNTIF(Tab_fériés[date],A201),0)</f>
        <v>0</v>
      </c>
      <c r="F201">
        <f t="shared" si="17"/>
        <v>0</v>
      </c>
      <c r="O201" s="3">
        <v>44197</v>
      </c>
      <c r="P201">
        <v>2021</v>
      </c>
      <c r="Q201" t="s">
        <v>272</v>
      </c>
      <c r="R201" t="s">
        <v>273</v>
      </c>
    </row>
    <row r="202" spans="1:18">
      <c r="A202" s="3" t="e">
        <f t="shared" si="18"/>
        <v>#VALUE!</v>
      </c>
      <c r="B202" t="e">
        <f t="shared" si="15"/>
        <v>#VALUE!</v>
      </c>
      <c r="C202" t="e">
        <f t="shared" si="19"/>
        <v>#VALUE!</v>
      </c>
      <c r="D202" t="e">
        <f t="shared" si="16"/>
        <v>#VALUE!</v>
      </c>
      <c r="E202">
        <f>IF($B$2&lt;&gt;$I$3,COUNTIF(Tab_fériés[date],A202),0)</f>
        <v>0</v>
      </c>
      <c r="F202">
        <f t="shared" si="17"/>
        <v>0</v>
      </c>
      <c r="O202" s="3">
        <v>44291</v>
      </c>
      <c r="P202">
        <v>2021</v>
      </c>
      <c r="Q202" t="s">
        <v>272</v>
      </c>
      <c r="R202" t="s">
        <v>274</v>
      </c>
    </row>
    <row r="203" spans="1:18">
      <c r="A203" s="3" t="e">
        <f t="shared" si="18"/>
        <v>#VALUE!</v>
      </c>
      <c r="B203" t="e">
        <f t="shared" si="15"/>
        <v>#VALUE!</v>
      </c>
      <c r="C203" t="e">
        <f t="shared" si="19"/>
        <v>#VALUE!</v>
      </c>
      <c r="D203" t="e">
        <f t="shared" si="16"/>
        <v>#VALUE!</v>
      </c>
      <c r="E203">
        <f>IF($B$2&lt;&gt;$I$3,COUNTIF(Tab_fériés[date],A203),0)</f>
        <v>0</v>
      </c>
      <c r="F203">
        <f t="shared" si="17"/>
        <v>0</v>
      </c>
      <c r="O203" s="3">
        <v>44317</v>
      </c>
      <c r="P203">
        <v>2021</v>
      </c>
      <c r="Q203" t="s">
        <v>272</v>
      </c>
      <c r="R203" t="s">
        <v>275</v>
      </c>
    </row>
    <row r="204" spans="1:18">
      <c r="A204" s="3" t="e">
        <f t="shared" si="18"/>
        <v>#VALUE!</v>
      </c>
      <c r="B204" t="e">
        <f t="shared" si="15"/>
        <v>#VALUE!</v>
      </c>
      <c r="C204" t="e">
        <f t="shared" si="19"/>
        <v>#VALUE!</v>
      </c>
      <c r="D204" t="e">
        <f t="shared" si="16"/>
        <v>#VALUE!</v>
      </c>
      <c r="E204">
        <f>IF($B$2&lt;&gt;$I$3,COUNTIF(Tab_fériés[date],A204),0)</f>
        <v>0</v>
      </c>
      <c r="F204">
        <f t="shared" si="17"/>
        <v>0</v>
      </c>
      <c r="O204" s="3">
        <v>44324</v>
      </c>
      <c r="P204">
        <v>2021</v>
      </c>
      <c r="Q204" t="s">
        <v>272</v>
      </c>
      <c r="R204" s="145">
        <v>45054</v>
      </c>
    </row>
    <row r="205" spans="1:18">
      <c r="A205" s="3" t="e">
        <f t="shared" si="18"/>
        <v>#VALUE!</v>
      </c>
      <c r="B205" t="e">
        <f t="shared" si="15"/>
        <v>#VALUE!</v>
      </c>
      <c r="C205" t="e">
        <f t="shared" si="19"/>
        <v>#VALUE!</v>
      </c>
      <c r="D205" t="e">
        <f t="shared" si="16"/>
        <v>#VALUE!</v>
      </c>
      <c r="E205">
        <f>IF($B$2&lt;&gt;$I$3,COUNTIF(Tab_fériés[date],A205),0)</f>
        <v>0</v>
      </c>
      <c r="F205">
        <f t="shared" si="17"/>
        <v>0</v>
      </c>
      <c r="O205" s="3">
        <v>44329</v>
      </c>
      <c r="P205">
        <v>2021</v>
      </c>
      <c r="Q205" t="s">
        <v>272</v>
      </c>
      <c r="R205" t="s">
        <v>278</v>
      </c>
    </row>
    <row r="206" spans="1:18">
      <c r="A206" s="3" t="e">
        <f t="shared" si="18"/>
        <v>#VALUE!</v>
      </c>
      <c r="B206" t="e">
        <f t="shared" si="15"/>
        <v>#VALUE!</v>
      </c>
      <c r="C206" t="e">
        <f t="shared" si="19"/>
        <v>#VALUE!</v>
      </c>
      <c r="D206" t="e">
        <f t="shared" si="16"/>
        <v>#VALUE!</v>
      </c>
      <c r="E206">
        <f>IF($B$2&lt;&gt;$I$3,COUNTIF(Tab_fériés[date],A206),0)</f>
        <v>0</v>
      </c>
      <c r="F206">
        <f t="shared" si="17"/>
        <v>0</v>
      </c>
      <c r="O206" s="3">
        <v>44340</v>
      </c>
      <c r="P206">
        <v>2021</v>
      </c>
      <c r="Q206" t="s">
        <v>272</v>
      </c>
      <c r="R206" t="s">
        <v>279</v>
      </c>
    </row>
    <row r="207" spans="1:18">
      <c r="A207" s="3" t="e">
        <f t="shared" si="18"/>
        <v>#VALUE!</v>
      </c>
      <c r="B207" t="e">
        <f t="shared" si="15"/>
        <v>#VALUE!</v>
      </c>
      <c r="C207" t="e">
        <f t="shared" si="19"/>
        <v>#VALUE!</v>
      </c>
      <c r="D207" t="e">
        <f t="shared" si="16"/>
        <v>#VALUE!</v>
      </c>
      <c r="E207">
        <f>IF($B$2&lt;&gt;$I$3,COUNTIF(Tab_fériés[date],A207),0)</f>
        <v>0</v>
      </c>
      <c r="F207">
        <f t="shared" si="17"/>
        <v>0</v>
      </c>
      <c r="O207" s="3">
        <v>44391</v>
      </c>
      <c r="P207">
        <v>2021</v>
      </c>
      <c r="Q207" t="s">
        <v>272</v>
      </c>
      <c r="R207" s="145">
        <v>45121</v>
      </c>
    </row>
    <row r="208" spans="1:18">
      <c r="A208" s="3" t="e">
        <f t="shared" si="18"/>
        <v>#VALUE!</v>
      </c>
      <c r="B208" t="e">
        <f t="shared" si="15"/>
        <v>#VALUE!</v>
      </c>
      <c r="C208" t="e">
        <f t="shared" si="19"/>
        <v>#VALUE!</v>
      </c>
      <c r="D208" t="e">
        <f t="shared" si="16"/>
        <v>#VALUE!</v>
      </c>
      <c r="E208">
        <f>IF($B$2&lt;&gt;$I$3,COUNTIF(Tab_fériés[date],A208),0)</f>
        <v>0</v>
      </c>
      <c r="F208">
        <f t="shared" si="17"/>
        <v>0</v>
      </c>
      <c r="O208" s="3">
        <v>44423</v>
      </c>
      <c r="P208">
        <v>2021</v>
      </c>
      <c r="Q208" t="s">
        <v>272</v>
      </c>
      <c r="R208" t="s">
        <v>281</v>
      </c>
    </row>
    <row r="209" spans="1:18">
      <c r="A209" s="3" t="e">
        <f t="shared" si="18"/>
        <v>#VALUE!</v>
      </c>
      <c r="B209" t="e">
        <f t="shared" si="15"/>
        <v>#VALUE!</v>
      </c>
      <c r="C209" t="e">
        <f t="shared" si="19"/>
        <v>#VALUE!</v>
      </c>
      <c r="D209" t="e">
        <f t="shared" si="16"/>
        <v>#VALUE!</v>
      </c>
      <c r="E209">
        <f>IF($B$2&lt;&gt;$I$3,COUNTIF(Tab_fériés[date],A209),0)</f>
        <v>0</v>
      </c>
      <c r="F209">
        <f t="shared" si="17"/>
        <v>0</v>
      </c>
      <c r="O209" s="3">
        <v>44501</v>
      </c>
      <c r="P209">
        <v>2021</v>
      </c>
      <c r="Q209" t="s">
        <v>272</v>
      </c>
      <c r="R209" t="s">
        <v>282</v>
      </c>
    </row>
    <row r="210" spans="1:18">
      <c r="A210" s="3" t="e">
        <f t="shared" si="18"/>
        <v>#VALUE!</v>
      </c>
      <c r="B210" t="e">
        <f t="shared" si="15"/>
        <v>#VALUE!</v>
      </c>
      <c r="C210" t="e">
        <f t="shared" si="19"/>
        <v>#VALUE!</v>
      </c>
      <c r="D210" t="e">
        <f t="shared" si="16"/>
        <v>#VALUE!</v>
      </c>
      <c r="E210">
        <f>IF($B$2&lt;&gt;$I$3,COUNTIF(Tab_fériés[date],A210),0)</f>
        <v>0</v>
      </c>
      <c r="F210">
        <f t="shared" si="17"/>
        <v>0</v>
      </c>
      <c r="O210" s="3">
        <v>44511</v>
      </c>
      <c r="P210">
        <v>2021</v>
      </c>
      <c r="Q210" t="s">
        <v>272</v>
      </c>
      <c r="R210" s="145">
        <v>45241</v>
      </c>
    </row>
    <row r="211" spans="1:18">
      <c r="A211" s="3" t="e">
        <f t="shared" si="18"/>
        <v>#VALUE!</v>
      </c>
      <c r="B211" t="e">
        <f t="shared" si="15"/>
        <v>#VALUE!</v>
      </c>
      <c r="C211" t="e">
        <f t="shared" si="19"/>
        <v>#VALUE!</v>
      </c>
      <c r="D211" t="e">
        <f t="shared" si="16"/>
        <v>#VALUE!</v>
      </c>
      <c r="E211">
        <f>IF($B$2&lt;&gt;$I$3,COUNTIF(Tab_fériés[date],A211),0)</f>
        <v>0</v>
      </c>
      <c r="F211">
        <f t="shared" si="17"/>
        <v>0</v>
      </c>
      <c r="O211" s="3">
        <v>44555</v>
      </c>
      <c r="P211">
        <v>2021</v>
      </c>
      <c r="Q211" t="s">
        <v>272</v>
      </c>
      <c r="R211" t="s">
        <v>283</v>
      </c>
    </row>
    <row r="212" spans="1:18">
      <c r="A212" s="3" t="e">
        <f t="shared" si="18"/>
        <v>#VALUE!</v>
      </c>
      <c r="B212" t="e">
        <f t="shared" si="15"/>
        <v>#VALUE!</v>
      </c>
      <c r="C212" t="e">
        <f t="shared" si="19"/>
        <v>#VALUE!</v>
      </c>
      <c r="D212" t="e">
        <f t="shared" si="16"/>
        <v>#VALUE!</v>
      </c>
      <c r="E212">
        <f>IF($B$2&lt;&gt;$I$3,COUNTIF(Tab_fériés[date],A212),0)</f>
        <v>0</v>
      </c>
      <c r="F212">
        <f t="shared" si="17"/>
        <v>0</v>
      </c>
      <c r="O212" s="3">
        <v>44562</v>
      </c>
      <c r="P212">
        <v>2022</v>
      </c>
      <c r="Q212" t="s">
        <v>272</v>
      </c>
      <c r="R212" t="s">
        <v>273</v>
      </c>
    </row>
    <row r="213" spans="1:18">
      <c r="A213" s="3" t="e">
        <f t="shared" si="18"/>
        <v>#VALUE!</v>
      </c>
      <c r="B213" t="e">
        <f t="shared" si="15"/>
        <v>#VALUE!</v>
      </c>
      <c r="C213" t="e">
        <f t="shared" si="19"/>
        <v>#VALUE!</v>
      </c>
      <c r="D213" t="e">
        <f t="shared" si="16"/>
        <v>#VALUE!</v>
      </c>
      <c r="E213">
        <f>IF($B$2&lt;&gt;$I$3,COUNTIF(Tab_fériés[date],A213),0)</f>
        <v>0</v>
      </c>
      <c r="F213">
        <f t="shared" si="17"/>
        <v>0</v>
      </c>
      <c r="O213" s="3">
        <v>44669</v>
      </c>
      <c r="P213">
        <v>2022</v>
      </c>
      <c r="Q213" t="s">
        <v>272</v>
      </c>
      <c r="R213" t="s">
        <v>274</v>
      </c>
    </row>
    <row r="214" spans="1:18">
      <c r="A214" s="3" t="e">
        <f t="shared" si="18"/>
        <v>#VALUE!</v>
      </c>
      <c r="B214" t="e">
        <f t="shared" si="15"/>
        <v>#VALUE!</v>
      </c>
      <c r="C214" t="e">
        <f t="shared" si="19"/>
        <v>#VALUE!</v>
      </c>
      <c r="D214" t="e">
        <f t="shared" si="16"/>
        <v>#VALUE!</v>
      </c>
      <c r="E214">
        <f>IF($B$2&lt;&gt;$I$3,COUNTIF(Tab_fériés[date],A214),0)</f>
        <v>0</v>
      </c>
      <c r="F214">
        <f t="shared" si="17"/>
        <v>0</v>
      </c>
      <c r="O214" s="3">
        <v>44682</v>
      </c>
      <c r="P214">
        <v>2022</v>
      </c>
      <c r="Q214" t="s">
        <v>272</v>
      </c>
      <c r="R214" t="s">
        <v>275</v>
      </c>
    </row>
    <row r="215" spans="1:18">
      <c r="A215" s="3" t="e">
        <f t="shared" si="18"/>
        <v>#VALUE!</v>
      </c>
      <c r="B215" t="e">
        <f t="shared" si="15"/>
        <v>#VALUE!</v>
      </c>
      <c r="C215" t="e">
        <f t="shared" si="19"/>
        <v>#VALUE!</v>
      </c>
      <c r="D215" t="e">
        <f t="shared" si="16"/>
        <v>#VALUE!</v>
      </c>
      <c r="E215">
        <f>IF($B$2&lt;&gt;$I$3,COUNTIF(Tab_fériés[date],A215),0)</f>
        <v>0</v>
      </c>
      <c r="F215">
        <f t="shared" si="17"/>
        <v>0</v>
      </c>
      <c r="O215" s="3">
        <v>44689</v>
      </c>
      <c r="P215">
        <v>2022</v>
      </c>
      <c r="Q215" t="s">
        <v>272</v>
      </c>
      <c r="R215" s="145">
        <v>45054</v>
      </c>
    </row>
    <row r="216" spans="1:18">
      <c r="A216" s="3" t="e">
        <f t="shared" si="18"/>
        <v>#VALUE!</v>
      </c>
      <c r="B216" t="e">
        <f t="shared" si="15"/>
        <v>#VALUE!</v>
      </c>
      <c r="C216" t="e">
        <f t="shared" si="19"/>
        <v>#VALUE!</v>
      </c>
      <c r="D216" t="e">
        <f t="shared" si="16"/>
        <v>#VALUE!</v>
      </c>
      <c r="E216">
        <f>IF($B$2&lt;&gt;$I$3,COUNTIF(Tab_fériés[date],A216),0)</f>
        <v>0</v>
      </c>
      <c r="F216">
        <f t="shared" si="17"/>
        <v>0</v>
      </c>
      <c r="O216" s="3">
        <v>44707</v>
      </c>
      <c r="P216">
        <v>2022</v>
      </c>
      <c r="Q216" t="s">
        <v>272</v>
      </c>
      <c r="R216" t="s">
        <v>278</v>
      </c>
    </row>
    <row r="217" spans="1:18">
      <c r="A217" s="3" t="e">
        <f t="shared" si="18"/>
        <v>#VALUE!</v>
      </c>
      <c r="B217" t="e">
        <f t="shared" si="15"/>
        <v>#VALUE!</v>
      </c>
      <c r="C217" t="e">
        <f t="shared" si="19"/>
        <v>#VALUE!</v>
      </c>
      <c r="D217" t="e">
        <f t="shared" si="16"/>
        <v>#VALUE!</v>
      </c>
      <c r="E217">
        <f>IF($B$2&lt;&gt;$I$3,COUNTIF(Tab_fériés[date],A217),0)</f>
        <v>0</v>
      </c>
      <c r="F217">
        <f t="shared" si="17"/>
        <v>0</v>
      </c>
      <c r="O217" s="3">
        <v>44718</v>
      </c>
      <c r="P217">
        <v>2022</v>
      </c>
      <c r="Q217" t="s">
        <v>272</v>
      </c>
      <c r="R217" t="s">
        <v>279</v>
      </c>
    </row>
    <row r="218" spans="1:18">
      <c r="A218" s="3" t="e">
        <f t="shared" si="18"/>
        <v>#VALUE!</v>
      </c>
      <c r="B218" t="e">
        <f t="shared" si="15"/>
        <v>#VALUE!</v>
      </c>
      <c r="C218" t="e">
        <f t="shared" si="19"/>
        <v>#VALUE!</v>
      </c>
      <c r="D218" t="e">
        <f t="shared" si="16"/>
        <v>#VALUE!</v>
      </c>
      <c r="E218">
        <f>IF($B$2&lt;&gt;$I$3,COUNTIF(Tab_fériés[date],A218),0)</f>
        <v>0</v>
      </c>
      <c r="F218">
        <f t="shared" si="17"/>
        <v>0</v>
      </c>
      <c r="O218" s="3">
        <v>44756</v>
      </c>
      <c r="P218">
        <v>2022</v>
      </c>
      <c r="Q218" t="s">
        <v>272</v>
      </c>
      <c r="R218" s="145">
        <v>45121</v>
      </c>
    </row>
    <row r="219" spans="1:18">
      <c r="A219" s="3" t="e">
        <f t="shared" si="18"/>
        <v>#VALUE!</v>
      </c>
      <c r="B219" t="e">
        <f t="shared" si="15"/>
        <v>#VALUE!</v>
      </c>
      <c r="C219" t="e">
        <f t="shared" si="19"/>
        <v>#VALUE!</v>
      </c>
      <c r="D219" t="e">
        <f t="shared" si="16"/>
        <v>#VALUE!</v>
      </c>
      <c r="E219">
        <f>IF($B$2&lt;&gt;$I$3,COUNTIF(Tab_fériés[date],A219),0)</f>
        <v>0</v>
      </c>
      <c r="F219">
        <f t="shared" si="17"/>
        <v>0</v>
      </c>
      <c r="O219" s="3">
        <v>44788</v>
      </c>
      <c r="P219">
        <v>2022</v>
      </c>
      <c r="Q219" t="s">
        <v>272</v>
      </c>
      <c r="R219" t="s">
        <v>281</v>
      </c>
    </row>
    <row r="220" spans="1:18">
      <c r="A220" s="3" t="e">
        <f t="shared" si="18"/>
        <v>#VALUE!</v>
      </c>
      <c r="B220" t="e">
        <f t="shared" si="15"/>
        <v>#VALUE!</v>
      </c>
      <c r="C220" t="e">
        <f t="shared" si="19"/>
        <v>#VALUE!</v>
      </c>
      <c r="D220" t="e">
        <f t="shared" si="16"/>
        <v>#VALUE!</v>
      </c>
      <c r="E220">
        <f>IF($B$2&lt;&gt;$I$3,COUNTIF(Tab_fériés[date],A220),0)</f>
        <v>0</v>
      </c>
      <c r="F220">
        <f t="shared" si="17"/>
        <v>0</v>
      </c>
      <c r="O220" s="3">
        <v>44866</v>
      </c>
      <c r="P220">
        <v>2022</v>
      </c>
      <c r="Q220" t="s">
        <v>272</v>
      </c>
      <c r="R220" t="s">
        <v>282</v>
      </c>
    </row>
    <row r="221" spans="1:18">
      <c r="A221" s="3" t="e">
        <f t="shared" si="18"/>
        <v>#VALUE!</v>
      </c>
      <c r="B221" t="e">
        <f t="shared" si="15"/>
        <v>#VALUE!</v>
      </c>
      <c r="C221" t="e">
        <f t="shared" si="19"/>
        <v>#VALUE!</v>
      </c>
      <c r="D221" t="e">
        <f t="shared" si="16"/>
        <v>#VALUE!</v>
      </c>
      <c r="E221">
        <f>IF($B$2&lt;&gt;$I$3,COUNTIF(Tab_fériés[date],A221),0)</f>
        <v>0</v>
      </c>
      <c r="F221">
        <f t="shared" si="17"/>
        <v>0</v>
      </c>
      <c r="O221" s="3">
        <v>44876</v>
      </c>
      <c r="P221">
        <v>2022</v>
      </c>
      <c r="Q221" t="s">
        <v>272</v>
      </c>
      <c r="R221" s="145">
        <v>45241</v>
      </c>
    </row>
    <row r="222" spans="1:18">
      <c r="A222" s="3" t="e">
        <f t="shared" si="18"/>
        <v>#VALUE!</v>
      </c>
      <c r="B222" t="e">
        <f t="shared" si="15"/>
        <v>#VALUE!</v>
      </c>
      <c r="C222" t="e">
        <f t="shared" si="19"/>
        <v>#VALUE!</v>
      </c>
      <c r="D222" t="e">
        <f t="shared" si="16"/>
        <v>#VALUE!</v>
      </c>
      <c r="E222">
        <f>IF($B$2&lt;&gt;$I$3,COUNTIF(Tab_fériés[date],A222),0)</f>
        <v>0</v>
      </c>
      <c r="F222">
        <f t="shared" si="17"/>
        <v>0</v>
      </c>
      <c r="O222" s="3">
        <v>44920</v>
      </c>
      <c r="P222">
        <v>2022</v>
      </c>
      <c r="Q222" t="s">
        <v>272</v>
      </c>
      <c r="R222" t="s">
        <v>283</v>
      </c>
    </row>
    <row r="223" spans="1:18">
      <c r="A223" s="3" t="e">
        <f t="shared" si="18"/>
        <v>#VALUE!</v>
      </c>
      <c r="B223" t="e">
        <f t="shared" si="15"/>
        <v>#VALUE!</v>
      </c>
      <c r="C223" t="e">
        <f t="shared" si="19"/>
        <v>#VALUE!</v>
      </c>
      <c r="D223" t="e">
        <f t="shared" si="16"/>
        <v>#VALUE!</v>
      </c>
      <c r="E223">
        <f>IF($B$2&lt;&gt;$I$3,COUNTIF(Tab_fériés[date],A223),0)</f>
        <v>0</v>
      </c>
      <c r="F223">
        <f t="shared" si="17"/>
        <v>0</v>
      </c>
      <c r="O223" s="3">
        <v>44927</v>
      </c>
      <c r="P223">
        <v>2023</v>
      </c>
      <c r="Q223" t="s">
        <v>272</v>
      </c>
      <c r="R223" t="s">
        <v>273</v>
      </c>
    </row>
    <row r="224" spans="1:18">
      <c r="A224" s="3" t="e">
        <f t="shared" si="18"/>
        <v>#VALUE!</v>
      </c>
      <c r="B224" t="e">
        <f t="shared" si="15"/>
        <v>#VALUE!</v>
      </c>
      <c r="C224" t="e">
        <f t="shared" si="19"/>
        <v>#VALUE!</v>
      </c>
      <c r="D224" t="e">
        <f t="shared" si="16"/>
        <v>#VALUE!</v>
      </c>
      <c r="E224">
        <f>IF($B$2&lt;&gt;$I$3,COUNTIF(Tab_fériés[date],A224),0)</f>
        <v>0</v>
      </c>
      <c r="F224">
        <f t="shared" si="17"/>
        <v>0</v>
      </c>
      <c r="O224" s="3">
        <v>45026</v>
      </c>
      <c r="P224">
        <v>2023</v>
      </c>
      <c r="Q224" t="s">
        <v>272</v>
      </c>
      <c r="R224" t="s">
        <v>274</v>
      </c>
    </row>
    <row r="225" spans="1:18">
      <c r="A225" s="3" t="e">
        <f t="shared" si="18"/>
        <v>#VALUE!</v>
      </c>
      <c r="B225" t="e">
        <f t="shared" si="15"/>
        <v>#VALUE!</v>
      </c>
      <c r="C225" t="e">
        <f t="shared" si="19"/>
        <v>#VALUE!</v>
      </c>
      <c r="D225" t="e">
        <f t="shared" si="16"/>
        <v>#VALUE!</v>
      </c>
      <c r="E225">
        <f>IF($B$2&lt;&gt;$I$3,COUNTIF(Tab_fériés[date],A225),0)</f>
        <v>0</v>
      </c>
      <c r="F225">
        <f t="shared" si="17"/>
        <v>0</v>
      </c>
      <c r="O225" s="3">
        <v>45047</v>
      </c>
      <c r="P225">
        <v>2023</v>
      </c>
      <c r="Q225" t="s">
        <v>272</v>
      </c>
      <c r="R225" t="s">
        <v>275</v>
      </c>
    </row>
    <row r="226" spans="1:18">
      <c r="A226" s="3" t="e">
        <f t="shared" si="18"/>
        <v>#VALUE!</v>
      </c>
      <c r="B226" t="e">
        <f t="shared" si="15"/>
        <v>#VALUE!</v>
      </c>
      <c r="C226" t="e">
        <f t="shared" si="19"/>
        <v>#VALUE!</v>
      </c>
      <c r="D226" t="e">
        <f t="shared" si="16"/>
        <v>#VALUE!</v>
      </c>
      <c r="E226">
        <f>IF($B$2&lt;&gt;$I$3,COUNTIF(Tab_fériés[date],A226),0)</f>
        <v>0</v>
      </c>
      <c r="F226">
        <f t="shared" si="17"/>
        <v>0</v>
      </c>
      <c r="O226" s="3">
        <v>45054</v>
      </c>
      <c r="P226">
        <v>2023</v>
      </c>
      <c r="Q226" t="s">
        <v>272</v>
      </c>
      <c r="R226" s="145">
        <v>45054</v>
      </c>
    </row>
    <row r="227" spans="1:18">
      <c r="A227" s="3" t="e">
        <f t="shared" si="18"/>
        <v>#VALUE!</v>
      </c>
      <c r="B227" t="e">
        <f t="shared" si="15"/>
        <v>#VALUE!</v>
      </c>
      <c r="C227" t="e">
        <f t="shared" si="19"/>
        <v>#VALUE!</v>
      </c>
      <c r="D227" t="e">
        <f t="shared" si="16"/>
        <v>#VALUE!</v>
      </c>
      <c r="E227">
        <f>IF($B$2&lt;&gt;$I$3,COUNTIF(Tab_fériés[date],A227),0)</f>
        <v>0</v>
      </c>
      <c r="F227">
        <f t="shared" si="17"/>
        <v>0</v>
      </c>
      <c r="O227" s="3">
        <v>45064</v>
      </c>
      <c r="P227">
        <v>2023</v>
      </c>
      <c r="Q227" t="s">
        <v>272</v>
      </c>
      <c r="R227" t="s">
        <v>278</v>
      </c>
    </row>
    <row r="228" spans="1:18">
      <c r="A228" s="3" t="e">
        <f t="shared" si="18"/>
        <v>#VALUE!</v>
      </c>
      <c r="B228" t="e">
        <f t="shared" si="15"/>
        <v>#VALUE!</v>
      </c>
      <c r="C228" t="e">
        <f t="shared" si="19"/>
        <v>#VALUE!</v>
      </c>
      <c r="D228" t="e">
        <f t="shared" si="16"/>
        <v>#VALUE!</v>
      </c>
      <c r="E228">
        <f>IF($B$2&lt;&gt;$I$3,COUNTIF(Tab_fériés[date],A228),0)</f>
        <v>0</v>
      </c>
      <c r="F228">
        <f t="shared" si="17"/>
        <v>0</v>
      </c>
      <c r="O228" s="3">
        <v>45075</v>
      </c>
      <c r="P228">
        <v>2023</v>
      </c>
      <c r="Q228" t="s">
        <v>272</v>
      </c>
      <c r="R228" t="s">
        <v>279</v>
      </c>
    </row>
    <row r="229" spans="1:18">
      <c r="A229" s="3" t="e">
        <f t="shared" si="18"/>
        <v>#VALUE!</v>
      </c>
      <c r="B229" t="e">
        <f t="shared" si="15"/>
        <v>#VALUE!</v>
      </c>
      <c r="C229" t="e">
        <f t="shared" si="19"/>
        <v>#VALUE!</v>
      </c>
      <c r="D229" t="e">
        <f t="shared" si="16"/>
        <v>#VALUE!</v>
      </c>
      <c r="E229">
        <f>IF($B$2&lt;&gt;$I$3,COUNTIF(Tab_fériés[date],A229),0)</f>
        <v>0</v>
      </c>
      <c r="F229">
        <f t="shared" si="17"/>
        <v>0</v>
      </c>
      <c r="O229" s="3">
        <v>45121</v>
      </c>
      <c r="P229">
        <v>2023</v>
      </c>
      <c r="Q229" t="s">
        <v>272</v>
      </c>
      <c r="R229" s="145">
        <v>45121</v>
      </c>
    </row>
    <row r="230" spans="1:18">
      <c r="A230" s="3" t="e">
        <f t="shared" si="18"/>
        <v>#VALUE!</v>
      </c>
      <c r="B230" t="e">
        <f t="shared" si="15"/>
        <v>#VALUE!</v>
      </c>
      <c r="C230" t="e">
        <f t="shared" si="19"/>
        <v>#VALUE!</v>
      </c>
      <c r="D230" t="e">
        <f t="shared" si="16"/>
        <v>#VALUE!</v>
      </c>
      <c r="E230">
        <f>IF($B$2&lt;&gt;$I$3,COUNTIF(Tab_fériés[date],A230),0)</f>
        <v>0</v>
      </c>
      <c r="F230">
        <f t="shared" si="17"/>
        <v>0</v>
      </c>
      <c r="O230" s="3">
        <v>45153</v>
      </c>
      <c r="P230">
        <v>2023</v>
      </c>
      <c r="Q230" t="s">
        <v>272</v>
      </c>
      <c r="R230" t="s">
        <v>281</v>
      </c>
    </row>
    <row r="231" spans="1:18">
      <c r="A231" s="3" t="e">
        <f t="shared" si="18"/>
        <v>#VALUE!</v>
      </c>
      <c r="B231" t="e">
        <f t="shared" si="15"/>
        <v>#VALUE!</v>
      </c>
      <c r="C231" t="e">
        <f t="shared" si="19"/>
        <v>#VALUE!</v>
      </c>
      <c r="D231" t="e">
        <f t="shared" si="16"/>
        <v>#VALUE!</v>
      </c>
      <c r="E231">
        <f>IF($B$2&lt;&gt;$I$3,COUNTIF(Tab_fériés[date],A231),0)</f>
        <v>0</v>
      </c>
      <c r="F231">
        <f t="shared" si="17"/>
        <v>0</v>
      </c>
      <c r="O231" s="3">
        <v>45231</v>
      </c>
      <c r="P231">
        <v>2023</v>
      </c>
      <c r="Q231" t="s">
        <v>272</v>
      </c>
      <c r="R231" t="s">
        <v>282</v>
      </c>
    </row>
    <row r="232" spans="1:18">
      <c r="A232" s="3" t="e">
        <f t="shared" si="18"/>
        <v>#VALUE!</v>
      </c>
      <c r="B232" t="e">
        <f t="shared" si="15"/>
        <v>#VALUE!</v>
      </c>
      <c r="C232" t="e">
        <f t="shared" si="19"/>
        <v>#VALUE!</v>
      </c>
      <c r="D232" t="e">
        <f t="shared" si="16"/>
        <v>#VALUE!</v>
      </c>
      <c r="E232">
        <f>IF($B$2&lt;&gt;$I$3,COUNTIF(Tab_fériés[date],A232),0)</f>
        <v>0</v>
      </c>
      <c r="F232">
        <f t="shared" si="17"/>
        <v>0</v>
      </c>
      <c r="O232" s="3">
        <v>45241</v>
      </c>
      <c r="P232">
        <v>2023</v>
      </c>
      <c r="Q232" t="s">
        <v>272</v>
      </c>
      <c r="R232" s="145">
        <v>45241</v>
      </c>
    </row>
    <row r="233" spans="1:18">
      <c r="A233" s="3" t="e">
        <f t="shared" si="18"/>
        <v>#VALUE!</v>
      </c>
      <c r="B233" t="e">
        <f t="shared" si="15"/>
        <v>#VALUE!</v>
      </c>
      <c r="C233" t="e">
        <f t="shared" si="19"/>
        <v>#VALUE!</v>
      </c>
      <c r="D233" t="e">
        <f t="shared" si="16"/>
        <v>#VALUE!</v>
      </c>
      <c r="E233">
        <f>IF($B$2&lt;&gt;$I$3,COUNTIF(Tab_fériés[date],A233),0)</f>
        <v>0</v>
      </c>
      <c r="F233">
        <f t="shared" si="17"/>
        <v>0</v>
      </c>
      <c r="O233" s="3">
        <v>45285</v>
      </c>
      <c r="P233">
        <v>2023</v>
      </c>
      <c r="Q233" t="s">
        <v>272</v>
      </c>
      <c r="R233" t="s">
        <v>283</v>
      </c>
    </row>
    <row r="234" spans="1:18">
      <c r="A234" s="3" t="e">
        <f t="shared" si="18"/>
        <v>#VALUE!</v>
      </c>
      <c r="B234" t="e">
        <f t="shared" si="15"/>
        <v>#VALUE!</v>
      </c>
      <c r="C234" t="e">
        <f t="shared" si="19"/>
        <v>#VALUE!</v>
      </c>
      <c r="D234" t="e">
        <f t="shared" si="16"/>
        <v>#VALUE!</v>
      </c>
      <c r="E234">
        <f>IF($B$2&lt;&gt;$I$3,COUNTIF(Tab_fériés[date],A234),0)</f>
        <v>0</v>
      </c>
      <c r="F234">
        <f t="shared" si="17"/>
        <v>0</v>
      </c>
      <c r="O234" s="3">
        <v>45292</v>
      </c>
      <c r="P234">
        <v>2024</v>
      </c>
      <c r="Q234" t="s">
        <v>272</v>
      </c>
      <c r="R234" t="s">
        <v>273</v>
      </c>
    </row>
    <row r="235" spans="1:18">
      <c r="A235" s="3" t="e">
        <f t="shared" si="18"/>
        <v>#VALUE!</v>
      </c>
      <c r="B235" t="e">
        <f t="shared" si="15"/>
        <v>#VALUE!</v>
      </c>
      <c r="C235" t="e">
        <f t="shared" si="19"/>
        <v>#VALUE!</v>
      </c>
      <c r="D235" t="e">
        <f t="shared" si="16"/>
        <v>#VALUE!</v>
      </c>
      <c r="E235">
        <f>IF($B$2&lt;&gt;$I$3,COUNTIF(Tab_fériés[date],A235),0)</f>
        <v>0</v>
      </c>
      <c r="F235">
        <f t="shared" si="17"/>
        <v>0</v>
      </c>
      <c r="O235" s="3">
        <v>45383</v>
      </c>
      <c r="P235">
        <v>2024</v>
      </c>
      <c r="Q235" t="s">
        <v>272</v>
      </c>
      <c r="R235" t="s">
        <v>274</v>
      </c>
    </row>
    <row r="236" spans="1:18">
      <c r="A236" s="3" t="e">
        <f t="shared" si="18"/>
        <v>#VALUE!</v>
      </c>
      <c r="B236" t="e">
        <f t="shared" si="15"/>
        <v>#VALUE!</v>
      </c>
      <c r="C236" t="e">
        <f t="shared" si="19"/>
        <v>#VALUE!</v>
      </c>
      <c r="D236" t="e">
        <f t="shared" si="16"/>
        <v>#VALUE!</v>
      </c>
      <c r="E236">
        <f>IF($B$2&lt;&gt;$I$3,COUNTIF(Tab_fériés[date],A236),0)</f>
        <v>0</v>
      </c>
      <c r="F236">
        <f t="shared" si="17"/>
        <v>0</v>
      </c>
      <c r="O236" s="3">
        <v>45413</v>
      </c>
      <c r="P236">
        <v>2024</v>
      </c>
      <c r="Q236" t="s">
        <v>272</v>
      </c>
      <c r="R236" t="s">
        <v>275</v>
      </c>
    </row>
    <row r="237" spans="1:18">
      <c r="A237" s="3" t="e">
        <f t="shared" si="18"/>
        <v>#VALUE!</v>
      </c>
      <c r="B237" t="e">
        <f t="shared" si="15"/>
        <v>#VALUE!</v>
      </c>
      <c r="C237" t="e">
        <f t="shared" si="19"/>
        <v>#VALUE!</v>
      </c>
      <c r="D237" t="e">
        <f t="shared" si="16"/>
        <v>#VALUE!</v>
      </c>
      <c r="E237">
        <f>IF($B$2&lt;&gt;$I$3,COUNTIF(Tab_fériés[date],A237),0)</f>
        <v>0</v>
      </c>
      <c r="F237">
        <f t="shared" si="17"/>
        <v>0</v>
      </c>
      <c r="O237" s="3">
        <v>45420</v>
      </c>
      <c r="P237">
        <v>2024</v>
      </c>
      <c r="Q237" t="s">
        <v>272</v>
      </c>
      <c r="R237" s="145">
        <v>45054</v>
      </c>
    </row>
    <row r="238" spans="1:18">
      <c r="A238" s="3" t="e">
        <f t="shared" si="18"/>
        <v>#VALUE!</v>
      </c>
      <c r="B238" t="e">
        <f t="shared" si="15"/>
        <v>#VALUE!</v>
      </c>
      <c r="C238" t="e">
        <f t="shared" si="19"/>
        <v>#VALUE!</v>
      </c>
      <c r="D238" t="e">
        <f t="shared" si="16"/>
        <v>#VALUE!</v>
      </c>
      <c r="E238">
        <f>IF($B$2&lt;&gt;$I$3,COUNTIF(Tab_fériés[date],A238),0)</f>
        <v>0</v>
      </c>
      <c r="F238">
        <f t="shared" si="17"/>
        <v>0</v>
      </c>
      <c r="O238" s="3">
        <v>45421</v>
      </c>
      <c r="P238">
        <v>2024</v>
      </c>
      <c r="Q238" t="s">
        <v>272</v>
      </c>
      <c r="R238" t="s">
        <v>278</v>
      </c>
    </row>
    <row r="239" spans="1:18">
      <c r="A239" s="3" t="e">
        <f t="shared" si="18"/>
        <v>#VALUE!</v>
      </c>
      <c r="B239" t="e">
        <f t="shared" si="15"/>
        <v>#VALUE!</v>
      </c>
      <c r="C239" t="e">
        <f t="shared" si="19"/>
        <v>#VALUE!</v>
      </c>
      <c r="D239" t="e">
        <f t="shared" si="16"/>
        <v>#VALUE!</v>
      </c>
      <c r="E239">
        <f>IF($B$2&lt;&gt;$I$3,COUNTIF(Tab_fériés[date],A239),0)</f>
        <v>0</v>
      </c>
      <c r="F239">
        <f t="shared" si="17"/>
        <v>0</v>
      </c>
      <c r="O239" s="3">
        <v>45432</v>
      </c>
      <c r="P239">
        <v>2024</v>
      </c>
      <c r="Q239" t="s">
        <v>272</v>
      </c>
      <c r="R239" t="s">
        <v>279</v>
      </c>
    </row>
    <row r="240" spans="1:18">
      <c r="A240" s="3" t="e">
        <f t="shared" si="18"/>
        <v>#VALUE!</v>
      </c>
      <c r="B240" t="e">
        <f t="shared" si="15"/>
        <v>#VALUE!</v>
      </c>
      <c r="C240" t="e">
        <f t="shared" si="19"/>
        <v>#VALUE!</v>
      </c>
      <c r="D240" t="e">
        <f t="shared" si="16"/>
        <v>#VALUE!</v>
      </c>
      <c r="E240">
        <f>IF($B$2&lt;&gt;$I$3,COUNTIF(Tab_fériés[date],A240),0)</f>
        <v>0</v>
      </c>
      <c r="F240">
        <f t="shared" si="17"/>
        <v>0</v>
      </c>
      <c r="O240" s="3">
        <v>45487</v>
      </c>
      <c r="P240">
        <v>2024</v>
      </c>
      <c r="Q240" t="s">
        <v>272</v>
      </c>
      <c r="R240" s="145">
        <v>45121</v>
      </c>
    </row>
    <row r="241" spans="1:18">
      <c r="A241" s="3" t="e">
        <f t="shared" si="18"/>
        <v>#VALUE!</v>
      </c>
      <c r="B241" t="e">
        <f t="shared" si="15"/>
        <v>#VALUE!</v>
      </c>
      <c r="C241" t="e">
        <f t="shared" si="19"/>
        <v>#VALUE!</v>
      </c>
      <c r="D241" t="e">
        <f t="shared" si="16"/>
        <v>#VALUE!</v>
      </c>
      <c r="E241">
        <f>IF($B$2&lt;&gt;$I$3,COUNTIF(Tab_fériés[date],A241),0)</f>
        <v>0</v>
      </c>
      <c r="F241">
        <f t="shared" si="17"/>
        <v>0</v>
      </c>
      <c r="O241" s="3">
        <v>45519</v>
      </c>
      <c r="P241">
        <v>2024</v>
      </c>
      <c r="Q241" t="s">
        <v>272</v>
      </c>
      <c r="R241" t="s">
        <v>281</v>
      </c>
    </row>
    <row r="242" spans="1:18">
      <c r="A242" s="3" t="e">
        <f t="shared" si="18"/>
        <v>#VALUE!</v>
      </c>
      <c r="B242" t="e">
        <f t="shared" si="15"/>
        <v>#VALUE!</v>
      </c>
      <c r="C242" t="e">
        <f t="shared" si="19"/>
        <v>#VALUE!</v>
      </c>
      <c r="D242" t="e">
        <f t="shared" si="16"/>
        <v>#VALUE!</v>
      </c>
      <c r="E242">
        <f>IF($B$2&lt;&gt;$I$3,COUNTIF(Tab_fériés[date],A242),0)</f>
        <v>0</v>
      </c>
      <c r="F242">
        <f t="shared" si="17"/>
        <v>0</v>
      </c>
      <c r="O242" s="3">
        <v>45597</v>
      </c>
      <c r="P242">
        <v>2024</v>
      </c>
      <c r="Q242" t="s">
        <v>272</v>
      </c>
      <c r="R242" t="s">
        <v>282</v>
      </c>
    </row>
    <row r="243" spans="1:18">
      <c r="A243" s="3" t="e">
        <f t="shared" si="18"/>
        <v>#VALUE!</v>
      </c>
      <c r="B243" t="e">
        <f t="shared" si="15"/>
        <v>#VALUE!</v>
      </c>
      <c r="C243" t="e">
        <f t="shared" si="19"/>
        <v>#VALUE!</v>
      </c>
      <c r="D243" t="e">
        <f t="shared" si="16"/>
        <v>#VALUE!</v>
      </c>
      <c r="E243">
        <f>IF($B$2&lt;&gt;$I$3,COUNTIF(Tab_fériés[date],A243),0)</f>
        <v>0</v>
      </c>
      <c r="F243">
        <f t="shared" si="17"/>
        <v>0</v>
      </c>
      <c r="O243" s="3">
        <v>45607</v>
      </c>
      <c r="P243">
        <v>2024</v>
      </c>
      <c r="Q243" t="s">
        <v>272</v>
      </c>
      <c r="R243" s="145">
        <v>45241</v>
      </c>
    </row>
    <row r="244" spans="1:18">
      <c r="A244" s="3" t="e">
        <f t="shared" si="18"/>
        <v>#VALUE!</v>
      </c>
      <c r="B244" t="e">
        <f t="shared" si="15"/>
        <v>#VALUE!</v>
      </c>
      <c r="C244" t="e">
        <f t="shared" si="19"/>
        <v>#VALUE!</v>
      </c>
      <c r="D244" t="e">
        <f t="shared" si="16"/>
        <v>#VALUE!</v>
      </c>
      <c r="E244">
        <f>IF($B$2&lt;&gt;$I$3,COUNTIF(Tab_fériés[date],A244),0)</f>
        <v>0</v>
      </c>
      <c r="F244">
        <f t="shared" si="17"/>
        <v>0</v>
      </c>
      <c r="O244" s="3">
        <v>45651</v>
      </c>
      <c r="P244">
        <v>2024</v>
      </c>
      <c r="Q244" t="s">
        <v>272</v>
      </c>
      <c r="R244" t="s">
        <v>283</v>
      </c>
    </row>
    <row r="245" spans="1:18">
      <c r="A245" s="3" t="e">
        <f t="shared" si="18"/>
        <v>#VALUE!</v>
      </c>
      <c r="B245" t="e">
        <f t="shared" si="15"/>
        <v>#VALUE!</v>
      </c>
      <c r="C245" t="e">
        <f t="shared" si="19"/>
        <v>#VALUE!</v>
      </c>
      <c r="D245" t="e">
        <f t="shared" si="16"/>
        <v>#VALUE!</v>
      </c>
      <c r="E245">
        <f>IF($B$2&lt;&gt;$I$3,COUNTIF(Tab_fériés[date],A245),0)</f>
        <v>0</v>
      </c>
      <c r="F245">
        <f t="shared" si="17"/>
        <v>0</v>
      </c>
      <c r="O245" s="3">
        <v>45658</v>
      </c>
      <c r="P245">
        <v>2025</v>
      </c>
      <c r="Q245" t="s">
        <v>272</v>
      </c>
      <c r="R245" t="s">
        <v>273</v>
      </c>
    </row>
    <row r="246" spans="1:18">
      <c r="A246" s="3" t="e">
        <f t="shared" si="18"/>
        <v>#VALUE!</v>
      </c>
      <c r="B246" t="e">
        <f t="shared" si="15"/>
        <v>#VALUE!</v>
      </c>
      <c r="C246" t="e">
        <f t="shared" si="19"/>
        <v>#VALUE!</v>
      </c>
      <c r="D246" t="e">
        <f t="shared" si="16"/>
        <v>#VALUE!</v>
      </c>
      <c r="E246">
        <f>IF($B$2&lt;&gt;$I$3,COUNTIF(Tab_fériés[date],A246),0)</f>
        <v>0</v>
      </c>
      <c r="F246">
        <f t="shared" si="17"/>
        <v>0</v>
      </c>
      <c r="O246" s="3">
        <v>45768</v>
      </c>
      <c r="P246">
        <v>2025</v>
      </c>
      <c r="Q246" t="s">
        <v>272</v>
      </c>
      <c r="R246" t="s">
        <v>274</v>
      </c>
    </row>
    <row r="247" spans="1:18">
      <c r="A247" s="3" t="e">
        <f t="shared" si="18"/>
        <v>#VALUE!</v>
      </c>
      <c r="B247" t="e">
        <f t="shared" si="15"/>
        <v>#VALUE!</v>
      </c>
      <c r="C247" t="e">
        <f t="shared" si="19"/>
        <v>#VALUE!</v>
      </c>
      <c r="D247" t="e">
        <f t="shared" si="16"/>
        <v>#VALUE!</v>
      </c>
      <c r="E247">
        <f>IF($B$2&lt;&gt;$I$3,COUNTIF(Tab_fériés[date],A247),0)</f>
        <v>0</v>
      </c>
      <c r="F247">
        <f t="shared" si="17"/>
        <v>0</v>
      </c>
      <c r="O247" s="3">
        <v>45778</v>
      </c>
      <c r="P247">
        <v>2025</v>
      </c>
      <c r="Q247" t="s">
        <v>272</v>
      </c>
      <c r="R247" t="s">
        <v>275</v>
      </c>
    </row>
    <row r="248" spans="1:18">
      <c r="A248" s="3" t="e">
        <f t="shared" si="18"/>
        <v>#VALUE!</v>
      </c>
      <c r="B248" t="e">
        <f t="shared" si="15"/>
        <v>#VALUE!</v>
      </c>
      <c r="C248" t="e">
        <f t="shared" si="19"/>
        <v>#VALUE!</v>
      </c>
      <c r="D248" t="e">
        <f t="shared" si="16"/>
        <v>#VALUE!</v>
      </c>
      <c r="E248">
        <f>IF($B$2&lt;&gt;$I$3,COUNTIF(Tab_fériés[date],A248),0)</f>
        <v>0</v>
      </c>
      <c r="F248">
        <f t="shared" si="17"/>
        <v>0</v>
      </c>
      <c r="O248" s="3">
        <v>45785</v>
      </c>
      <c r="P248">
        <v>2025</v>
      </c>
      <c r="Q248" t="s">
        <v>272</v>
      </c>
      <c r="R248" s="145">
        <v>45054</v>
      </c>
    </row>
    <row r="249" spans="1:18">
      <c r="A249" s="3" t="e">
        <f t="shared" si="18"/>
        <v>#VALUE!</v>
      </c>
      <c r="B249" t="e">
        <f t="shared" si="15"/>
        <v>#VALUE!</v>
      </c>
      <c r="C249" t="e">
        <f t="shared" si="19"/>
        <v>#VALUE!</v>
      </c>
      <c r="D249" t="e">
        <f t="shared" si="16"/>
        <v>#VALUE!</v>
      </c>
      <c r="E249">
        <f>IF($B$2&lt;&gt;$I$3,COUNTIF(Tab_fériés[date],A249),0)</f>
        <v>0</v>
      </c>
      <c r="F249">
        <f t="shared" si="17"/>
        <v>0</v>
      </c>
      <c r="O249" s="3">
        <v>45806</v>
      </c>
      <c r="P249">
        <v>2025</v>
      </c>
      <c r="Q249" t="s">
        <v>272</v>
      </c>
      <c r="R249" t="s">
        <v>278</v>
      </c>
    </row>
    <row r="250" spans="1:18">
      <c r="A250" s="3" t="e">
        <f t="shared" si="18"/>
        <v>#VALUE!</v>
      </c>
      <c r="B250" t="e">
        <f t="shared" si="15"/>
        <v>#VALUE!</v>
      </c>
      <c r="C250" t="e">
        <f t="shared" si="19"/>
        <v>#VALUE!</v>
      </c>
      <c r="D250" t="e">
        <f t="shared" si="16"/>
        <v>#VALUE!</v>
      </c>
      <c r="E250">
        <f>IF($B$2&lt;&gt;$I$3,COUNTIF(Tab_fériés[date],A250),0)</f>
        <v>0</v>
      </c>
      <c r="F250">
        <f t="shared" si="17"/>
        <v>0</v>
      </c>
      <c r="O250" s="3">
        <v>45817</v>
      </c>
      <c r="P250">
        <v>2025</v>
      </c>
      <c r="Q250" t="s">
        <v>272</v>
      </c>
      <c r="R250" t="s">
        <v>279</v>
      </c>
    </row>
    <row r="251" spans="1:18">
      <c r="A251" s="3" t="e">
        <f t="shared" si="18"/>
        <v>#VALUE!</v>
      </c>
      <c r="B251" t="e">
        <f t="shared" si="15"/>
        <v>#VALUE!</v>
      </c>
      <c r="C251" t="e">
        <f t="shared" si="19"/>
        <v>#VALUE!</v>
      </c>
      <c r="D251" t="e">
        <f t="shared" si="16"/>
        <v>#VALUE!</v>
      </c>
      <c r="E251">
        <f>IF($B$2&lt;&gt;$I$3,COUNTIF(Tab_fériés[date],A251),0)</f>
        <v>0</v>
      </c>
      <c r="F251">
        <f t="shared" si="17"/>
        <v>0</v>
      </c>
      <c r="O251" s="3">
        <v>45852</v>
      </c>
      <c r="P251">
        <v>2025</v>
      </c>
      <c r="Q251" t="s">
        <v>272</v>
      </c>
      <c r="R251" s="145">
        <v>45121</v>
      </c>
    </row>
    <row r="252" spans="1:18">
      <c r="A252" s="3" t="e">
        <f t="shared" si="18"/>
        <v>#VALUE!</v>
      </c>
      <c r="B252" t="e">
        <f t="shared" si="15"/>
        <v>#VALUE!</v>
      </c>
      <c r="C252" t="e">
        <f t="shared" si="19"/>
        <v>#VALUE!</v>
      </c>
      <c r="D252" t="e">
        <f t="shared" si="16"/>
        <v>#VALUE!</v>
      </c>
      <c r="E252">
        <f>IF($B$2&lt;&gt;$I$3,COUNTIF(Tab_fériés[date],A252),0)</f>
        <v>0</v>
      </c>
      <c r="F252">
        <f t="shared" si="17"/>
        <v>0</v>
      </c>
      <c r="O252" s="3">
        <v>45884</v>
      </c>
      <c r="P252">
        <v>2025</v>
      </c>
      <c r="Q252" t="s">
        <v>272</v>
      </c>
      <c r="R252" t="s">
        <v>281</v>
      </c>
    </row>
    <row r="253" spans="1:18">
      <c r="A253" s="3" t="e">
        <f t="shared" si="18"/>
        <v>#VALUE!</v>
      </c>
      <c r="B253" t="e">
        <f t="shared" si="15"/>
        <v>#VALUE!</v>
      </c>
      <c r="C253" t="e">
        <f t="shared" si="19"/>
        <v>#VALUE!</v>
      </c>
      <c r="D253" t="e">
        <f t="shared" si="16"/>
        <v>#VALUE!</v>
      </c>
      <c r="E253">
        <f>IF($B$2&lt;&gt;$I$3,COUNTIF(Tab_fériés[date],A253),0)</f>
        <v>0</v>
      </c>
      <c r="F253">
        <f t="shared" si="17"/>
        <v>0</v>
      </c>
      <c r="O253" s="3">
        <v>45962</v>
      </c>
      <c r="P253">
        <v>2025</v>
      </c>
      <c r="Q253" t="s">
        <v>272</v>
      </c>
      <c r="R253" t="s">
        <v>282</v>
      </c>
    </row>
    <row r="254" spans="1:18">
      <c r="A254" s="3" t="e">
        <f t="shared" si="18"/>
        <v>#VALUE!</v>
      </c>
      <c r="B254" t="e">
        <f t="shared" si="15"/>
        <v>#VALUE!</v>
      </c>
      <c r="C254" t="e">
        <f t="shared" si="19"/>
        <v>#VALUE!</v>
      </c>
      <c r="D254" t="e">
        <f t="shared" si="16"/>
        <v>#VALUE!</v>
      </c>
      <c r="E254">
        <f>IF($B$2&lt;&gt;$I$3,COUNTIF(Tab_fériés[date],A254),0)</f>
        <v>0</v>
      </c>
      <c r="F254">
        <f t="shared" si="17"/>
        <v>0</v>
      </c>
      <c r="O254" s="3">
        <v>45972</v>
      </c>
      <c r="P254">
        <v>2025</v>
      </c>
      <c r="Q254" t="s">
        <v>272</v>
      </c>
      <c r="R254" s="145">
        <v>45241</v>
      </c>
    </row>
    <row r="255" spans="1:18">
      <c r="A255" s="3" t="e">
        <f t="shared" si="18"/>
        <v>#VALUE!</v>
      </c>
      <c r="B255" t="e">
        <f t="shared" si="15"/>
        <v>#VALUE!</v>
      </c>
      <c r="C255" t="e">
        <f t="shared" si="19"/>
        <v>#VALUE!</v>
      </c>
      <c r="D255" t="e">
        <f t="shared" si="16"/>
        <v>#VALUE!</v>
      </c>
      <c r="E255">
        <f>IF($B$2&lt;&gt;$I$3,COUNTIF(Tab_fériés[date],A255),0)</f>
        <v>0</v>
      </c>
      <c r="F255">
        <f t="shared" si="17"/>
        <v>0</v>
      </c>
      <c r="O255" s="3">
        <v>46016</v>
      </c>
      <c r="P255">
        <v>2025</v>
      </c>
      <c r="Q255" t="s">
        <v>272</v>
      </c>
      <c r="R255" t="s">
        <v>283</v>
      </c>
    </row>
    <row r="256" spans="1:18">
      <c r="A256" s="3" t="e">
        <f t="shared" si="18"/>
        <v>#VALUE!</v>
      </c>
      <c r="B256" t="e">
        <f t="shared" si="15"/>
        <v>#VALUE!</v>
      </c>
      <c r="C256" t="e">
        <f t="shared" si="19"/>
        <v>#VALUE!</v>
      </c>
      <c r="D256" t="e">
        <f t="shared" si="16"/>
        <v>#VALUE!</v>
      </c>
      <c r="E256">
        <f>IF($B$2&lt;&gt;$I$3,COUNTIF(Tab_fériés[date],A256),0)</f>
        <v>0</v>
      </c>
      <c r="F256">
        <f t="shared" si="17"/>
        <v>0</v>
      </c>
      <c r="O256" s="3">
        <v>46023</v>
      </c>
      <c r="P256">
        <v>2026</v>
      </c>
      <c r="Q256" t="s">
        <v>272</v>
      </c>
      <c r="R256" t="s">
        <v>273</v>
      </c>
    </row>
    <row r="257" spans="1:18">
      <c r="A257" s="3" t="e">
        <f t="shared" si="18"/>
        <v>#VALUE!</v>
      </c>
      <c r="B257" t="e">
        <f t="shared" si="15"/>
        <v>#VALUE!</v>
      </c>
      <c r="C257" t="e">
        <f t="shared" si="19"/>
        <v>#VALUE!</v>
      </c>
      <c r="D257" t="e">
        <f t="shared" si="16"/>
        <v>#VALUE!</v>
      </c>
      <c r="E257">
        <f>IF($B$2&lt;&gt;$I$3,COUNTIF(Tab_fériés[date],A257),0)</f>
        <v>0</v>
      </c>
      <c r="F257">
        <f t="shared" si="17"/>
        <v>0</v>
      </c>
      <c r="O257" s="3">
        <v>46118</v>
      </c>
      <c r="P257">
        <v>2026</v>
      </c>
      <c r="Q257" t="s">
        <v>272</v>
      </c>
      <c r="R257" t="s">
        <v>274</v>
      </c>
    </row>
    <row r="258" spans="1:18">
      <c r="A258" s="3" t="e">
        <f t="shared" si="18"/>
        <v>#VALUE!</v>
      </c>
      <c r="B258" t="e">
        <f t="shared" si="15"/>
        <v>#VALUE!</v>
      </c>
      <c r="C258" t="e">
        <f t="shared" si="19"/>
        <v>#VALUE!</v>
      </c>
      <c r="D258" t="e">
        <f t="shared" si="16"/>
        <v>#VALUE!</v>
      </c>
      <c r="E258">
        <f>IF($B$2&lt;&gt;$I$3,COUNTIF(Tab_fériés[date],A258),0)</f>
        <v>0</v>
      </c>
      <c r="F258">
        <f t="shared" si="17"/>
        <v>0</v>
      </c>
      <c r="O258" s="3">
        <v>46143</v>
      </c>
      <c r="P258">
        <v>2026</v>
      </c>
      <c r="Q258" t="s">
        <v>272</v>
      </c>
      <c r="R258" t="s">
        <v>275</v>
      </c>
    </row>
    <row r="259" spans="1:18">
      <c r="A259" s="3" t="e">
        <f t="shared" si="18"/>
        <v>#VALUE!</v>
      </c>
      <c r="B259" t="e">
        <f t="shared" si="15"/>
        <v>#VALUE!</v>
      </c>
      <c r="C259" t="e">
        <f t="shared" si="19"/>
        <v>#VALUE!</v>
      </c>
      <c r="D259" t="e">
        <f t="shared" si="16"/>
        <v>#VALUE!</v>
      </c>
      <c r="E259">
        <f>IF($B$2&lt;&gt;$I$3,COUNTIF(Tab_fériés[date],A259),0)</f>
        <v>0</v>
      </c>
      <c r="F259">
        <f t="shared" si="17"/>
        <v>0</v>
      </c>
      <c r="O259" s="3">
        <v>46150</v>
      </c>
      <c r="P259">
        <v>2026</v>
      </c>
      <c r="Q259" t="s">
        <v>272</v>
      </c>
      <c r="R259" s="145">
        <v>45054</v>
      </c>
    </row>
    <row r="260" spans="1:18">
      <c r="A260" s="3" t="e">
        <f t="shared" si="18"/>
        <v>#VALUE!</v>
      </c>
      <c r="B260" t="e">
        <f t="shared" si="15"/>
        <v>#VALUE!</v>
      </c>
      <c r="C260" t="e">
        <f t="shared" si="19"/>
        <v>#VALUE!</v>
      </c>
      <c r="D260" t="e">
        <f t="shared" si="16"/>
        <v>#VALUE!</v>
      </c>
      <c r="E260">
        <f>IF($B$2&lt;&gt;$I$3,COUNTIF(Tab_fériés[date],A260),0)</f>
        <v>0</v>
      </c>
      <c r="F260">
        <f t="shared" si="17"/>
        <v>0</v>
      </c>
      <c r="O260" s="3">
        <v>46156</v>
      </c>
      <c r="P260">
        <v>2026</v>
      </c>
      <c r="Q260" t="s">
        <v>272</v>
      </c>
      <c r="R260" t="s">
        <v>278</v>
      </c>
    </row>
    <row r="261" spans="1:18">
      <c r="A261" s="3" t="e">
        <f t="shared" si="18"/>
        <v>#VALUE!</v>
      </c>
      <c r="B261" t="e">
        <f t="shared" ref="B261:B324" si="20">WEEKDAY(A261,2)</f>
        <v>#VALUE!</v>
      </c>
      <c r="C261" t="e">
        <f t="shared" si="19"/>
        <v>#VALUE!</v>
      </c>
      <c r="D261" t="e">
        <f t="shared" ref="D261:D324" si="21">IF(AND(B261=7,$B$2&lt;&gt;$I$3),1,0)</f>
        <v>#VALUE!</v>
      </c>
      <c r="E261">
        <f>IF($B$2&lt;&gt;$I$3,COUNTIF(Tab_fériés[date],A261),0)</f>
        <v>0</v>
      </c>
      <c r="F261">
        <f t="shared" ref="F261:F324" si="22">IFERROR(IF(SUM(C261:E261)&gt;0,1,0),0)</f>
        <v>0</v>
      </c>
      <c r="O261" s="3">
        <v>46167</v>
      </c>
      <c r="P261">
        <v>2026</v>
      </c>
      <c r="Q261" t="s">
        <v>272</v>
      </c>
      <c r="R261" t="s">
        <v>279</v>
      </c>
    </row>
    <row r="262" spans="1:18">
      <c r="A262" s="3" t="e">
        <f t="shared" ref="A262:A325" si="23">A261+1</f>
        <v>#VALUE!</v>
      </c>
      <c r="B262" t="e">
        <f t="shared" si="20"/>
        <v>#VALUE!</v>
      </c>
      <c r="C262" t="e">
        <f t="shared" ref="C262:C325" si="24">IF(AND(B262=6,$B$2&lt;&gt;$I$3,$B$2&lt;&gt;$I$5),1,0)</f>
        <v>#VALUE!</v>
      </c>
      <c r="D262" t="e">
        <f t="shared" si="21"/>
        <v>#VALUE!</v>
      </c>
      <c r="E262">
        <f>IF($B$2&lt;&gt;$I$3,COUNTIF(Tab_fériés[date],A262),0)</f>
        <v>0</v>
      </c>
      <c r="F262">
        <f t="shared" si="22"/>
        <v>0</v>
      </c>
      <c r="O262" s="3">
        <v>46217</v>
      </c>
      <c r="P262">
        <v>2026</v>
      </c>
      <c r="Q262" t="s">
        <v>272</v>
      </c>
      <c r="R262" s="145">
        <v>45121</v>
      </c>
    </row>
    <row r="263" spans="1:18">
      <c r="A263" s="3" t="e">
        <f t="shared" si="23"/>
        <v>#VALUE!</v>
      </c>
      <c r="B263" t="e">
        <f t="shared" si="20"/>
        <v>#VALUE!</v>
      </c>
      <c r="C263" t="e">
        <f t="shared" si="24"/>
        <v>#VALUE!</v>
      </c>
      <c r="D263" t="e">
        <f t="shared" si="21"/>
        <v>#VALUE!</v>
      </c>
      <c r="E263">
        <f>IF($B$2&lt;&gt;$I$3,COUNTIF(Tab_fériés[date],A263),0)</f>
        <v>0</v>
      </c>
      <c r="F263">
        <f t="shared" si="22"/>
        <v>0</v>
      </c>
      <c r="O263" s="3">
        <v>46249</v>
      </c>
      <c r="P263">
        <v>2026</v>
      </c>
      <c r="Q263" t="s">
        <v>272</v>
      </c>
      <c r="R263" t="s">
        <v>281</v>
      </c>
    </row>
    <row r="264" spans="1:18">
      <c r="A264" s="3" t="e">
        <f t="shared" si="23"/>
        <v>#VALUE!</v>
      </c>
      <c r="B264" t="e">
        <f t="shared" si="20"/>
        <v>#VALUE!</v>
      </c>
      <c r="C264" t="e">
        <f t="shared" si="24"/>
        <v>#VALUE!</v>
      </c>
      <c r="D264" t="e">
        <f t="shared" si="21"/>
        <v>#VALUE!</v>
      </c>
      <c r="E264">
        <f>IF($B$2&lt;&gt;$I$3,COUNTIF(Tab_fériés[date],A264),0)</f>
        <v>0</v>
      </c>
      <c r="F264">
        <f t="shared" si="22"/>
        <v>0</v>
      </c>
      <c r="O264" s="3">
        <v>46327</v>
      </c>
      <c r="P264">
        <v>2026</v>
      </c>
      <c r="Q264" t="s">
        <v>272</v>
      </c>
      <c r="R264" t="s">
        <v>282</v>
      </c>
    </row>
    <row r="265" spans="1:18">
      <c r="A265" s="3" t="e">
        <f t="shared" si="23"/>
        <v>#VALUE!</v>
      </c>
      <c r="B265" t="e">
        <f t="shared" si="20"/>
        <v>#VALUE!</v>
      </c>
      <c r="C265" t="e">
        <f t="shared" si="24"/>
        <v>#VALUE!</v>
      </c>
      <c r="D265" t="e">
        <f t="shared" si="21"/>
        <v>#VALUE!</v>
      </c>
      <c r="E265">
        <f>IF($B$2&lt;&gt;$I$3,COUNTIF(Tab_fériés[date],A265),0)</f>
        <v>0</v>
      </c>
      <c r="F265">
        <f t="shared" si="22"/>
        <v>0</v>
      </c>
      <c r="O265" s="3">
        <v>46337</v>
      </c>
      <c r="P265">
        <v>2026</v>
      </c>
      <c r="Q265" t="s">
        <v>272</v>
      </c>
      <c r="R265" s="145">
        <v>45241</v>
      </c>
    </row>
    <row r="266" spans="1:18">
      <c r="A266" s="3" t="e">
        <f t="shared" si="23"/>
        <v>#VALUE!</v>
      </c>
      <c r="B266" t="e">
        <f t="shared" si="20"/>
        <v>#VALUE!</v>
      </c>
      <c r="C266" t="e">
        <f t="shared" si="24"/>
        <v>#VALUE!</v>
      </c>
      <c r="D266" t="e">
        <f t="shared" si="21"/>
        <v>#VALUE!</v>
      </c>
      <c r="E266">
        <f>IF($B$2&lt;&gt;$I$3,COUNTIF(Tab_fériés[date],A266),0)</f>
        <v>0</v>
      </c>
      <c r="F266">
        <f t="shared" si="22"/>
        <v>0</v>
      </c>
      <c r="O266" s="3">
        <v>46381</v>
      </c>
      <c r="P266">
        <v>2026</v>
      </c>
      <c r="Q266" t="s">
        <v>272</v>
      </c>
      <c r="R266" t="s">
        <v>283</v>
      </c>
    </row>
    <row r="267" spans="1:18">
      <c r="A267" s="3" t="e">
        <f t="shared" si="23"/>
        <v>#VALUE!</v>
      </c>
      <c r="B267" t="e">
        <f t="shared" si="20"/>
        <v>#VALUE!</v>
      </c>
      <c r="C267" t="e">
        <f t="shared" si="24"/>
        <v>#VALUE!</v>
      </c>
      <c r="D267" t="e">
        <f t="shared" si="21"/>
        <v>#VALUE!</v>
      </c>
      <c r="E267">
        <f>IF($B$2&lt;&gt;$I$3,COUNTIF(Tab_fériés[date],A267),0)</f>
        <v>0</v>
      </c>
      <c r="F267">
        <f t="shared" si="22"/>
        <v>0</v>
      </c>
      <c r="O267" s="3">
        <v>46388</v>
      </c>
      <c r="P267">
        <v>2027</v>
      </c>
      <c r="Q267" t="s">
        <v>272</v>
      </c>
      <c r="R267" t="s">
        <v>273</v>
      </c>
    </row>
    <row r="268" spans="1:18">
      <c r="A268" s="3" t="e">
        <f t="shared" si="23"/>
        <v>#VALUE!</v>
      </c>
      <c r="B268" t="e">
        <f t="shared" si="20"/>
        <v>#VALUE!</v>
      </c>
      <c r="C268" t="e">
        <f t="shared" si="24"/>
        <v>#VALUE!</v>
      </c>
      <c r="D268" t="e">
        <f t="shared" si="21"/>
        <v>#VALUE!</v>
      </c>
      <c r="E268">
        <f>IF($B$2&lt;&gt;$I$3,COUNTIF(Tab_fériés[date],A268),0)</f>
        <v>0</v>
      </c>
      <c r="F268">
        <f t="shared" si="22"/>
        <v>0</v>
      </c>
      <c r="O268" s="3">
        <v>46475</v>
      </c>
      <c r="P268">
        <v>2027</v>
      </c>
      <c r="Q268" t="s">
        <v>272</v>
      </c>
      <c r="R268" t="s">
        <v>274</v>
      </c>
    </row>
    <row r="269" spans="1:18">
      <c r="A269" s="3" t="e">
        <f t="shared" si="23"/>
        <v>#VALUE!</v>
      </c>
      <c r="B269" t="e">
        <f t="shared" si="20"/>
        <v>#VALUE!</v>
      </c>
      <c r="C269" t="e">
        <f t="shared" si="24"/>
        <v>#VALUE!</v>
      </c>
      <c r="D269" t="e">
        <f t="shared" si="21"/>
        <v>#VALUE!</v>
      </c>
      <c r="E269">
        <f>IF($B$2&lt;&gt;$I$3,COUNTIF(Tab_fériés[date],A269),0)</f>
        <v>0</v>
      </c>
      <c r="F269">
        <f t="shared" si="22"/>
        <v>0</v>
      </c>
      <c r="O269" s="3">
        <v>46508</v>
      </c>
      <c r="P269">
        <v>2027</v>
      </c>
      <c r="Q269" t="s">
        <v>272</v>
      </c>
      <c r="R269" t="s">
        <v>275</v>
      </c>
    </row>
    <row r="270" spans="1:18">
      <c r="A270" s="3" t="e">
        <f t="shared" si="23"/>
        <v>#VALUE!</v>
      </c>
      <c r="B270" t="e">
        <f t="shared" si="20"/>
        <v>#VALUE!</v>
      </c>
      <c r="C270" t="e">
        <f t="shared" si="24"/>
        <v>#VALUE!</v>
      </c>
      <c r="D270" t="e">
        <f t="shared" si="21"/>
        <v>#VALUE!</v>
      </c>
      <c r="E270">
        <f>IF($B$2&lt;&gt;$I$3,COUNTIF(Tab_fériés[date],A270),0)</f>
        <v>0</v>
      </c>
      <c r="F270">
        <f t="shared" si="22"/>
        <v>0</v>
      </c>
      <c r="O270" s="3">
        <v>46513</v>
      </c>
      <c r="P270">
        <v>2027</v>
      </c>
      <c r="Q270" t="s">
        <v>272</v>
      </c>
      <c r="R270" t="s">
        <v>278</v>
      </c>
    </row>
    <row r="271" spans="1:18">
      <c r="A271" s="3" t="e">
        <f t="shared" si="23"/>
        <v>#VALUE!</v>
      </c>
      <c r="B271" t="e">
        <f t="shared" si="20"/>
        <v>#VALUE!</v>
      </c>
      <c r="C271" t="e">
        <f t="shared" si="24"/>
        <v>#VALUE!</v>
      </c>
      <c r="D271" t="e">
        <f t="shared" si="21"/>
        <v>#VALUE!</v>
      </c>
      <c r="E271">
        <f>IF($B$2&lt;&gt;$I$3,COUNTIF(Tab_fériés[date],A271),0)</f>
        <v>0</v>
      </c>
      <c r="F271">
        <f t="shared" si="22"/>
        <v>0</v>
      </c>
      <c r="O271" s="3">
        <v>46515</v>
      </c>
      <c r="P271">
        <v>2027</v>
      </c>
      <c r="Q271" t="s">
        <v>272</v>
      </c>
      <c r="R271" s="145">
        <v>45054</v>
      </c>
    </row>
    <row r="272" spans="1:18">
      <c r="A272" s="3" t="e">
        <f t="shared" si="23"/>
        <v>#VALUE!</v>
      </c>
      <c r="B272" t="e">
        <f t="shared" si="20"/>
        <v>#VALUE!</v>
      </c>
      <c r="C272" t="e">
        <f t="shared" si="24"/>
        <v>#VALUE!</v>
      </c>
      <c r="D272" t="e">
        <f t="shared" si="21"/>
        <v>#VALUE!</v>
      </c>
      <c r="E272">
        <f>IF($B$2&lt;&gt;$I$3,COUNTIF(Tab_fériés[date],A272),0)</f>
        <v>0</v>
      </c>
      <c r="F272">
        <f t="shared" si="22"/>
        <v>0</v>
      </c>
      <c r="O272" s="3">
        <v>46524</v>
      </c>
      <c r="P272">
        <v>2027</v>
      </c>
      <c r="Q272" t="s">
        <v>272</v>
      </c>
      <c r="R272" t="s">
        <v>279</v>
      </c>
    </row>
    <row r="273" spans="1:18">
      <c r="A273" s="3" t="e">
        <f t="shared" si="23"/>
        <v>#VALUE!</v>
      </c>
      <c r="B273" t="e">
        <f t="shared" si="20"/>
        <v>#VALUE!</v>
      </c>
      <c r="C273" t="e">
        <f t="shared" si="24"/>
        <v>#VALUE!</v>
      </c>
      <c r="D273" t="e">
        <f t="shared" si="21"/>
        <v>#VALUE!</v>
      </c>
      <c r="E273">
        <f>IF($B$2&lt;&gt;$I$3,COUNTIF(Tab_fériés[date],A273),0)</f>
        <v>0</v>
      </c>
      <c r="F273">
        <f t="shared" si="22"/>
        <v>0</v>
      </c>
      <c r="O273" s="3">
        <v>46582</v>
      </c>
      <c r="P273">
        <v>2027</v>
      </c>
      <c r="Q273" t="s">
        <v>272</v>
      </c>
      <c r="R273" s="145">
        <v>45121</v>
      </c>
    </row>
    <row r="274" spans="1:18">
      <c r="A274" s="3" t="e">
        <f t="shared" si="23"/>
        <v>#VALUE!</v>
      </c>
      <c r="B274" t="e">
        <f t="shared" si="20"/>
        <v>#VALUE!</v>
      </c>
      <c r="C274" t="e">
        <f t="shared" si="24"/>
        <v>#VALUE!</v>
      </c>
      <c r="D274" t="e">
        <f t="shared" si="21"/>
        <v>#VALUE!</v>
      </c>
      <c r="E274">
        <f>IF($B$2&lt;&gt;$I$3,COUNTIF(Tab_fériés[date],A274),0)</f>
        <v>0</v>
      </c>
      <c r="F274">
        <f t="shared" si="22"/>
        <v>0</v>
      </c>
      <c r="O274" s="3">
        <v>46614</v>
      </c>
      <c r="P274">
        <v>2027</v>
      </c>
      <c r="Q274" t="s">
        <v>272</v>
      </c>
      <c r="R274" t="s">
        <v>281</v>
      </c>
    </row>
    <row r="275" spans="1:18">
      <c r="A275" s="3" t="e">
        <f t="shared" si="23"/>
        <v>#VALUE!</v>
      </c>
      <c r="B275" t="e">
        <f t="shared" si="20"/>
        <v>#VALUE!</v>
      </c>
      <c r="C275" t="e">
        <f t="shared" si="24"/>
        <v>#VALUE!</v>
      </c>
      <c r="D275" t="e">
        <f t="shared" si="21"/>
        <v>#VALUE!</v>
      </c>
      <c r="E275">
        <f>IF($B$2&lt;&gt;$I$3,COUNTIF(Tab_fériés[date],A275),0)</f>
        <v>0</v>
      </c>
      <c r="F275">
        <f t="shared" si="22"/>
        <v>0</v>
      </c>
      <c r="O275" s="3">
        <v>46692</v>
      </c>
      <c r="P275">
        <v>2027</v>
      </c>
      <c r="Q275" t="s">
        <v>272</v>
      </c>
      <c r="R275" t="s">
        <v>282</v>
      </c>
    </row>
    <row r="276" spans="1:18">
      <c r="A276" s="3" t="e">
        <f t="shared" si="23"/>
        <v>#VALUE!</v>
      </c>
      <c r="B276" t="e">
        <f t="shared" si="20"/>
        <v>#VALUE!</v>
      </c>
      <c r="C276" t="e">
        <f t="shared" si="24"/>
        <v>#VALUE!</v>
      </c>
      <c r="D276" t="e">
        <f t="shared" si="21"/>
        <v>#VALUE!</v>
      </c>
      <c r="E276">
        <f>IF($B$2&lt;&gt;$I$3,COUNTIF(Tab_fériés[date],A276),0)</f>
        <v>0</v>
      </c>
      <c r="F276">
        <f t="shared" si="22"/>
        <v>0</v>
      </c>
      <c r="O276" s="3">
        <v>46702</v>
      </c>
      <c r="P276">
        <v>2027</v>
      </c>
      <c r="Q276" t="s">
        <v>272</v>
      </c>
      <c r="R276" s="145">
        <v>45241</v>
      </c>
    </row>
    <row r="277" spans="1:18">
      <c r="A277" s="3" t="e">
        <f t="shared" si="23"/>
        <v>#VALUE!</v>
      </c>
      <c r="B277" t="e">
        <f t="shared" si="20"/>
        <v>#VALUE!</v>
      </c>
      <c r="C277" t="e">
        <f t="shared" si="24"/>
        <v>#VALUE!</v>
      </c>
      <c r="D277" t="e">
        <f t="shared" si="21"/>
        <v>#VALUE!</v>
      </c>
      <c r="E277">
        <f>IF($B$2&lt;&gt;$I$3,COUNTIF(Tab_fériés[date],A277),0)</f>
        <v>0</v>
      </c>
      <c r="F277">
        <f t="shared" si="22"/>
        <v>0</v>
      </c>
      <c r="O277" s="3">
        <v>46746</v>
      </c>
      <c r="P277">
        <v>2027</v>
      </c>
      <c r="Q277" t="s">
        <v>272</v>
      </c>
      <c r="R277" t="s">
        <v>283</v>
      </c>
    </row>
    <row r="278" spans="1:18">
      <c r="A278" s="3" t="e">
        <f t="shared" si="23"/>
        <v>#VALUE!</v>
      </c>
      <c r="B278" t="e">
        <f t="shared" si="20"/>
        <v>#VALUE!</v>
      </c>
      <c r="C278" t="e">
        <f t="shared" si="24"/>
        <v>#VALUE!</v>
      </c>
      <c r="D278" t="e">
        <f t="shared" si="21"/>
        <v>#VALUE!</v>
      </c>
      <c r="E278">
        <f>IF($B$2&lt;&gt;$I$3,COUNTIF(Tab_fériés[date],A278),0)</f>
        <v>0</v>
      </c>
      <c r="F278">
        <f t="shared" si="22"/>
        <v>0</v>
      </c>
      <c r="O278" s="3">
        <v>46753</v>
      </c>
      <c r="P278">
        <v>2028</v>
      </c>
      <c r="Q278" t="s">
        <v>272</v>
      </c>
      <c r="R278" t="s">
        <v>273</v>
      </c>
    </row>
    <row r="279" spans="1:18">
      <c r="A279" s="3" t="e">
        <f t="shared" si="23"/>
        <v>#VALUE!</v>
      </c>
      <c r="B279" t="e">
        <f t="shared" si="20"/>
        <v>#VALUE!</v>
      </c>
      <c r="C279" t="e">
        <f t="shared" si="24"/>
        <v>#VALUE!</v>
      </c>
      <c r="D279" t="e">
        <f t="shared" si="21"/>
        <v>#VALUE!</v>
      </c>
      <c r="E279">
        <f>IF($B$2&lt;&gt;$I$3,COUNTIF(Tab_fériés[date],A279),0)</f>
        <v>0</v>
      </c>
      <c r="F279">
        <f t="shared" si="22"/>
        <v>0</v>
      </c>
      <c r="O279" s="3">
        <v>46860</v>
      </c>
      <c r="P279">
        <v>2028</v>
      </c>
      <c r="Q279" t="s">
        <v>272</v>
      </c>
      <c r="R279" t="s">
        <v>274</v>
      </c>
    </row>
    <row r="280" spans="1:18">
      <c r="A280" s="3" t="e">
        <f t="shared" si="23"/>
        <v>#VALUE!</v>
      </c>
      <c r="B280" t="e">
        <f t="shared" si="20"/>
        <v>#VALUE!</v>
      </c>
      <c r="C280" t="e">
        <f t="shared" si="24"/>
        <v>#VALUE!</v>
      </c>
      <c r="D280" t="e">
        <f t="shared" si="21"/>
        <v>#VALUE!</v>
      </c>
      <c r="E280">
        <f>IF($B$2&lt;&gt;$I$3,COUNTIF(Tab_fériés[date],A280),0)</f>
        <v>0</v>
      </c>
      <c r="F280">
        <f t="shared" si="22"/>
        <v>0</v>
      </c>
      <c r="O280" s="3">
        <v>46874</v>
      </c>
      <c r="P280">
        <v>2028</v>
      </c>
      <c r="Q280" t="s">
        <v>272</v>
      </c>
      <c r="R280" t="s">
        <v>275</v>
      </c>
    </row>
    <row r="281" spans="1:18">
      <c r="A281" s="3" t="e">
        <f t="shared" si="23"/>
        <v>#VALUE!</v>
      </c>
      <c r="B281" t="e">
        <f t="shared" si="20"/>
        <v>#VALUE!</v>
      </c>
      <c r="C281" t="e">
        <f t="shared" si="24"/>
        <v>#VALUE!</v>
      </c>
      <c r="D281" t="e">
        <f t="shared" si="21"/>
        <v>#VALUE!</v>
      </c>
      <c r="E281">
        <f>IF($B$2&lt;&gt;$I$3,COUNTIF(Tab_fériés[date],A281),0)</f>
        <v>0</v>
      </c>
      <c r="F281">
        <f t="shared" si="22"/>
        <v>0</v>
      </c>
      <c r="O281" s="3">
        <v>46881</v>
      </c>
      <c r="P281">
        <v>2028</v>
      </c>
      <c r="Q281" t="s">
        <v>272</v>
      </c>
      <c r="R281" s="145">
        <v>45054</v>
      </c>
    </row>
    <row r="282" spans="1:18">
      <c r="A282" s="3" t="e">
        <f t="shared" si="23"/>
        <v>#VALUE!</v>
      </c>
      <c r="B282" t="e">
        <f t="shared" si="20"/>
        <v>#VALUE!</v>
      </c>
      <c r="C282" t="e">
        <f t="shared" si="24"/>
        <v>#VALUE!</v>
      </c>
      <c r="D282" t="e">
        <f t="shared" si="21"/>
        <v>#VALUE!</v>
      </c>
      <c r="E282">
        <f>IF($B$2&lt;&gt;$I$3,COUNTIF(Tab_fériés[date],A282),0)</f>
        <v>0</v>
      </c>
      <c r="F282">
        <f t="shared" si="22"/>
        <v>0</v>
      </c>
      <c r="O282" s="3">
        <v>46898</v>
      </c>
      <c r="P282">
        <v>2028</v>
      </c>
      <c r="Q282" t="s">
        <v>272</v>
      </c>
      <c r="R282" t="s">
        <v>278</v>
      </c>
    </row>
    <row r="283" spans="1:18">
      <c r="A283" s="3" t="e">
        <f t="shared" si="23"/>
        <v>#VALUE!</v>
      </c>
      <c r="B283" t="e">
        <f t="shared" si="20"/>
        <v>#VALUE!</v>
      </c>
      <c r="C283" t="e">
        <f t="shared" si="24"/>
        <v>#VALUE!</v>
      </c>
      <c r="D283" t="e">
        <f t="shared" si="21"/>
        <v>#VALUE!</v>
      </c>
      <c r="E283">
        <f>IF($B$2&lt;&gt;$I$3,COUNTIF(Tab_fériés[date],A283),0)</f>
        <v>0</v>
      </c>
      <c r="F283">
        <f t="shared" si="22"/>
        <v>0</v>
      </c>
      <c r="O283" s="3">
        <v>46909</v>
      </c>
      <c r="P283">
        <v>2028</v>
      </c>
      <c r="Q283" t="s">
        <v>272</v>
      </c>
      <c r="R283" t="s">
        <v>279</v>
      </c>
    </row>
    <row r="284" spans="1:18">
      <c r="A284" s="3" t="e">
        <f t="shared" si="23"/>
        <v>#VALUE!</v>
      </c>
      <c r="B284" t="e">
        <f t="shared" si="20"/>
        <v>#VALUE!</v>
      </c>
      <c r="C284" t="e">
        <f t="shared" si="24"/>
        <v>#VALUE!</v>
      </c>
      <c r="D284" t="e">
        <f t="shared" si="21"/>
        <v>#VALUE!</v>
      </c>
      <c r="E284">
        <f>IF($B$2&lt;&gt;$I$3,COUNTIF(Tab_fériés[date],A284),0)</f>
        <v>0</v>
      </c>
      <c r="F284">
        <f t="shared" si="22"/>
        <v>0</v>
      </c>
      <c r="O284" s="3">
        <v>46948</v>
      </c>
      <c r="P284">
        <v>2028</v>
      </c>
      <c r="Q284" t="s">
        <v>272</v>
      </c>
      <c r="R284" s="145">
        <v>45121</v>
      </c>
    </row>
    <row r="285" spans="1:18">
      <c r="A285" s="3" t="e">
        <f t="shared" si="23"/>
        <v>#VALUE!</v>
      </c>
      <c r="B285" t="e">
        <f t="shared" si="20"/>
        <v>#VALUE!</v>
      </c>
      <c r="C285" t="e">
        <f t="shared" si="24"/>
        <v>#VALUE!</v>
      </c>
      <c r="D285" t="e">
        <f t="shared" si="21"/>
        <v>#VALUE!</v>
      </c>
      <c r="E285">
        <f>IF($B$2&lt;&gt;$I$3,COUNTIF(Tab_fériés[date],A285),0)</f>
        <v>0</v>
      </c>
      <c r="F285">
        <f t="shared" si="22"/>
        <v>0</v>
      </c>
      <c r="O285" s="3">
        <v>46980</v>
      </c>
      <c r="P285">
        <v>2028</v>
      </c>
      <c r="Q285" t="s">
        <v>272</v>
      </c>
      <c r="R285" t="s">
        <v>281</v>
      </c>
    </row>
    <row r="286" spans="1:18">
      <c r="A286" s="3" t="e">
        <f t="shared" si="23"/>
        <v>#VALUE!</v>
      </c>
      <c r="B286" t="e">
        <f t="shared" si="20"/>
        <v>#VALUE!</v>
      </c>
      <c r="C286" t="e">
        <f t="shared" si="24"/>
        <v>#VALUE!</v>
      </c>
      <c r="D286" t="e">
        <f t="shared" si="21"/>
        <v>#VALUE!</v>
      </c>
      <c r="E286">
        <f>IF($B$2&lt;&gt;$I$3,COUNTIF(Tab_fériés[date],A286),0)</f>
        <v>0</v>
      </c>
      <c r="F286">
        <f t="shared" si="22"/>
        <v>0</v>
      </c>
      <c r="O286" s="3">
        <v>47058</v>
      </c>
      <c r="P286">
        <v>2028</v>
      </c>
      <c r="Q286" t="s">
        <v>272</v>
      </c>
      <c r="R286" t="s">
        <v>282</v>
      </c>
    </row>
    <row r="287" spans="1:18">
      <c r="A287" s="3" t="e">
        <f t="shared" si="23"/>
        <v>#VALUE!</v>
      </c>
      <c r="B287" t="e">
        <f t="shared" si="20"/>
        <v>#VALUE!</v>
      </c>
      <c r="C287" t="e">
        <f t="shared" si="24"/>
        <v>#VALUE!</v>
      </c>
      <c r="D287" t="e">
        <f t="shared" si="21"/>
        <v>#VALUE!</v>
      </c>
      <c r="E287">
        <f>IF($B$2&lt;&gt;$I$3,COUNTIF(Tab_fériés[date],A287),0)</f>
        <v>0</v>
      </c>
      <c r="F287">
        <f t="shared" si="22"/>
        <v>0</v>
      </c>
      <c r="O287" s="3">
        <v>47068</v>
      </c>
      <c r="P287">
        <v>2028</v>
      </c>
      <c r="Q287" t="s">
        <v>272</v>
      </c>
      <c r="R287" s="145">
        <v>45241</v>
      </c>
    </row>
    <row r="288" spans="1:18">
      <c r="A288" s="3" t="e">
        <f t="shared" si="23"/>
        <v>#VALUE!</v>
      </c>
      <c r="B288" t="e">
        <f t="shared" si="20"/>
        <v>#VALUE!</v>
      </c>
      <c r="C288" t="e">
        <f t="shared" si="24"/>
        <v>#VALUE!</v>
      </c>
      <c r="D288" t="e">
        <f t="shared" si="21"/>
        <v>#VALUE!</v>
      </c>
      <c r="E288">
        <f>IF($B$2&lt;&gt;$I$3,COUNTIF(Tab_fériés[date],A288),0)</f>
        <v>0</v>
      </c>
      <c r="F288">
        <f t="shared" si="22"/>
        <v>0</v>
      </c>
      <c r="O288" s="3">
        <v>47112</v>
      </c>
      <c r="P288">
        <v>2028</v>
      </c>
      <c r="Q288" t="s">
        <v>272</v>
      </c>
      <c r="R288" t="s">
        <v>283</v>
      </c>
    </row>
    <row r="289" spans="1:6">
      <c r="A289" s="3" t="e">
        <f t="shared" si="23"/>
        <v>#VALUE!</v>
      </c>
      <c r="B289" t="e">
        <f t="shared" si="20"/>
        <v>#VALUE!</v>
      </c>
      <c r="C289" t="e">
        <f t="shared" si="24"/>
        <v>#VALUE!</v>
      </c>
      <c r="D289" t="e">
        <f t="shared" si="21"/>
        <v>#VALUE!</v>
      </c>
      <c r="E289">
        <f>IF($B$2&lt;&gt;$I$3,COUNTIF(Tab_fériés[date],A289),0)</f>
        <v>0</v>
      </c>
      <c r="F289">
        <f t="shared" si="22"/>
        <v>0</v>
      </c>
    </row>
    <row r="290" spans="1:6">
      <c r="A290" s="3" t="e">
        <f t="shared" si="23"/>
        <v>#VALUE!</v>
      </c>
      <c r="B290" t="e">
        <f t="shared" si="20"/>
        <v>#VALUE!</v>
      </c>
      <c r="C290" t="e">
        <f t="shared" si="24"/>
        <v>#VALUE!</v>
      </c>
      <c r="D290" t="e">
        <f t="shared" si="21"/>
        <v>#VALUE!</v>
      </c>
      <c r="E290">
        <f>IF($B$2&lt;&gt;$I$3,COUNTIF(Tab_fériés[date],A290),0)</f>
        <v>0</v>
      </c>
      <c r="F290">
        <f t="shared" si="22"/>
        <v>0</v>
      </c>
    </row>
    <row r="291" spans="1:6">
      <c r="A291" s="3" t="e">
        <f t="shared" si="23"/>
        <v>#VALUE!</v>
      </c>
      <c r="B291" t="e">
        <f t="shared" si="20"/>
        <v>#VALUE!</v>
      </c>
      <c r="C291" t="e">
        <f t="shared" si="24"/>
        <v>#VALUE!</v>
      </c>
      <c r="D291" t="e">
        <f t="shared" si="21"/>
        <v>#VALUE!</v>
      </c>
      <c r="E291">
        <f>IF($B$2&lt;&gt;$I$3,COUNTIF(Tab_fériés[date],A291),0)</f>
        <v>0</v>
      </c>
      <c r="F291">
        <f t="shared" si="22"/>
        <v>0</v>
      </c>
    </row>
    <row r="292" spans="1:6">
      <c r="A292" s="3" t="e">
        <f t="shared" si="23"/>
        <v>#VALUE!</v>
      </c>
      <c r="B292" t="e">
        <f t="shared" si="20"/>
        <v>#VALUE!</v>
      </c>
      <c r="C292" t="e">
        <f t="shared" si="24"/>
        <v>#VALUE!</v>
      </c>
      <c r="D292" t="e">
        <f t="shared" si="21"/>
        <v>#VALUE!</v>
      </c>
      <c r="E292">
        <f>IF($B$2&lt;&gt;$I$3,COUNTIF(Tab_fériés[date],A292),0)</f>
        <v>0</v>
      </c>
      <c r="F292">
        <f t="shared" si="22"/>
        <v>0</v>
      </c>
    </row>
    <row r="293" spans="1:6">
      <c r="A293" s="3" t="e">
        <f t="shared" si="23"/>
        <v>#VALUE!</v>
      </c>
      <c r="B293" t="e">
        <f t="shared" si="20"/>
        <v>#VALUE!</v>
      </c>
      <c r="C293" t="e">
        <f t="shared" si="24"/>
        <v>#VALUE!</v>
      </c>
      <c r="D293" t="e">
        <f t="shared" si="21"/>
        <v>#VALUE!</v>
      </c>
      <c r="E293">
        <f>IF($B$2&lt;&gt;$I$3,COUNTIF(Tab_fériés[date],A293),0)</f>
        <v>0</v>
      </c>
      <c r="F293">
        <f t="shared" si="22"/>
        <v>0</v>
      </c>
    </row>
    <row r="294" spans="1:6">
      <c r="A294" s="3" t="e">
        <f t="shared" si="23"/>
        <v>#VALUE!</v>
      </c>
      <c r="B294" t="e">
        <f t="shared" si="20"/>
        <v>#VALUE!</v>
      </c>
      <c r="C294" t="e">
        <f t="shared" si="24"/>
        <v>#VALUE!</v>
      </c>
      <c r="D294" t="e">
        <f t="shared" si="21"/>
        <v>#VALUE!</v>
      </c>
      <c r="E294">
        <f>IF($B$2&lt;&gt;$I$3,COUNTIF(Tab_fériés[date],A294),0)</f>
        <v>0</v>
      </c>
      <c r="F294">
        <f t="shared" si="22"/>
        <v>0</v>
      </c>
    </row>
    <row r="295" spans="1:6">
      <c r="A295" s="3" t="e">
        <f t="shared" si="23"/>
        <v>#VALUE!</v>
      </c>
      <c r="B295" t="e">
        <f t="shared" si="20"/>
        <v>#VALUE!</v>
      </c>
      <c r="C295" t="e">
        <f t="shared" si="24"/>
        <v>#VALUE!</v>
      </c>
      <c r="D295" t="e">
        <f t="shared" si="21"/>
        <v>#VALUE!</v>
      </c>
      <c r="E295">
        <f>IF($B$2&lt;&gt;$I$3,COUNTIF(Tab_fériés[date],A295),0)</f>
        <v>0</v>
      </c>
      <c r="F295">
        <f t="shared" si="22"/>
        <v>0</v>
      </c>
    </row>
    <row r="296" spans="1:6">
      <c r="A296" s="3" t="e">
        <f t="shared" si="23"/>
        <v>#VALUE!</v>
      </c>
      <c r="B296" t="e">
        <f t="shared" si="20"/>
        <v>#VALUE!</v>
      </c>
      <c r="C296" t="e">
        <f t="shared" si="24"/>
        <v>#VALUE!</v>
      </c>
      <c r="D296" t="e">
        <f t="shared" si="21"/>
        <v>#VALUE!</v>
      </c>
      <c r="E296">
        <f>IF($B$2&lt;&gt;$I$3,COUNTIF(Tab_fériés[date],A296),0)</f>
        <v>0</v>
      </c>
      <c r="F296">
        <f t="shared" si="22"/>
        <v>0</v>
      </c>
    </row>
    <row r="297" spans="1:6">
      <c r="A297" s="3" t="e">
        <f t="shared" si="23"/>
        <v>#VALUE!</v>
      </c>
      <c r="B297" t="e">
        <f t="shared" si="20"/>
        <v>#VALUE!</v>
      </c>
      <c r="C297" t="e">
        <f t="shared" si="24"/>
        <v>#VALUE!</v>
      </c>
      <c r="D297" t="e">
        <f t="shared" si="21"/>
        <v>#VALUE!</v>
      </c>
      <c r="E297">
        <f>IF($B$2&lt;&gt;$I$3,COUNTIF(Tab_fériés[date],A297),0)</f>
        <v>0</v>
      </c>
      <c r="F297">
        <f t="shared" si="22"/>
        <v>0</v>
      </c>
    </row>
    <row r="298" spans="1:6">
      <c r="A298" s="3" t="e">
        <f t="shared" si="23"/>
        <v>#VALUE!</v>
      </c>
      <c r="B298" t="e">
        <f t="shared" si="20"/>
        <v>#VALUE!</v>
      </c>
      <c r="C298" t="e">
        <f t="shared" si="24"/>
        <v>#VALUE!</v>
      </c>
      <c r="D298" t="e">
        <f t="shared" si="21"/>
        <v>#VALUE!</v>
      </c>
      <c r="E298">
        <f>IF($B$2&lt;&gt;$I$3,COUNTIF(Tab_fériés[date],A298),0)</f>
        <v>0</v>
      </c>
      <c r="F298">
        <f t="shared" si="22"/>
        <v>0</v>
      </c>
    </row>
    <row r="299" spans="1:6">
      <c r="A299" s="3" t="e">
        <f t="shared" si="23"/>
        <v>#VALUE!</v>
      </c>
      <c r="B299" t="e">
        <f t="shared" si="20"/>
        <v>#VALUE!</v>
      </c>
      <c r="C299" t="e">
        <f t="shared" si="24"/>
        <v>#VALUE!</v>
      </c>
      <c r="D299" t="e">
        <f t="shared" si="21"/>
        <v>#VALUE!</v>
      </c>
      <c r="E299">
        <f>IF($B$2&lt;&gt;$I$3,COUNTIF(Tab_fériés[date],A299),0)</f>
        <v>0</v>
      </c>
      <c r="F299">
        <f t="shared" si="22"/>
        <v>0</v>
      </c>
    </row>
    <row r="300" spans="1:6">
      <c r="A300" s="3" t="e">
        <f t="shared" si="23"/>
        <v>#VALUE!</v>
      </c>
      <c r="B300" t="e">
        <f t="shared" si="20"/>
        <v>#VALUE!</v>
      </c>
      <c r="C300" t="e">
        <f t="shared" si="24"/>
        <v>#VALUE!</v>
      </c>
      <c r="D300" t="e">
        <f t="shared" si="21"/>
        <v>#VALUE!</v>
      </c>
      <c r="E300">
        <f>IF($B$2&lt;&gt;$I$3,COUNTIF(Tab_fériés[date],A300),0)</f>
        <v>0</v>
      </c>
      <c r="F300">
        <f t="shared" si="22"/>
        <v>0</v>
      </c>
    </row>
    <row r="301" spans="1:6">
      <c r="A301" s="3" t="e">
        <f t="shared" si="23"/>
        <v>#VALUE!</v>
      </c>
      <c r="B301" t="e">
        <f t="shared" si="20"/>
        <v>#VALUE!</v>
      </c>
      <c r="C301" t="e">
        <f t="shared" si="24"/>
        <v>#VALUE!</v>
      </c>
      <c r="D301" t="e">
        <f t="shared" si="21"/>
        <v>#VALUE!</v>
      </c>
      <c r="E301">
        <f>IF($B$2&lt;&gt;$I$3,COUNTIF(Tab_fériés[date],A301),0)</f>
        <v>0</v>
      </c>
      <c r="F301">
        <f t="shared" si="22"/>
        <v>0</v>
      </c>
    </row>
    <row r="302" spans="1:6">
      <c r="A302" s="3" t="e">
        <f t="shared" si="23"/>
        <v>#VALUE!</v>
      </c>
      <c r="B302" t="e">
        <f t="shared" si="20"/>
        <v>#VALUE!</v>
      </c>
      <c r="C302" t="e">
        <f t="shared" si="24"/>
        <v>#VALUE!</v>
      </c>
      <c r="D302" t="e">
        <f t="shared" si="21"/>
        <v>#VALUE!</v>
      </c>
      <c r="E302">
        <f>IF($B$2&lt;&gt;$I$3,COUNTIF(Tab_fériés[date],A302),0)</f>
        <v>0</v>
      </c>
      <c r="F302">
        <f t="shared" si="22"/>
        <v>0</v>
      </c>
    </row>
    <row r="303" spans="1:6">
      <c r="A303" s="3" t="e">
        <f t="shared" si="23"/>
        <v>#VALUE!</v>
      </c>
      <c r="B303" t="e">
        <f t="shared" si="20"/>
        <v>#VALUE!</v>
      </c>
      <c r="C303" t="e">
        <f t="shared" si="24"/>
        <v>#VALUE!</v>
      </c>
      <c r="D303" t="e">
        <f t="shared" si="21"/>
        <v>#VALUE!</v>
      </c>
      <c r="E303">
        <f>IF($B$2&lt;&gt;$I$3,COUNTIF(Tab_fériés[date],A303),0)</f>
        <v>0</v>
      </c>
      <c r="F303">
        <f t="shared" si="22"/>
        <v>0</v>
      </c>
    </row>
    <row r="304" spans="1:6">
      <c r="A304" s="3" t="e">
        <f t="shared" si="23"/>
        <v>#VALUE!</v>
      </c>
      <c r="B304" t="e">
        <f t="shared" si="20"/>
        <v>#VALUE!</v>
      </c>
      <c r="C304" t="e">
        <f t="shared" si="24"/>
        <v>#VALUE!</v>
      </c>
      <c r="D304" t="e">
        <f t="shared" si="21"/>
        <v>#VALUE!</v>
      </c>
      <c r="E304">
        <f>IF($B$2&lt;&gt;$I$3,COUNTIF(Tab_fériés[date],A304),0)</f>
        <v>0</v>
      </c>
      <c r="F304">
        <f t="shared" si="22"/>
        <v>0</v>
      </c>
    </row>
    <row r="305" spans="1:6">
      <c r="A305" s="3" t="e">
        <f t="shared" si="23"/>
        <v>#VALUE!</v>
      </c>
      <c r="B305" t="e">
        <f t="shared" si="20"/>
        <v>#VALUE!</v>
      </c>
      <c r="C305" t="e">
        <f t="shared" si="24"/>
        <v>#VALUE!</v>
      </c>
      <c r="D305" t="e">
        <f t="shared" si="21"/>
        <v>#VALUE!</v>
      </c>
      <c r="E305">
        <f>IF($B$2&lt;&gt;$I$3,COUNTIF(Tab_fériés[date],A305),0)</f>
        <v>0</v>
      </c>
      <c r="F305">
        <f t="shared" si="22"/>
        <v>0</v>
      </c>
    </row>
    <row r="306" spans="1:6">
      <c r="A306" s="3" t="e">
        <f t="shared" si="23"/>
        <v>#VALUE!</v>
      </c>
      <c r="B306" t="e">
        <f t="shared" si="20"/>
        <v>#VALUE!</v>
      </c>
      <c r="C306" t="e">
        <f t="shared" si="24"/>
        <v>#VALUE!</v>
      </c>
      <c r="D306" t="e">
        <f t="shared" si="21"/>
        <v>#VALUE!</v>
      </c>
      <c r="E306">
        <f>IF($B$2&lt;&gt;$I$3,COUNTIF(Tab_fériés[date],A306),0)</f>
        <v>0</v>
      </c>
      <c r="F306">
        <f t="shared" si="22"/>
        <v>0</v>
      </c>
    </row>
    <row r="307" spans="1:6">
      <c r="A307" s="3" t="e">
        <f t="shared" si="23"/>
        <v>#VALUE!</v>
      </c>
      <c r="B307" t="e">
        <f t="shared" si="20"/>
        <v>#VALUE!</v>
      </c>
      <c r="C307" t="e">
        <f t="shared" si="24"/>
        <v>#VALUE!</v>
      </c>
      <c r="D307" t="e">
        <f t="shared" si="21"/>
        <v>#VALUE!</v>
      </c>
      <c r="E307">
        <f>IF($B$2&lt;&gt;$I$3,COUNTIF(Tab_fériés[date],A307),0)</f>
        <v>0</v>
      </c>
      <c r="F307">
        <f t="shared" si="22"/>
        <v>0</v>
      </c>
    </row>
    <row r="308" spans="1:6">
      <c r="A308" s="3" t="e">
        <f t="shared" si="23"/>
        <v>#VALUE!</v>
      </c>
      <c r="B308" t="e">
        <f t="shared" si="20"/>
        <v>#VALUE!</v>
      </c>
      <c r="C308" t="e">
        <f t="shared" si="24"/>
        <v>#VALUE!</v>
      </c>
      <c r="D308" t="e">
        <f t="shared" si="21"/>
        <v>#VALUE!</v>
      </c>
      <c r="E308">
        <f>IF($B$2&lt;&gt;$I$3,COUNTIF(Tab_fériés[date],A308),0)</f>
        <v>0</v>
      </c>
      <c r="F308">
        <f t="shared" si="22"/>
        <v>0</v>
      </c>
    </row>
    <row r="309" spans="1:6">
      <c r="A309" s="3" t="e">
        <f t="shared" si="23"/>
        <v>#VALUE!</v>
      </c>
      <c r="B309" t="e">
        <f t="shared" si="20"/>
        <v>#VALUE!</v>
      </c>
      <c r="C309" t="e">
        <f t="shared" si="24"/>
        <v>#VALUE!</v>
      </c>
      <c r="D309" t="e">
        <f t="shared" si="21"/>
        <v>#VALUE!</v>
      </c>
      <c r="E309">
        <f>IF($B$2&lt;&gt;$I$3,COUNTIF(Tab_fériés[date],A309),0)</f>
        <v>0</v>
      </c>
      <c r="F309">
        <f t="shared" si="22"/>
        <v>0</v>
      </c>
    </row>
    <row r="310" spans="1:6">
      <c r="A310" s="3" t="e">
        <f t="shared" si="23"/>
        <v>#VALUE!</v>
      </c>
      <c r="B310" t="e">
        <f t="shared" si="20"/>
        <v>#VALUE!</v>
      </c>
      <c r="C310" t="e">
        <f t="shared" si="24"/>
        <v>#VALUE!</v>
      </c>
      <c r="D310" t="e">
        <f t="shared" si="21"/>
        <v>#VALUE!</v>
      </c>
      <c r="E310">
        <f>IF($B$2&lt;&gt;$I$3,COUNTIF(Tab_fériés[date],A310),0)</f>
        <v>0</v>
      </c>
      <c r="F310">
        <f t="shared" si="22"/>
        <v>0</v>
      </c>
    </row>
    <row r="311" spans="1:6">
      <c r="A311" s="3" t="e">
        <f t="shared" si="23"/>
        <v>#VALUE!</v>
      </c>
      <c r="B311" t="e">
        <f t="shared" si="20"/>
        <v>#VALUE!</v>
      </c>
      <c r="C311" t="e">
        <f t="shared" si="24"/>
        <v>#VALUE!</v>
      </c>
      <c r="D311" t="e">
        <f t="shared" si="21"/>
        <v>#VALUE!</v>
      </c>
      <c r="E311">
        <f>IF($B$2&lt;&gt;$I$3,COUNTIF(Tab_fériés[date],A311),0)</f>
        <v>0</v>
      </c>
      <c r="F311">
        <f t="shared" si="22"/>
        <v>0</v>
      </c>
    </row>
    <row r="312" spans="1:6">
      <c r="A312" s="3" t="e">
        <f t="shared" si="23"/>
        <v>#VALUE!</v>
      </c>
      <c r="B312" t="e">
        <f t="shared" si="20"/>
        <v>#VALUE!</v>
      </c>
      <c r="C312" t="e">
        <f t="shared" si="24"/>
        <v>#VALUE!</v>
      </c>
      <c r="D312" t="e">
        <f t="shared" si="21"/>
        <v>#VALUE!</v>
      </c>
      <c r="E312">
        <f>IF($B$2&lt;&gt;$I$3,COUNTIF(Tab_fériés[date],A312),0)</f>
        <v>0</v>
      </c>
      <c r="F312">
        <f t="shared" si="22"/>
        <v>0</v>
      </c>
    </row>
    <row r="313" spans="1:6">
      <c r="A313" s="3" t="e">
        <f t="shared" si="23"/>
        <v>#VALUE!</v>
      </c>
      <c r="B313" t="e">
        <f t="shared" si="20"/>
        <v>#VALUE!</v>
      </c>
      <c r="C313" t="e">
        <f t="shared" si="24"/>
        <v>#VALUE!</v>
      </c>
      <c r="D313" t="e">
        <f t="shared" si="21"/>
        <v>#VALUE!</v>
      </c>
      <c r="E313">
        <f>IF($B$2&lt;&gt;$I$3,COUNTIF(Tab_fériés[date],A313),0)</f>
        <v>0</v>
      </c>
      <c r="F313">
        <f t="shared" si="22"/>
        <v>0</v>
      </c>
    </row>
    <row r="314" spans="1:6">
      <c r="A314" s="3" t="e">
        <f t="shared" si="23"/>
        <v>#VALUE!</v>
      </c>
      <c r="B314" t="e">
        <f t="shared" si="20"/>
        <v>#VALUE!</v>
      </c>
      <c r="C314" t="e">
        <f t="shared" si="24"/>
        <v>#VALUE!</v>
      </c>
      <c r="D314" t="e">
        <f t="shared" si="21"/>
        <v>#VALUE!</v>
      </c>
      <c r="E314">
        <f>IF($B$2&lt;&gt;$I$3,COUNTIF(Tab_fériés[date],A314),0)</f>
        <v>0</v>
      </c>
      <c r="F314">
        <f t="shared" si="22"/>
        <v>0</v>
      </c>
    </row>
    <row r="315" spans="1:6">
      <c r="A315" s="3" t="e">
        <f t="shared" si="23"/>
        <v>#VALUE!</v>
      </c>
      <c r="B315" t="e">
        <f t="shared" si="20"/>
        <v>#VALUE!</v>
      </c>
      <c r="C315" t="e">
        <f t="shared" si="24"/>
        <v>#VALUE!</v>
      </c>
      <c r="D315" t="e">
        <f t="shared" si="21"/>
        <v>#VALUE!</v>
      </c>
      <c r="E315">
        <f>IF($B$2&lt;&gt;$I$3,COUNTIF(Tab_fériés[date],A315),0)</f>
        <v>0</v>
      </c>
      <c r="F315">
        <f t="shared" si="22"/>
        <v>0</v>
      </c>
    </row>
    <row r="316" spans="1:6">
      <c r="A316" s="3" t="e">
        <f t="shared" si="23"/>
        <v>#VALUE!</v>
      </c>
      <c r="B316" t="e">
        <f t="shared" si="20"/>
        <v>#VALUE!</v>
      </c>
      <c r="C316" t="e">
        <f t="shared" si="24"/>
        <v>#VALUE!</v>
      </c>
      <c r="D316" t="e">
        <f t="shared" si="21"/>
        <v>#VALUE!</v>
      </c>
      <c r="E316">
        <f>IF($B$2&lt;&gt;$I$3,COUNTIF(Tab_fériés[date],A316),0)</f>
        <v>0</v>
      </c>
      <c r="F316">
        <f t="shared" si="22"/>
        <v>0</v>
      </c>
    </row>
    <row r="317" spans="1:6">
      <c r="A317" s="3" t="e">
        <f t="shared" si="23"/>
        <v>#VALUE!</v>
      </c>
      <c r="B317" t="e">
        <f t="shared" si="20"/>
        <v>#VALUE!</v>
      </c>
      <c r="C317" t="e">
        <f t="shared" si="24"/>
        <v>#VALUE!</v>
      </c>
      <c r="D317" t="e">
        <f t="shared" si="21"/>
        <v>#VALUE!</v>
      </c>
      <c r="E317">
        <f>IF($B$2&lt;&gt;$I$3,COUNTIF(Tab_fériés[date],A317),0)</f>
        <v>0</v>
      </c>
      <c r="F317">
        <f t="shared" si="22"/>
        <v>0</v>
      </c>
    </row>
    <row r="318" spans="1:6">
      <c r="A318" s="3" t="e">
        <f t="shared" si="23"/>
        <v>#VALUE!</v>
      </c>
      <c r="B318" t="e">
        <f t="shared" si="20"/>
        <v>#VALUE!</v>
      </c>
      <c r="C318" t="e">
        <f t="shared" si="24"/>
        <v>#VALUE!</v>
      </c>
      <c r="D318" t="e">
        <f t="shared" si="21"/>
        <v>#VALUE!</v>
      </c>
      <c r="E318">
        <f>IF($B$2&lt;&gt;$I$3,COUNTIF(Tab_fériés[date],A318),0)</f>
        <v>0</v>
      </c>
      <c r="F318">
        <f t="shared" si="22"/>
        <v>0</v>
      </c>
    </row>
    <row r="319" spans="1:6">
      <c r="A319" s="3" t="e">
        <f t="shared" si="23"/>
        <v>#VALUE!</v>
      </c>
      <c r="B319" t="e">
        <f t="shared" si="20"/>
        <v>#VALUE!</v>
      </c>
      <c r="C319" t="e">
        <f t="shared" si="24"/>
        <v>#VALUE!</v>
      </c>
      <c r="D319" t="e">
        <f t="shared" si="21"/>
        <v>#VALUE!</v>
      </c>
      <c r="E319">
        <f>IF($B$2&lt;&gt;$I$3,COUNTIF(Tab_fériés[date],A319),0)</f>
        <v>0</v>
      </c>
      <c r="F319">
        <f t="shared" si="22"/>
        <v>0</v>
      </c>
    </row>
    <row r="320" spans="1:6">
      <c r="A320" s="3" t="e">
        <f t="shared" si="23"/>
        <v>#VALUE!</v>
      </c>
      <c r="B320" t="e">
        <f t="shared" si="20"/>
        <v>#VALUE!</v>
      </c>
      <c r="C320" t="e">
        <f t="shared" si="24"/>
        <v>#VALUE!</v>
      </c>
      <c r="D320" t="e">
        <f t="shared" si="21"/>
        <v>#VALUE!</v>
      </c>
      <c r="E320">
        <f>IF($B$2&lt;&gt;$I$3,COUNTIF(Tab_fériés[date],A320),0)</f>
        <v>0</v>
      </c>
      <c r="F320">
        <f t="shared" si="22"/>
        <v>0</v>
      </c>
    </row>
    <row r="321" spans="1:6">
      <c r="A321" s="3" t="e">
        <f t="shared" si="23"/>
        <v>#VALUE!</v>
      </c>
      <c r="B321" t="e">
        <f t="shared" si="20"/>
        <v>#VALUE!</v>
      </c>
      <c r="C321" t="e">
        <f t="shared" si="24"/>
        <v>#VALUE!</v>
      </c>
      <c r="D321" t="e">
        <f t="shared" si="21"/>
        <v>#VALUE!</v>
      </c>
      <c r="E321">
        <f>IF($B$2&lt;&gt;$I$3,COUNTIF(Tab_fériés[date],A321),0)</f>
        <v>0</v>
      </c>
      <c r="F321">
        <f t="shared" si="22"/>
        <v>0</v>
      </c>
    </row>
    <row r="322" spans="1:6">
      <c r="A322" s="3" t="e">
        <f t="shared" si="23"/>
        <v>#VALUE!</v>
      </c>
      <c r="B322" t="e">
        <f t="shared" si="20"/>
        <v>#VALUE!</v>
      </c>
      <c r="C322" t="e">
        <f t="shared" si="24"/>
        <v>#VALUE!</v>
      </c>
      <c r="D322" t="e">
        <f t="shared" si="21"/>
        <v>#VALUE!</v>
      </c>
      <c r="E322">
        <f>IF($B$2&lt;&gt;$I$3,COUNTIF(Tab_fériés[date],A322),0)</f>
        <v>0</v>
      </c>
      <c r="F322">
        <f t="shared" si="22"/>
        <v>0</v>
      </c>
    </row>
    <row r="323" spans="1:6">
      <c r="A323" s="3" t="e">
        <f t="shared" si="23"/>
        <v>#VALUE!</v>
      </c>
      <c r="B323" t="e">
        <f t="shared" si="20"/>
        <v>#VALUE!</v>
      </c>
      <c r="C323" t="e">
        <f t="shared" si="24"/>
        <v>#VALUE!</v>
      </c>
      <c r="D323" t="e">
        <f t="shared" si="21"/>
        <v>#VALUE!</v>
      </c>
      <c r="E323">
        <f>IF($B$2&lt;&gt;$I$3,COUNTIF(Tab_fériés[date],A323),0)</f>
        <v>0</v>
      </c>
      <c r="F323">
        <f t="shared" si="22"/>
        <v>0</v>
      </c>
    </row>
    <row r="324" spans="1:6">
      <c r="A324" s="3" t="e">
        <f t="shared" si="23"/>
        <v>#VALUE!</v>
      </c>
      <c r="B324" t="e">
        <f t="shared" si="20"/>
        <v>#VALUE!</v>
      </c>
      <c r="C324" t="e">
        <f t="shared" si="24"/>
        <v>#VALUE!</v>
      </c>
      <c r="D324" t="e">
        <f t="shared" si="21"/>
        <v>#VALUE!</v>
      </c>
      <c r="E324">
        <f>IF($B$2&lt;&gt;$I$3,COUNTIF(Tab_fériés[date],A324),0)</f>
        <v>0</v>
      </c>
      <c r="F324">
        <f t="shared" si="22"/>
        <v>0</v>
      </c>
    </row>
    <row r="325" spans="1:6">
      <c r="A325" s="3" t="e">
        <f t="shared" si="23"/>
        <v>#VALUE!</v>
      </c>
      <c r="B325" t="e">
        <f t="shared" ref="B325:B369" si="25">WEEKDAY(A325,2)</f>
        <v>#VALUE!</v>
      </c>
      <c r="C325" t="e">
        <f t="shared" si="24"/>
        <v>#VALUE!</v>
      </c>
      <c r="D325" t="e">
        <f t="shared" ref="D325:D369" si="26">IF(AND(B325=7,$B$2&lt;&gt;$I$3),1,0)</f>
        <v>#VALUE!</v>
      </c>
      <c r="E325">
        <f>IF($B$2&lt;&gt;$I$3,COUNTIF(Tab_fériés[date],A325),0)</f>
        <v>0</v>
      </c>
      <c r="F325">
        <f t="shared" ref="F325:F369" si="27">IFERROR(IF(SUM(C325:E325)&gt;0,1,0),0)</f>
        <v>0</v>
      </c>
    </row>
    <row r="326" spans="1:6">
      <c r="A326" s="3" t="e">
        <f t="shared" ref="A326:A367" si="28">A325+1</f>
        <v>#VALUE!</v>
      </c>
      <c r="B326" t="e">
        <f t="shared" si="25"/>
        <v>#VALUE!</v>
      </c>
      <c r="C326" t="e">
        <f t="shared" ref="C326:C369" si="29">IF(AND(B326=6,$B$2&lt;&gt;$I$3,$B$2&lt;&gt;$I$5),1,0)</f>
        <v>#VALUE!</v>
      </c>
      <c r="D326" t="e">
        <f t="shared" si="26"/>
        <v>#VALUE!</v>
      </c>
      <c r="E326">
        <f>IF($B$2&lt;&gt;$I$3,COUNTIF(Tab_fériés[date],A326),0)</f>
        <v>0</v>
      </c>
      <c r="F326">
        <f t="shared" si="27"/>
        <v>0</v>
      </c>
    </row>
    <row r="327" spans="1:6">
      <c r="A327" s="3" t="e">
        <f t="shared" si="28"/>
        <v>#VALUE!</v>
      </c>
      <c r="B327" t="e">
        <f t="shared" si="25"/>
        <v>#VALUE!</v>
      </c>
      <c r="C327" t="e">
        <f t="shared" si="29"/>
        <v>#VALUE!</v>
      </c>
      <c r="D327" t="e">
        <f t="shared" si="26"/>
        <v>#VALUE!</v>
      </c>
      <c r="E327">
        <f>IF($B$2&lt;&gt;$I$3,COUNTIF(Tab_fériés[date],A327),0)</f>
        <v>0</v>
      </c>
      <c r="F327">
        <f t="shared" si="27"/>
        <v>0</v>
      </c>
    </row>
    <row r="328" spans="1:6">
      <c r="A328" s="3" t="e">
        <f t="shared" si="28"/>
        <v>#VALUE!</v>
      </c>
      <c r="B328" t="e">
        <f t="shared" si="25"/>
        <v>#VALUE!</v>
      </c>
      <c r="C328" t="e">
        <f t="shared" si="29"/>
        <v>#VALUE!</v>
      </c>
      <c r="D328" t="e">
        <f t="shared" si="26"/>
        <v>#VALUE!</v>
      </c>
      <c r="E328">
        <f>IF($B$2&lt;&gt;$I$3,COUNTIF(Tab_fériés[date],A328),0)</f>
        <v>0</v>
      </c>
      <c r="F328">
        <f t="shared" si="27"/>
        <v>0</v>
      </c>
    </row>
    <row r="329" spans="1:6">
      <c r="A329" s="3" t="e">
        <f t="shared" si="28"/>
        <v>#VALUE!</v>
      </c>
      <c r="B329" t="e">
        <f t="shared" si="25"/>
        <v>#VALUE!</v>
      </c>
      <c r="C329" t="e">
        <f t="shared" si="29"/>
        <v>#VALUE!</v>
      </c>
      <c r="D329" t="e">
        <f t="shared" si="26"/>
        <v>#VALUE!</v>
      </c>
      <c r="E329">
        <f>IF($B$2&lt;&gt;$I$3,COUNTIF(Tab_fériés[date],A329),0)</f>
        <v>0</v>
      </c>
      <c r="F329">
        <f t="shared" si="27"/>
        <v>0</v>
      </c>
    </row>
    <row r="330" spans="1:6">
      <c r="A330" s="3" t="e">
        <f t="shared" si="28"/>
        <v>#VALUE!</v>
      </c>
      <c r="B330" t="e">
        <f t="shared" si="25"/>
        <v>#VALUE!</v>
      </c>
      <c r="C330" t="e">
        <f t="shared" si="29"/>
        <v>#VALUE!</v>
      </c>
      <c r="D330" t="e">
        <f t="shared" si="26"/>
        <v>#VALUE!</v>
      </c>
      <c r="E330">
        <f>IF($B$2&lt;&gt;$I$3,COUNTIF(Tab_fériés[date],A330),0)</f>
        <v>0</v>
      </c>
      <c r="F330">
        <f t="shared" si="27"/>
        <v>0</v>
      </c>
    </row>
    <row r="331" spans="1:6">
      <c r="A331" s="3" t="e">
        <f t="shared" si="28"/>
        <v>#VALUE!</v>
      </c>
      <c r="B331" t="e">
        <f t="shared" si="25"/>
        <v>#VALUE!</v>
      </c>
      <c r="C331" t="e">
        <f t="shared" si="29"/>
        <v>#VALUE!</v>
      </c>
      <c r="D331" t="e">
        <f t="shared" si="26"/>
        <v>#VALUE!</v>
      </c>
      <c r="E331">
        <f>IF($B$2&lt;&gt;$I$3,COUNTIF(Tab_fériés[date],A331),0)</f>
        <v>0</v>
      </c>
      <c r="F331">
        <f t="shared" si="27"/>
        <v>0</v>
      </c>
    </row>
    <row r="332" spans="1:6">
      <c r="A332" s="3" t="e">
        <f t="shared" si="28"/>
        <v>#VALUE!</v>
      </c>
      <c r="B332" t="e">
        <f t="shared" si="25"/>
        <v>#VALUE!</v>
      </c>
      <c r="C332" t="e">
        <f t="shared" si="29"/>
        <v>#VALUE!</v>
      </c>
      <c r="D332" t="e">
        <f t="shared" si="26"/>
        <v>#VALUE!</v>
      </c>
      <c r="E332">
        <f>IF($B$2&lt;&gt;$I$3,COUNTIF(Tab_fériés[date],A332),0)</f>
        <v>0</v>
      </c>
      <c r="F332">
        <f t="shared" si="27"/>
        <v>0</v>
      </c>
    </row>
    <row r="333" spans="1:6">
      <c r="A333" s="3" t="e">
        <f t="shared" si="28"/>
        <v>#VALUE!</v>
      </c>
      <c r="B333" t="e">
        <f t="shared" si="25"/>
        <v>#VALUE!</v>
      </c>
      <c r="C333" t="e">
        <f t="shared" si="29"/>
        <v>#VALUE!</v>
      </c>
      <c r="D333" t="e">
        <f t="shared" si="26"/>
        <v>#VALUE!</v>
      </c>
      <c r="E333">
        <f>IF($B$2&lt;&gt;$I$3,COUNTIF(Tab_fériés[date],A333),0)</f>
        <v>0</v>
      </c>
      <c r="F333">
        <f t="shared" si="27"/>
        <v>0</v>
      </c>
    </row>
    <row r="334" spans="1:6">
      <c r="A334" s="3" t="e">
        <f t="shared" si="28"/>
        <v>#VALUE!</v>
      </c>
      <c r="B334" t="e">
        <f t="shared" si="25"/>
        <v>#VALUE!</v>
      </c>
      <c r="C334" t="e">
        <f t="shared" si="29"/>
        <v>#VALUE!</v>
      </c>
      <c r="D334" t="e">
        <f t="shared" si="26"/>
        <v>#VALUE!</v>
      </c>
      <c r="E334">
        <f>IF($B$2&lt;&gt;$I$3,COUNTIF(Tab_fériés[date],A334),0)</f>
        <v>0</v>
      </c>
      <c r="F334">
        <f t="shared" si="27"/>
        <v>0</v>
      </c>
    </row>
    <row r="335" spans="1:6">
      <c r="A335" s="3" t="e">
        <f t="shared" si="28"/>
        <v>#VALUE!</v>
      </c>
      <c r="B335" t="e">
        <f t="shared" si="25"/>
        <v>#VALUE!</v>
      </c>
      <c r="C335" t="e">
        <f t="shared" si="29"/>
        <v>#VALUE!</v>
      </c>
      <c r="D335" t="e">
        <f t="shared" si="26"/>
        <v>#VALUE!</v>
      </c>
      <c r="E335">
        <f>IF($B$2&lt;&gt;$I$3,COUNTIF(Tab_fériés[date],A335),0)</f>
        <v>0</v>
      </c>
      <c r="F335">
        <f t="shared" si="27"/>
        <v>0</v>
      </c>
    </row>
    <row r="336" spans="1:6">
      <c r="A336" s="3" t="e">
        <f t="shared" si="28"/>
        <v>#VALUE!</v>
      </c>
      <c r="B336" t="e">
        <f t="shared" si="25"/>
        <v>#VALUE!</v>
      </c>
      <c r="C336" t="e">
        <f t="shared" si="29"/>
        <v>#VALUE!</v>
      </c>
      <c r="D336" t="e">
        <f t="shared" si="26"/>
        <v>#VALUE!</v>
      </c>
      <c r="E336">
        <f>IF($B$2&lt;&gt;$I$3,COUNTIF(Tab_fériés[date],A336),0)</f>
        <v>0</v>
      </c>
      <c r="F336">
        <f t="shared" si="27"/>
        <v>0</v>
      </c>
    </row>
    <row r="337" spans="1:6">
      <c r="A337" s="3" t="e">
        <f t="shared" si="28"/>
        <v>#VALUE!</v>
      </c>
      <c r="B337" t="e">
        <f t="shared" si="25"/>
        <v>#VALUE!</v>
      </c>
      <c r="C337" t="e">
        <f t="shared" si="29"/>
        <v>#VALUE!</v>
      </c>
      <c r="D337" t="e">
        <f t="shared" si="26"/>
        <v>#VALUE!</v>
      </c>
      <c r="E337">
        <f>IF($B$2&lt;&gt;$I$3,COUNTIF(Tab_fériés[date],A337),0)</f>
        <v>0</v>
      </c>
      <c r="F337">
        <f t="shared" si="27"/>
        <v>0</v>
      </c>
    </row>
    <row r="338" spans="1:6">
      <c r="A338" s="3" t="e">
        <f t="shared" si="28"/>
        <v>#VALUE!</v>
      </c>
      <c r="B338" t="e">
        <f t="shared" si="25"/>
        <v>#VALUE!</v>
      </c>
      <c r="C338" t="e">
        <f t="shared" si="29"/>
        <v>#VALUE!</v>
      </c>
      <c r="D338" t="e">
        <f t="shared" si="26"/>
        <v>#VALUE!</v>
      </c>
      <c r="E338">
        <f>IF($B$2&lt;&gt;$I$3,COUNTIF(Tab_fériés[date],A338),0)</f>
        <v>0</v>
      </c>
      <c r="F338">
        <f t="shared" si="27"/>
        <v>0</v>
      </c>
    </row>
    <row r="339" spans="1:6">
      <c r="A339" s="3" t="e">
        <f t="shared" si="28"/>
        <v>#VALUE!</v>
      </c>
      <c r="B339" t="e">
        <f t="shared" si="25"/>
        <v>#VALUE!</v>
      </c>
      <c r="C339" t="e">
        <f t="shared" si="29"/>
        <v>#VALUE!</v>
      </c>
      <c r="D339" t="e">
        <f t="shared" si="26"/>
        <v>#VALUE!</v>
      </c>
      <c r="E339">
        <f>IF($B$2&lt;&gt;$I$3,COUNTIF(Tab_fériés[date],A339),0)</f>
        <v>0</v>
      </c>
      <c r="F339">
        <f t="shared" si="27"/>
        <v>0</v>
      </c>
    </row>
    <row r="340" spans="1:6">
      <c r="A340" s="3" t="e">
        <f t="shared" si="28"/>
        <v>#VALUE!</v>
      </c>
      <c r="B340" t="e">
        <f t="shared" si="25"/>
        <v>#VALUE!</v>
      </c>
      <c r="C340" t="e">
        <f t="shared" si="29"/>
        <v>#VALUE!</v>
      </c>
      <c r="D340" t="e">
        <f t="shared" si="26"/>
        <v>#VALUE!</v>
      </c>
      <c r="E340">
        <f>IF($B$2&lt;&gt;$I$3,COUNTIF(Tab_fériés[date],A340),0)</f>
        <v>0</v>
      </c>
      <c r="F340">
        <f t="shared" si="27"/>
        <v>0</v>
      </c>
    </row>
    <row r="341" spans="1:6">
      <c r="A341" s="3" t="e">
        <f t="shared" si="28"/>
        <v>#VALUE!</v>
      </c>
      <c r="B341" t="e">
        <f t="shared" si="25"/>
        <v>#VALUE!</v>
      </c>
      <c r="C341" t="e">
        <f t="shared" si="29"/>
        <v>#VALUE!</v>
      </c>
      <c r="D341" t="e">
        <f t="shared" si="26"/>
        <v>#VALUE!</v>
      </c>
      <c r="E341">
        <f>IF($B$2&lt;&gt;$I$3,COUNTIF(Tab_fériés[date],A341),0)</f>
        <v>0</v>
      </c>
      <c r="F341">
        <f t="shared" si="27"/>
        <v>0</v>
      </c>
    </row>
    <row r="342" spans="1:6">
      <c r="A342" s="3" t="e">
        <f t="shared" si="28"/>
        <v>#VALUE!</v>
      </c>
      <c r="B342" t="e">
        <f t="shared" si="25"/>
        <v>#VALUE!</v>
      </c>
      <c r="C342" t="e">
        <f t="shared" si="29"/>
        <v>#VALUE!</v>
      </c>
      <c r="D342" t="e">
        <f t="shared" si="26"/>
        <v>#VALUE!</v>
      </c>
      <c r="E342">
        <f>IF($B$2&lt;&gt;$I$3,COUNTIF(Tab_fériés[date],A342),0)</f>
        <v>0</v>
      </c>
      <c r="F342">
        <f t="shared" si="27"/>
        <v>0</v>
      </c>
    </row>
    <row r="343" spans="1:6">
      <c r="A343" s="3" t="e">
        <f t="shared" si="28"/>
        <v>#VALUE!</v>
      </c>
      <c r="B343" t="e">
        <f t="shared" si="25"/>
        <v>#VALUE!</v>
      </c>
      <c r="C343" t="e">
        <f t="shared" si="29"/>
        <v>#VALUE!</v>
      </c>
      <c r="D343" t="e">
        <f t="shared" si="26"/>
        <v>#VALUE!</v>
      </c>
      <c r="E343">
        <f>IF($B$2&lt;&gt;$I$3,COUNTIF(Tab_fériés[date],A343),0)</f>
        <v>0</v>
      </c>
      <c r="F343">
        <f t="shared" si="27"/>
        <v>0</v>
      </c>
    </row>
    <row r="344" spans="1:6">
      <c r="A344" s="3" t="e">
        <f t="shared" si="28"/>
        <v>#VALUE!</v>
      </c>
      <c r="B344" t="e">
        <f t="shared" si="25"/>
        <v>#VALUE!</v>
      </c>
      <c r="C344" t="e">
        <f t="shared" si="29"/>
        <v>#VALUE!</v>
      </c>
      <c r="D344" t="e">
        <f t="shared" si="26"/>
        <v>#VALUE!</v>
      </c>
      <c r="E344">
        <f>IF($B$2&lt;&gt;$I$3,COUNTIF(Tab_fériés[date],A344),0)</f>
        <v>0</v>
      </c>
      <c r="F344">
        <f t="shared" si="27"/>
        <v>0</v>
      </c>
    </row>
    <row r="345" spans="1:6">
      <c r="A345" s="3" t="e">
        <f t="shared" si="28"/>
        <v>#VALUE!</v>
      </c>
      <c r="B345" t="e">
        <f t="shared" si="25"/>
        <v>#VALUE!</v>
      </c>
      <c r="C345" t="e">
        <f t="shared" si="29"/>
        <v>#VALUE!</v>
      </c>
      <c r="D345" t="e">
        <f t="shared" si="26"/>
        <v>#VALUE!</v>
      </c>
      <c r="E345">
        <f>IF($B$2&lt;&gt;$I$3,COUNTIF(Tab_fériés[date],A345),0)</f>
        <v>0</v>
      </c>
      <c r="F345">
        <f t="shared" si="27"/>
        <v>0</v>
      </c>
    </row>
    <row r="346" spans="1:6">
      <c r="A346" s="3" t="e">
        <f t="shared" si="28"/>
        <v>#VALUE!</v>
      </c>
      <c r="B346" t="e">
        <f t="shared" si="25"/>
        <v>#VALUE!</v>
      </c>
      <c r="C346" t="e">
        <f t="shared" si="29"/>
        <v>#VALUE!</v>
      </c>
      <c r="D346" t="e">
        <f t="shared" si="26"/>
        <v>#VALUE!</v>
      </c>
      <c r="E346">
        <f>IF($B$2&lt;&gt;$I$3,COUNTIF(Tab_fériés[date],A346),0)</f>
        <v>0</v>
      </c>
      <c r="F346">
        <f t="shared" si="27"/>
        <v>0</v>
      </c>
    </row>
    <row r="347" spans="1:6">
      <c r="A347" s="3" t="e">
        <f t="shared" si="28"/>
        <v>#VALUE!</v>
      </c>
      <c r="B347" t="e">
        <f t="shared" si="25"/>
        <v>#VALUE!</v>
      </c>
      <c r="C347" t="e">
        <f t="shared" si="29"/>
        <v>#VALUE!</v>
      </c>
      <c r="D347" t="e">
        <f t="shared" si="26"/>
        <v>#VALUE!</v>
      </c>
      <c r="E347">
        <f>IF($B$2&lt;&gt;$I$3,COUNTIF(Tab_fériés[date],A347),0)</f>
        <v>0</v>
      </c>
      <c r="F347">
        <f t="shared" si="27"/>
        <v>0</v>
      </c>
    </row>
    <row r="348" spans="1:6">
      <c r="A348" s="3" t="e">
        <f t="shared" si="28"/>
        <v>#VALUE!</v>
      </c>
      <c r="B348" t="e">
        <f t="shared" si="25"/>
        <v>#VALUE!</v>
      </c>
      <c r="C348" t="e">
        <f t="shared" si="29"/>
        <v>#VALUE!</v>
      </c>
      <c r="D348" t="e">
        <f t="shared" si="26"/>
        <v>#VALUE!</v>
      </c>
      <c r="E348">
        <f>IF($B$2&lt;&gt;$I$3,COUNTIF(Tab_fériés[date],A348),0)</f>
        <v>0</v>
      </c>
      <c r="F348">
        <f t="shared" si="27"/>
        <v>0</v>
      </c>
    </row>
    <row r="349" spans="1:6">
      <c r="A349" s="3" t="e">
        <f t="shared" si="28"/>
        <v>#VALUE!</v>
      </c>
      <c r="B349" t="e">
        <f t="shared" si="25"/>
        <v>#VALUE!</v>
      </c>
      <c r="C349" t="e">
        <f t="shared" si="29"/>
        <v>#VALUE!</v>
      </c>
      <c r="D349" t="e">
        <f t="shared" si="26"/>
        <v>#VALUE!</v>
      </c>
      <c r="E349">
        <f>IF($B$2&lt;&gt;$I$3,COUNTIF(Tab_fériés[date],A349),0)</f>
        <v>0</v>
      </c>
      <c r="F349">
        <f t="shared" si="27"/>
        <v>0</v>
      </c>
    </row>
    <row r="350" spans="1:6">
      <c r="A350" s="3" t="e">
        <f t="shared" si="28"/>
        <v>#VALUE!</v>
      </c>
      <c r="B350" t="e">
        <f t="shared" si="25"/>
        <v>#VALUE!</v>
      </c>
      <c r="C350" t="e">
        <f t="shared" si="29"/>
        <v>#VALUE!</v>
      </c>
      <c r="D350" t="e">
        <f t="shared" si="26"/>
        <v>#VALUE!</v>
      </c>
      <c r="E350">
        <f>IF($B$2&lt;&gt;$I$3,COUNTIF(Tab_fériés[date],A350),0)</f>
        <v>0</v>
      </c>
      <c r="F350">
        <f t="shared" si="27"/>
        <v>0</v>
      </c>
    </row>
    <row r="351" spans="1:6">
      <c r="A351" s="3" t="e">
        <f t="shared" si="28"/>
        <v>#VALUE!</v>
      </c>
      <c r="B351" t="e">
        <f t="shared" si="25"/>
        <v>#VALUE!</v>
      </c>
      <c r="C351" t="e">
        <f t="shared" si="29"/>
        <v>#VALUE!</v>
      </c>
      <c r="D351" t="e">
        <f t="shared" si="26"/>
        <v>#VALUE!</v>
      </c>
      <c r="E351">
        <f>IF($B$2&lt;&gt;$I$3,COUNTIF(Tab_fériés[date],A351),0)</f>
        <v>0</v>
      </c>
      <c r="F351">
        <f t="shared" si="27"/>
        <v>0</v>
      </c>
    </row>
    <row r="352" spans="1:6">
      <c r="A352" s="3" t="e">
        <f t="shared" si="28"/>
        <v>#VALUE!</v>
      </c>
      <c r="B352" t="e">
        <f t="shared" si="25"/>
        <v>#VALUE!</v>
      </c>
      <c r="C352" t="e">
        <f t="shared" si="29"/>
        <v>#VALUE!</v>
      </c>
      <c r="D352" t="e">
        <f t="shared" si="26"/>
        <v>#VALUE!</v>
      </c>
      <c r="E352">
        <f>IF($B$2&lt;&gt;$I$3,COUNTIF(Tab_fériés[date],A352),0)</f>
        <v>0</v>
      </c>
      <c r="F352">
        <f t="shared" si="27"/>
        <v>0</v>
      </c>
    </row>
    <row r="353" spans="1:6">
      <c r="A353" s="3" t="e">
        <f t="shared" si="28"/>
        <v>#VALUE!</v>
      </c>
      <c r="B353" t="e">
        <f t="shared" si="25"/>
        <v>#VALUE!</v>
      </c>
      <c r="C353" t="e">
        <f t="shared" si="29"/>
        <v>#VALUE!</v>
      </c>
      <c r="D353" t="e">
        <f t="shared" si="26"/>
        <v>#VALUE!</v>
      </c>
      <c r="E353">
        <f>IF($B$2&lt;&gt;$I$3,COUNTIF(Tab_fériés[date],A353),0)</f>
        <v>0</v>
      </c>
      <c r="F353">
        <f t="shared" si="27"/>
        <v>0</v>
      </c>
    </row>
    <row r="354" spans="1:6">
      <c r="A354" s="3" t="e">
        <f t="shared" si="28"/>
        <v>#VALUE!</v>
      </c>
      <c r="B354" t="e">
        <f t="shared" si="25"/>
        <v>#VALUE!</v>
      </c>
      <c r="C354" t="e">
        <f t="shared" si="29"/>
        <v>#VALUE!</v>
      </c>
      <c r="D354" t="e">
        <f t="shared" si="26"/>
        <v>#VALUE!</v>
      </c>
      <c r="E354">
        <f>IF($B$2&lt;&gt;$I$3,COUNTIF(Tab_fériés[date],A354),0)</f>
        <v>0</v>
      </c>
      <c r="F354">
        <f t="shared" si="27"/>
        <v>0</v>
      </c>
    </row>
    <row r="355" spans="1:6">
      <c r="A355" s="3" t="e">
        <f t="shared" si="28"/>
        <v>#VALUE!</v>
      </c>
      <c r="B355" t="e">
        <f t="shared" si="25"/>
        <v>#VALUE!</v>
      </c>
      <c r="C355" t="e">
        <f t="shared" si="29"/>
        <v>#VALUE!</v>
      </c>
      <c r="D355" t="e">
        <f t="shared" si="26"/>
        <v>#VALUE!</v>
      </c>
      <c r="E355">
        <f>IF($B$2&lt;&gt;$I$3,COUNTIF(Tab_fériés[date],A355),0)</f>
        <v>0</v>
      </c>
      <c r="F355">
        <f t="shared" si="27"/>
        <v>0</v>
      </c>
    </row>
    <row r="356" spans="1:6">
      <c r="A356" s="3" t="e">
        <f t="shared" si="28"/>
        <v>#VALUE!</v>
      </c>
      <c r="B356" t="e">
        <f t="shared" si="25"/>
        <v>#VALUE!</v>
      </c>
      <c r="C356" t="e">
        <f t="shared" si="29"/>
        <v>#VALUE!</v>
      </c>
      <c r="D356" t="e">
        <f t="shared" si="26"/>
        <v>#VALUE!</v>
      </c>
      <c r="E356">
        <f>IF($B$2&lt;&gt;$I$3,COUNTIF(Tab_fériés[date],A356),0)</f>
        <v>0</v>
      </c>
      <c r="F356">
        <f t="shared" si="27"/>
        <v>0</v>
      </c>
    </row>
    <row r="357" spans="1:6">
      <c r="A357" s="3" t="e">
        <f t="shared" si="28"/>
        <v>#VALUE!</v>
      </c>
      <c r="B357" t="e">
        <f t="shared" si="25"/>
        <v>#VALUE!</v>
      </c>
      <c r="C357" t="e">
        <f t="shared" si="29"/>
        <v>#VALUE!</v>
      </c>
      <c r="D357" t="e">
        <f t="shared" si="26"/>
        <v>#VALUE!</v>
      </c>
      <c r="E357">
        <f>IF($B$2&lt;&gt;$I$3,COUNTIF(Tab_fériés[date],A357),0)</f>
        <v>0</v>
      </c>
      <c r="F357">
        <f t="shared" si="27"/>
        <v>0</v>
      </c>
    </row>
    <row r="358" spans="1:6">
      <c r="A358" s="3" t="e">
        <f t="shared" si="28"/>
        <v>#VALUE!</v>
      </c>
      <c r="B358" t="e">
        <f t="shared" si="25"/>
        <v>#VALUE!</v>
      </c>
      <c r="C358" t="e">
        <f t="shared" si="29"/>
        <v>#VALUE!</v>
      </c>
      <c r="D358" t="e">
        <f t="shared" si="26"/>
        <v>#VALUE!</v>
      </c>
      <c r="E358">
        <f>IF($B$2&lt;&gt;$I$3,COUNTIF(Tab_fériés[date],A358),0)</f>
        <v>0</v>
      </c>
      <c r="F358">
        <f t="shared" si="27"/>
        <v>0</v>
      </c>
    </row>
    <row r="359" spans="1:6">
      <c r="A359" s="3" t="e">
        <f t="shared" si="28"/>
        <v>#VALUE!</v>
      </c>
      <c r="B359" t="e">
        <f t="shared" si="25"/>
        <v>#VALUE!</v>
      </c>
      <c r="C359" t="e">
        <f t="shared" si="29"/>
        <v>#VALUE!</v>
      </c>
      <c r="D359" t="e">
        <f t="shared" si="26"/>
        <v>#VALUE!</v>
      </c>
      <c r="E359">
        <f>IF($B$2&lt;&gt;$I$3,COUNTIF(Tab_fériés[date],A359),0)</f>
        <v>0</v>
      </c>
      <c r="F359">
        <f t="shared" si="27"/>
        <v>0</v>
      </c>
    </row>
    <row r="360" spans="1:6">
      <c r="A360" s="3" t="e">
        <f t="shared" si="28"/>
        <v>#VALUE!</v>
      </c>
      <c r="B360" t="e">
        <f t="shared" si="25"/>
        <v>#VALUE!</v>
      </c>
      <c r="C360" t="e">
        <f t="shared" si="29"/>
        <v>#VALUE!</v>
      </c>
      <c r="D360" t="e">
        <f t="shared" si="26"/>
        <v>#VALUE!</v>
      </c>
      <c r="E360">
        <f>IF($B$2&lt;&gt;$I$3,COUNTIF(Tab_fériés[date],A360),0)</f>
        <v>0</v>
      </c>
      <c r="F360">
        <f t="shared" si="27"/>
        <v>0</v>
      </c>
    </row>
    <row r="361" spans="1:6">
      <c r="A361" s="3" t="e">
        <f t="shared" si="28"/>
        <v>#VALUE!</v>
      </c>
      <c r="B361" t="e">
        <f t="shared" si="25"/>
        <v>#VALUE!</v>
      </c>
      <c r="C361" t="e">
        <f t="shared" si="29"/>
        <v>#VALUE!</v>
      </c>
      <c r="D361" t="e">
        <f t="shared" si="26"/>
        <v>#VALUE!</v>
      </c>
      <c r="E361">
        <f>IF($B$2&lt;&gt;$I$3,COUNTIF(Tab_fériés[date],A361),0)</f>
        <v>0</v>
      </c>
      <c r="F361">
        <f t="shared" si="27"/>
        <v>0</v>
      </c>
    </row>
    <row r="362" spans="1:6">
      <c r="A362" s="3" t="e">
        <f t="shared" si="28"/>
        <v>#VALUE!</v>
      </c>
      <c r="B362" t="e">
        <f t="shared" si="25"/>
        <v>#VALUE!</v>
      </c>
      <c r="C362" t="e">
        <f t="shared" si="29"/>
        <v>#VALUE!</v>
      </c>
      <c r="D362" t="e">
        <f t="shared" si="26"/>
        <v>#VALUE!</v>
      </c>
      <c r="E362">
        <f>IF($B$2&lt;&gt;$I$3,COUNTIF(Tab_fériés[date],A362),0)</f>
        <v>0</v>
      </c>
      <c r="F362">
        <f t="shared" si="27"/>
        <v>0</v>
      </c>
    </row>
    <row r="363" spans="1:6">
      <c r="A363" s="3" t="e">
        <f t="shared" si="28"/>
        <v>#VALUE!</v>
      </c>
      <c r="B363" t="e">
        <f t="shared" si="25"/>
        <v>#VALUE!</v>
      </c>
      <c r="C363" t="e">
        <f t="shared" si="29"/>
        <v>#VALUE!</v>
      </c>
      <c r="D363" t="e">
        <f t="shared" si="26"/>
        <v>#VALUE!</v>
      </c>
      <c r="E363">
        <f>IF($B$2&lt;&gt;$I$3,COUNTIF(Tab_fériés[date],A363),0)</f>
        <v>0</v>
      </c>
      <c r="F363">
        <f t="shared" si="27"/>
        <v>0</v>
      </c>
    </row>
    <row r="364" spans="1:6">
      <c r="A364" s="3" t="e">
        <f t="shared" si="28"/>
        <v>#VALUE!</v>
      </c>
      <c r="B364" t="e">
        <f t="shared" si="25"/>
        <v>#VALUE!</v>
      </c>
      <c r="C364" t="e">
        <f t="shared" si="29"/>
        <v>#VALUE!</v>
      </c>
      <c r="D364" t="e">
        <f t="shared" si="26"/>
        <v>#VALUE!</v>
      </c>
      <c r="E364">
        <f>IF($B$2&lt;&gt;$I$3,COUNTIF(Tab_fériés[date],A364),0)</f>
        <v>0</v>
      </c>
      <c r="F364">
        <f t="shared" si="27"/>
        <v>0</v>
      </c>
    </row>
    <row r="365" spans="1:6">
      <c r="A365" s="3" t="e">
        <f t="shared" si="28"/>
        <v>#VALUE!</v>
      </c>
      <c r="B365" t="e">
        <f t="shared" si="25"/>
        <v>#VALUE!</v>
      </c>
      <c r="C365" t="e">
        <f t="shared" si="29"/>
        <v>#VALUE!</v>
      </c>
      <c r="D365" t="e">
        <f t="shared" si="26"/>
        <v>#VALUE!</v>
      </c>
      <c r="E365">
        <f>IF($B$2&lt;&gt;$I$3,COUNTIF(Tab_fériés[date],A365),0)</f>
        <v>0</v>
      </c>
      <c r="F365">
        <f t="shared" si="27"/>
        <v>0</v>
      </c>
    </row>
    <row r="366" spans="1:6">
      <c r="A366" s="3" t="e">
        <f t="shared" si="28"/>
        <v>#VALUE!</v>
      </c>
      <c r="B366" t="e">
        <f t="shared" si="25"/>
        <v>#VALUE!</v>
      </c>
      <c r="C366" t="e">
        <f t="shared" si="29"/>
        <v>#VALUE!</v>
      </c>
      <c r="D366" t="e">
        <f t="shared" si="26"/>
        <v>#VALUE!</v>
      </c>
      <c r="E366">
        <f>IF($B$2&lt;&gt;$I$3,COUNTIF(Tab_fériés[date],A366),0)</f>
        <v>0</v>
      </c>
      <c r="F366">
        <f t="shared" si="27"/>
        <v>0</v>
      </c>
    </row>
    <row r="367" spans="1:6">
      <c r="A367" s="3" t="e">
        <f t="shared" si="28"/>
        <v>#VALUE!</v>
      </c>
      <c r="B367" t="e">
        <f t="shared" si="25"/>
        <v>#VALUE!</v>
      </c>
      <c r="C367" t="e">
        <f t="shared" si="29"/>
        <v>#VALUE!</v>
      </c>
      <c r="D367" t="e">
        <f t="shared" si="26"/>
        <v>#VALUE!</v>
      </c>
      <c r="E367">
        <f>IF($B$2&lt;&gt;$I$3,COUNTIF(Tab_fériés[date],A367),0)</f>
        <v>0</v>
      </c>
      <c r="F367">
        <f t="shared" si="27"/>
        <v>0</v>
      </c>
    </row>
    <row r="368" spans="1:6">
      <c r="A368" s="3" t="e">
        <f>IF(YEAR(A367+1)=B1,A367+1,"")</f>
        <v>#VALUE!</v>
      </c>
      <c r="B368" t="e">
        <f t="shared" si="25"/>
        <v>#VALUE!</v>
      </c>
      <c r="C368" t="e">
        <f t="shared" si="29"/>
        <v>#VALUE!</v>
      </c>
      <c r="D368" t="e">
        <f t="shared" si="26"/>
        <v>#VALUE!</v>
      </c>
      <c r="E368">
        <f>IF($B$2&lt;&gt;$I$3,COUNTIF(Tab_fériés[date],A368),0)</f>
        <v>0</v>
      </c>
      <c r="F368">
        <f t="shared" si="27"/>
        <v>0</v>
      </c>
    </row>
    <row r="369" spans="1:6">
      <c r="A369" s="3" t="e">
        <f>IF(YEAR(A368+1)=B2,A368+1,"")</f>
        <v>#VALUE!</v>
      </c>
      <c r="B369" t="e">
        <f t="shared" si="25"/>
        <v>#VALUE!</v>
      </c>
      <c r="C369" t="e">
        <f t="shared" si="29"/>
        <v>#VALUE!</v>
      </c>
      <c r="D369" t="e">
        <f t="shared" si="26"/>
        <v>#VALUE!</v>
      </c>
      <c r="E369">
        <f>IF($B$2&lt;&gt;$I$3,COUNTIF(Tab_fériés[date],A369),0)</f>
        <v>0</v>
      </c>
      <c r="F369">
        <f t="shared" si="27"/>
        <v>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5"/>
  <dimension ref="A1:N244"/>
  <sheetViews>
    <sheetView zoomScaleNormal="100" workbookViewId="0">
      <pane ySplit="3" topLeftCell="A6" activePane="bottomLeft" state="frozen"/>
      <selection pane="bottomLeft" activeCell="B4" sqref="B4"/>
    </sheetView>
  </sheetViews>
  <sheetFormatPr baseColWidth="10" defaultColWidth="0" defaultRowHeight="15" zeroHeight="1"/>
  <cols>
    <col min="1" max="1" width="22.140625" style="87" customWidth="1"/>
    <col min="2" max="2" width="14" style="87" customWidth="1"/>
    <col min="3" max="3" width="11.5703125" style="219" customWidth="1"/>
    <col min="4" max="4" width="17.140625" style="220" customWidth="1"/>
    <col min="5" max="5" width="11.42578125" customWidth="1"/>
    <col min="6" max="6" width="14" hidden="1" customWidth="1"/>
    <col min="7" max="8" width="11.42578125" hidden="1" customWidth="1"/>
    <col min="9" max="9" width="10.85546875" customWidth="1"/>
    <col min="10" max="10" width="21" style="218" customWidth="1"/>
    <col min="11" max="11" width="21.7109375" customWidth="1"/>
    <col min="12" max="13" width="11.42578125" customWidth="1"/>
    <col min="14" max="14" width="21.7109375" customWidth="1"/>
    <col min="15" max="16384" width="11.42578125" hidden="1"/>
  </cols>
  <sheetData>
    <row r="1" spans="1:13" ht="37.15" customHeight="1">
      <c r="A1" s="57" t="s">
        <v>397</v>
      </c>
      <c r="B1" s="227" t="s">
        <v>398</v>
      </c>
      <c r="C1" s="129" t="s">
        <v>399</v>
      </c>
      <c r="D1" s="59" t="str">
        <f>CONCATENATE("Montant ",Controle_des_données!$A$40)</f>
        <v>Montant TTC</v>
      </c>
      <c r="E1" s="30" t="s">
        <v>215</v>
      </c>
      <c r="F1" s="29" t="s">
        <v>400</v>
      </c>
      <c r="G1" s="30" t="s">
        <v>401</v>
      </c>
      <c r="H1" s="30" t="s">
        <v>402</v>
      </c>
      <c r="I1" s="30" t="s">
        <v>403</v>
      </c>
      <c r="J1" s="181" t="s">
        <v>404</v>
      </c>
      <c r="K1" s="172" t="s">
        <v>19</v>
      </c>
      <c r="L1" s="179" t="str">
        <f>IF(Site!C39="", "Compteur 2",Site!C39)</f>
        <v>Chaleur Générale (factures)</v>
      </c>
    </row>
    <row r="2" spans="1:13" ht="20.25" hidden="1" customHeight="1">
      <c r="A2" s="84" t="s">
        <v>397</v>
      </c>
      <c r="B2" s="85" t="s">
        <v>398</v>
      </c>
      <c r="C2" s="129" t="s">
        <v>399</v>
      </c>
      <c r="D2" s="125" t="s">
        <v>92</v>
      </c>
      <c r="E2" s="30" t="s">
        <v>215</v>
      </c>
      <c r="F2" s="29" t="s">
        <v>400</v>
      </c>
      <c r="G2" s="30" t="s">
        <v>401</v>
      </c>
      <c r="H2" s="30" t="s">
        <v>402</v>
      </c>
      <c r="I2" s="208" t="s">
        <v>403</v>
      </c>
      <c r="J2" s="489" t="s">
        <v>885</v>
      </c>
      <c r="K2" s="172"/>
      <c r="L2" s="179"/>
      <c r="M2" s="180"/>
    </row>
    <row r="3" spans="1:13" hidden="1">
      <c r="A3" s="86" t="s">
        <v>236</v>
      </c>
      <c r="B3" s="86">
        <f>A4-1</f>
        <v>40908</v>
      </c>
      <c r="C3" s="127"/>
      <c r="D3" s="126"/>
      <c r="E3" s="73"/>
      <c r="F3" s="186" t="str">
        <f>IF(Tab_Compteur_2[[#This Row],[Fin de période]]&gt;0,IFERROR(B3-A3+1,""),"")</f>
        <v/>
      </c>
      <c r="G3">
        <f>IFERROR(IF(Str_TypeDonneesCpt=Cpt_Index,Tab_Compteur_1[[#This Row],[Index]],Tab_Compteur_1[[#This Row],[Quantité]])/Tab_Compteur_1[[#This Row],[Delta Jour]],0)</f>
        <v>0</v>
      </c>
      <c r="H3" s="48"/>
      <c r="I3" s="208">
        <f t="shared" ref="I3:I66" si="0">G3</f>
        <v>0</v>
      </c>
      <c r="J3" s="488"/>
      <c r="K3" s="73"/>
      <c r="L3" s="73"/>
      <c r="M3" s="73"/>
    </row>
    <row r="4" spans="1:13">
      <c r="A4" s="3">
        <f>Site!I39</f>
        <v>40909</v>
      </c>
      <c r="C4" s="192"/>
      <c r="D4" s="195"/>
      <c r="E4" s="196"/>
      <c r="F4" s="186" t="str">
        <f>IF(Tab_Compteur_2[[#This Row],[Fin de période]]&gt;0,IFERROR(B4-A4+1,""),"")</f>
        <v/>
      </c>
      <c r="G4" s="217" t="str">
        <f>IF(IFERROR(IF(Str_TypeDonneesCpt2=Cpt_Index,Tab_Compteur_2[[#This Row],[Index]]-L4,Tab_Compteur_2[[#This Row],[Quantité]])/Tab_Compteur_2[[#This Row],[Delta Jour]],"")&lt;0,"",IFERROR(IF(Str_TypeDonneesCpt2=Cpt_Index,Tab_Compteur_2[[#This Row],[Index]]-L4,Tab_Compteur_2[[#This Row],[Quantité]])/Tab_Compteur_2[[#This Row],[Delta Jour]],""))</f>
        <v/>
      </c>
      <c r="H4" s="186" t="str">
        <f>IFERROR(Tab_Compteur_2[[#This Row],[Colonne1]]/Tab_Compteur_2[[#This Row],[Delta Jour]],"")</f>
        <v/>
      </c>
      <c r="I4" s="208" t="str">
        <f t="shared" si="0"/>
        <v/>
      </c>
      <c r="J4" s="501"/>
      <c r="K4" s="216" t="s">
        <v>405</v>
      </c>
      <c r="L4" s="491">
        <v>0</v>
      </c>
    </row>
    <row r="5" spans="1:13">
      <c r="A5" s="3">
        <f>IFERROR(B4+1,0)</f>
        <v>1</v>
      </c>
      <c r="C5" s="192"/>
      <c r="D5" s="195"/>
      <c r="E5" s="196"/>
      <c r="F5" s="186" t="str">
        <f>IF(Tab_Compteur_2[[#This Row],[Fin de période]]&gt;0,IFERROR(B5-A5+1,""),"")</f>
        <v/>
      </c>
      <c r="G5" t="str">
        <f>IF(IFERROR(IF(Str_TypeDonneesCpt2=Cpt_Index,Tab_Compteur_2[[#This Row],[Index]]-E4,Tab_Compteur_2[[#This Row],[Quantité]])/Tab_Compteur_2[[#This Row],[Delta Jour]],"")&lt;0,"",IFERROR(IF(Str_TypeDonneesCpt2=Cpt_Index,Tab_Compteur_2[[#This Row],[Index]]-E4,Tab_Compteur_2[[#This Row],[Quantité]])/Tab_Compteur_2[[#This Row],[Delta Jour]],""))</f>
        <v/>
      </c>
      <c r="H5" s="186" t="str">
        <f>IFERROR(Tab_Compteur_2[[#This Row],[Colonne1]]/Tab_Compteur_2[[#This Row],[Delta Jour]],"")</f>
        <v/>
      </c>
      <c r="I5" s="208" t="str">
        <f t="shared" si="0"/>
        <v/>
      </c>
      <c r="J5" s="501"/>
      <c r="K5" s="73"/>
      <c r="L5" s="73"/>
      <c r="M5" s="73"/>
    </row>
    <row r="6" spans="1:13">
      <c r="A6" s="3">
        <f t="shared" ref="A6:A69" si="1">IFERROR(B5+1,0)</f>
        <v>1</v>
      </c>
      <c r="C6" s="192"/>
      <c r="D6" s="195"/>
      <c r="E6" s="196"/>
      <c r="F6" s="186" t="str">
        <f>IF(Tab_Compteur_2[[#This Row],[Fin de période]]&gt;0,IFERROR(B6-A6+1,""),"")</f>
        <v/>
      </c>
      <c r="G6" t="str">
        <f>IF(IFERROR(IF(Str_TypeDonneesCpt2=Cpt_Index,Tab_Compteur_2[[#This Row],[Index]]-E5,Tab_Compteur_2[[#This Row],[Quantité]])/Tab_Compteur_2[[#This Row],[Delta Jour]],"")&lt;0,"",IFERROR(IF(Str_TypeDonneesCpt2=Cpt_Index,Tab_Compteur_2[[#This Row],[Index]]-E5,Tab_Compteur_2[[#This Row],[Quantité]])/Tab_Compteur_2[[#This Row],[Delta Jour]],""))</f>
        <v/>
      </c>
      <c r="H6" s="186" t="str">
        <f>IFERROR(Tab_Compteur_2[[#This Row],[Colonne1]]/Tab_Compteur_2[[#This Row],[Delta Jour]],"")</f>
        <v/>
      </c>
      <c r="I6" s="208" t="str">
        <f t="shared" si="0"/>
        <v/>
      </c>
      <c r="J6" s="501"/>
      <c r="K6" s="73"/>
      <c r="L6" s="73"/>
      <c r="M6" s="73"/>
    </row>
    <row r="7" spans="1:13">
      <c r="A7" s="3">
        <f t="shared" si="1"/>
        <v>1</v>
      </c>
      <c r="C7" s="192"/>
      <c r="D7" s="195"/>
      <c r="E7" s="196"/>
      <c r="F7" s="186" t="str">
        <f>IF(Tab_Compteur_2[[#This Row],[Fin de période]]&gt;0,IFERROR(B7-A7+1,""),"")</f>
        <v/>
      </c>
      <c r="G7" t="str">
        <f>IF(IFERROR(IF(Str_TypeDonneesCpt2=Cpt_Index,Tab_Compteur_2[[#This Row],[Index]]-E6,Tab_Compteur_2[[#This Row],[Quantité]])/Tab_Compteur_2[[#This Row],[Delta Jour]],"")&lt;0,"",IFERROR(IF(Str_TypeDonneesCpt2=Cpt_Index,Tab_Compteur_2[[#This Row],[Index]]-E6,Tab_Compteur_2[[#This Row],[Quantité]])/Tab_Compteur_2[[#This Row],[Delta Jour]],""))</f>
        <v/>
      </c>
      <c r="H7" s="186" t="str">
        <f>IFERROR(Tab_Compteur_2[[#This Row],[Colonne1]]/Tab_Compteur_2[[#This Row],[Delta Jour]],"")</f>
        <v/>
      </c>
      <c r="I7" s="208" t="str">
        <f t="shared" si="0"/>
        <v/>
      </c>
      <c r="J7" s="501"/>
      <c r="K7" s="73"/>
      <c r="L7" s="73"/>
      <c r="M7" s="73"/>
    </row>
    <row r="8" spans="1:13">
      <c r="A8" s="3">
        <f t="shared" si="1"/>
        <v>1</v>
      </c>
      <c r="C8" s="192"/>
      <c r="D8" s="195"/>
      <c r="E8" s="196"/>
      <c r="F8" s="186" t="str">
        <f>IF(Tab_Compteur_2[[#This Row],[Fin de période]]&gt;0,IFERROR(B8-A8+1,""),"")</f>
        <v/>
      </c>
      <c r="G8" t="str">
        <f>IF(IFERROR(IF(Str_TypeDonneesCpt2=Cpt_Index,Tab_Compteur_2[[#This Row],[Index]]-E7,Tab_Compteur_2[[#This Row],[Quantité]])/Tab_Compteur_2[[#This Row],[Delta Jour]],"")&lt;0,"",IFERROR(IF(Str_TypeDonneesCpt2=Cpt_Index,Tab_Compteur_2[[#This Row],[Index]]-E7,Tab_Compteur_2[[#This Row],[Quantité]])/Tab_Compteur_2[[#This Row],[Delta Jour]],""))</f>
        <v/>
      </c>
      <c r="H8" s="186" t="str">
        <f>IFERROR(Tab_Compteur_2[[#This Row],[Colonne1]]/Tab_Compteur_2[[#This Row],[Delta Jour]],"")</f>
        <v/>
      </c>
      <c r="I8" s="208" t="str">
        <f t="shared" si="0"/>
        <v/>
      </c>
      <c r="J8" s="501"/>
      <c r="K8" s="73"/>
      <c r="L8" s="73"/>
      <c r="M8" s="73"/>
    </row>
    <row r="9" spans="1:13">
      <c r="A9" s="3">
        <f t="shared" si="1"/>
        <v>1</v>
      </c>
      <c r="C9" s="192"/>
      <c r="D9" s="195"/>
      <c r="E9" s="196"/>
      <c r="F9" s="186" t="str">
        <f>IF(Tab_Compteur_2[[#This Row],[Fin de période]]&gt;0,IFERROR(B9-A9+1,""),"")</f>
        <v/>
      </c>
      <c r="G9" t="str">
        <f>IF(IFERROR(IF(Str_TypeDonneesCpt2=Cpt_Index,Tab_Compteur_2[[#This Row],[Index]]-E8,Tab_Compteur_2[[#This Row],[Quantité]])/Tab_Compteur_2[[#This Row],[Delta Jour]],"")&lt;0,"",IFERROR(IF(Str_TypeDonneesCpt2=Cpt_Index,Tab_Compteur_2[[#This Row],[Index]]-E8,Tab_Compteur_2[[#This Row],[Quantité]])/Tab_Compteur_2[[#This Row],[Delta Jour]],""))</f>
        <v/>
      </c>
      <c r="H9" s="186" t="str">
        <f>IFERROR(Tab_Compteur_2[[#This Row],[Colonne1]]/Tab_Compteur_2[[#This Row],[Delta Jour]],"")</f>
        <v/>
      </c>
      <c r="I9" s="208" t="str">
        <f t="shared" si="0"/>
        <v/>
      </c>
      <c r="J9" s="501"/>
      <c r="K9" s="73"/>
      <c r="L9" s="73"/>
      <c r="M9" s="73"/>
    </row>
    <row r="10" spans="1:13">
      <c r="A10" s="3">
        <f t="shared" si="1"/>
        <v>1</v>
      </c>
      <c r="C10" s="192"/>
      <c r="D10" s="195"/>
      <c r="E10" s="196"/>
      <c r="F10" s="186" t="str">
        <f>IF(Tab_Compteur_2[[#This Row],[Fin de période]]&gt;0,IFERROR(B10-A10+1,""),"")</f>
        <v/>
      </c>
      <c r="G10" t="str">
        <f>IF(IFERROR(IF(Str_TypeDonneesCpt2=Cpt_Index,Tab_Compteur_2[[#This Row],[Index]]-E9,Tab_Compteur_2[[#This Row],[Quantité]])/Tab_Compteur_2[[#This Row],[Delta Jour]],"")&lt;0,"",IFERROR(IF(Str_TypeDonneesCpt2=Cpt_Index,Tab_Compteur_2[[#This Row],[Index]]-E9,Tab_Compteur_2[[#This Row],[Quantité]])/Tab_Compteur_2[[#This Row],[Delta Jour]],""))</f>
        <v/>
      </c>
      <c r="H10" s="186" t="str">
        <f>IFERROR(Tab_Compteur_2[[#This Row],[Colonne1]]/Tab_Compteur_2[[#This Row],[Delta Jour]],"")</f>
        <v/>
      </c>
      <c r="I10" s="208" t="str">
        <f t="shared" si="0"/>
        <v/>
      </c>
      <c r="J10" s="502"/>
      <c r="K10" s="173"/>
      <c r="L10" s="173"/>
      <c r="M10" s="173"/>
    </row>
    <row r="11" spans="1:13" ht="15" customHeight="1">
      <c r="A11" s="3">
        <f t="shared" si="1"/>
        <v>1</v>
      </c>
      <c r="C11" s="192"/>
      <c r="D11" s="195"/>
      <c r="E11" s="196"/>
      <c r="F11" s="186" t="str">
        <f>IF(Tab_Compteur_2[[#This Row],[Fin de période]]&gt;0,IFERROR(B11-A11+1,""),"")</f>
        <v/>
      </c>
      <c r="G11" t="str">
        <f>IF(IFERROR(IF(Str_TypeDonneesCpt2=Cpt_Index,Tab_Compteur_2[[#This Row],[Index]]-E10,Tab_Compteur_2[[#This Row],[Quantité]])/Tab_Compteur_2[[#This Row],[Delta Jour]],"")&lt;0,"",IFERROR(IF(Str_TypeDonneesCpt2=Cpt_Index,Tab_Compteur_2[[#This Row],[Index]]-E10,Tab_Compteur_2[[#This Row],[Quantité]])/Tab_Compteur_2[[#This Row],[Delta Jour]],""))</f>
        <v/>
      </c>
      <c r="H11" s="186" t="str">
        <f>IFERROR(Tab_Compteur_2[[#This Row],[Colonne1]]/Tab_Compteur_2[[#This Row],[Delta Jour]],"")</f>
        <v/>
      </c>
      <c r="I11" s="208" t="str">
        <f t="shared" si="0"/>
        <v/>
      </c>
      <c r="J11" s="503"/>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3">
        <f t="shared" si="1"/>
        <v>1</v>
      </c>
      <c r="C12" s="192"/>
      <c r="D12" s="195"/>
      <c r="E12" s="198"/>
      <c r="F12" s="186" t="str">
        <f>IF(Tab_Compteur_2[[#This Row],[Fin de période]]&gt;0,IFERROR(B12-A12+1,""),"")</f>
        <v/>
      </c>
      <c r="G12" t="str">
        <f>IF(IFERROR(IF(Str_TypeDonneesCpt2=Cpt_Index,Tab_Compteur_2[[#This Row],[Index]]-E11,Tab_Compteur_2[[#This Row],[Quantité]])/Tab_Compteur_2[[#This Row],[Delta Jour]],"")&lt;0,"",IFERROR(IF(Str_TypeDonneesCpt2=Cpt_Index,Tab_Compteur_2[[#This Row],[Index]]-E11,Tab_Compteur_2[[#This Row],[Quantité]])/Tab_Compteur_2[[#This Row],[Delta Jour]],""))</f>
        <v/>
      </c>
      <c r="H12" s="186" t="str">
        <f>IFERROR(Tab_Compteur_2[[#This Row],[Colonne1]]/Tab_Compteur_2[[#This Row],[Delta Jour]],"")</f>
        <v/>
      </c>
      <c r="I12" s="208" t="str">
        <f t="shared" si="0"/>
        <v/>
      </c>
      <c r="J12" s="503"/>
      <c r="K12" s="599"/>
      <c r="L12" s="599"/>
      <c r="M12" s="599"/>
    </row>
    <row r="13" spans="1:13">
      <c r="A13" s="3">
        <f t="shared" si="1"/>
        <v>1</v>
      </c>
      <c r="C13" s="192"/>
      <c r="D13" s="195"/>
      <c r="E13" s="198"/>
      <c r="F13" s="186" t="str">
        <f>IF(Tab_Compteur_2[[#This Row],[Fin de période]]&gt;0,IFERROR(B13-A13+1,""),"")</f>
        <v/>
      </c>
      <c r="G13" t="str">
        <f>IF(IFERROR(IF(Str_TypeDonneesCpt2=Cpt_Index,Tab_Compteur_2[[#This Row],[Index]]-E12,Tab_Compteur_2[[#This Row],[Quantité]])/Tab_Compteur_2[[#This Row],[Delta Jour]],"")&lt;0,"",IFERROR(IF(Str_TypeDonneesCpt2=Cpt_Index,Tab_Compteur_2[[#This Row],[Index]]-E12,Tab_Compteur_2[[#This Row],[Quantité]])/Tab_Compteur_2[[#This Row],[Delta Jour]],""))</f>
        <v/>
      </c>
      <c r="H13" s="186" t="str">
        <f>IFERROR(Tab_Compteur_2[[#This Row],[Colonne1]]/Tab_Compteur_2[[#This Row],[Delta Jour]],"")</f>
        <v/>
      </c>
      <c r="I13" s="208" t="str">
        <f t="shared" si="0"/>
        <v/>
      </c>
      <c r="J13" s="503"/>
      <c r="K13" s="599"/>
      <c r="L13" s="599"/>
      <c r="M13" s="599"/>
    </row>
    <row r="14" spans="1:13">
      <c r="A14" s="3">
        <f t="shared" si="1"/>
        <v>1</v>
      </c>
      <c r="C14" s="192"/>
      <c r="D14" s="195"/>
      <c r="E14" s="198"/>
      <c r="F14" s="186" t="str">
        <f>IF(Tab_Compteur_2[[#This Row],[Fin de période]]&gt;0,IFERROR(B14-A14+1,""),"")</f>
        <v/>
      </c>
      <c r="G14" t="str">
        <f>IF(IFERROR(IF(Str_TypeDonneesCpt2=Cpt_Index,Tab_Compteur_2[[#This Row],[Index]]-E13,Tab_Compteur_2[[#This Row],[Quantité]])/Tab_Compteur_2[[#This Row],[Delta Jour]],"")&lt;0,"",IFERROR(IF(Str_TypeDonneesCpt2=Cpt_Index,Tab_Compteur_2[[#This Row],[Index]]-E13,Tab_Compteur_2[[#This Row],[Quantité]])/Tab_Compteur_2[[#This Row],[Delta Jour]],""))</f>
        <v/>
      </c>
      <c r="H14" s="186" t="str">
        <f>IFERROR(Tab_Compteur_2[[#This Row],[Colonne1]]/Tab_Compteur_2[[#This Row],[Delta Jour]],"")</f>
        <v/>
      </c>
      <c r="I14" s="208" t="str">
        <f t="shared" si="0"/>
        <v/>
      </c>
      <c r="J14" s="503"/>
      <c r="K14" s="599"/>
      <c r="L14" s="599"/>
      <c r="M14" s="599"/>
    </row>
    <row r="15" spans="1:13">
      <c r="A15" s="3">
        <f t="shared" si="1"/>
        <v>1</v>
      </c>
      <c r="C15" s="186"/>
      <c r="D15" s="195"/>
      <c r="E15" s="198"/>
      <c r="F15" s="186" t="str">
        <f>IF(Tab_Compteur_2[[#This Row],[Fin de période]]&gt;0,IFERROR(B15-A15+1,""),"")</f>
        <v/>
      </c>
      <c r="G15" t="str">
        <f>IF(IFERROR(IF(Str_TypeDonneesCpt2=Cpt_Index,Tab_Compteur_2[[#This Row],[Index]]-E14,Tab_Compteur_2[[#This Row],[Quantité]])/Tab_Compteur_2[[#This Row],[Delta Jour]],"")&lt;0,"",IFERROR(IF(Str_TypeDonneesCpt2=Cpt_Index,Tab_Compteur_2[[#This Row],[Index]]-E14,Tab_Compteur_2[[#This Row],[Quantité]])/Tab_Compteur_2[[#This Row],[Delta Jour]],""))</f>
        <v/>
      </c>
      <c r="H15" s="186" t="str">
        <f>IFERROR(Tab_Compteur_2[[#This Row],[Colonne1]]/Tab_Compteur_2[[#This Row],[Delta Jour]],"")</f>
        <v/>
      </c>
      <c r="I15" s="208" t="str">
        <f t="shared" si="0"/>
        <v/>
      </c>
      <c r="J15" s="503"/>
      <c r="K15" s="599"/>
      <c r="L15" s="599"/>
      <c r="M15" s="599"/>
    </row>
    <row r="16" spans="1:13">
      <c r="A16" s="3">
        <f t="shared" si="1"/>
        <v>1</v>
      </c>
      <c r="C16" s="186"/>
      <c r="D16" s="195"/>
      <c r="E16" s="198"/>
      <c r="F16" s="186" t="str">
        <f>IF(Tab_Compteur_2[[#This Row],[Fin de période]]&gt;0,IFERROR(B16-A16+1,""),"")</f>
        <v/>
      </c>
      <c r="G16" t="str">
        <f>IF(IFERROR(IF(Str_TypeDonneesCpt2=Cpt_Index,Tab_Compteur_2[[#This Row],[Index]]-E15,Tab_Compteur_2[[#This Row],[Quantité]])/Tab_Compteur_2[[#This Row],[Delta Jour]],"")&lt;0,"",IFERROR(IF(Str_TypeDonneesCpt2=Cpt_Index,Tab_Compteur_2[[#This Row],[Index]]-E15,Tab_Compteur_2[[#This Row],[Quantité]])/Tab_Compteur_2[[#This Row],[Delta Jour]],""))</f>
        <v/>
      </c>
      <c r="H16" s="186" t="str">
        <f>IFERROR(Tab_Compteur_2[[#This Row],[Colonne1]]/Tab_Compteur_2[[#This Row],[Delta Jour]],"")</f>
        <v/>
      </c>
      <c r="I16" s="208" t="str">
        <f t="shared" si="0"/>
        <v/>
      </c>
      <c r="J16" s="503"/>
      <c r="K16" s="599"/>
      <c r="L16" s="599"/>
      <c r="M16" s="599"/>
    </row>
    <row r="17" spans="1:13">
      <c r="A17" s="3">
        <f t="shared" si="1"/>
        <v>1</v>
      </c>
      <c r="C17" s="186"/>
      <c r="D17" s="195"/>
      <c r="E17" s="198"/>
      <c r="F17" s="186" t="str">
        <f>IF(Tab_Compteur_2[[#This Row],[Fin de période]]&gt;0,IFERROR(B17-A17+1,""),"")</f>
        <v/>
      </c>
      <c r="G17" t="str">
        <f>IF(IFERROR(IF(Str_TypeDonneesCpt2=Cpt_Index,Tab_Compteur_2[[#This Row],[Index]]-E16,Tab_Compteur_2[[#This Row],[Quantité]])/Tab_Compteur_2[[#This Row],[Delta Jour]],"")&lt;0,"",IFERROR(IF(Str_TypeDonneesCpt2=Cpt_Index,Tab_Compteur_2[[#This Row],[Index]]-E16,Tab_Compteur_2[[#This Row],[Quantité]])/Tab_Compteur_2[[#This Row],[Delta Jour]],""))</f>
        <v/>
      </c>
      <c r="H17" s="186" t="str">
        <f>IFERROR(Tab_Compteur_2[[#This Row],[Colonne1]]/Tab_Compteur_2[[#This Row],[Delta Jour]],"")</f>
        <v/>
      </c>
      <c r="I17" s="208" t="str">
        <f t="shared" si="0"/>
        <v/>
      </c>
      <c r="J17" s="503"/>
      <c r="K17" s="599"/>
      <c r="L17" s="599"/>
      <c r="M17" s="599"/>
    </row>
    <row r="18" spans="1:13">
      <c r="A18" s="3">
        <f t="shared" si="1"/>
        <v>1</v>
      </c>
      <c r="C18" s="186"/>
      <c r="D18" s="195"/>
      <c r="E18" s="198"/>
      <c r="F18" s="186" t="str">
        <f>IF(Tab_Compteur_2[[#This Row],[Fin de période]]&gt;0,IFERROR(B18-A18+1,""),"")</f>
        <v/>
      </c>
      <c r="G18" t="str">
        <f>IF(IFERROR(IF(Str_TypeDonneesCpt2=Cpt_Index,Tab_Compteur_2[[#This Row],[Index]]-E17,Tab_Compteur_2[[#This Row],[Quantité]])/Tab_Compteur_2[[#This Row],[Delta Jour]],"")&lt;0,"",IFERROR(IF(Str_TypeDonneesCpt2=Cpt_Index,Tab_Compteur_2[[#This Row],[Index]]-E17,Tab_Compteur_2[[#This Row],[Quantité]])/Tab_Compteur_2[[#This Row],[Delta Jour]],""))</f>
        <v/>
      </c>
      <c r="H18" s="186" t="str">
        <f>IFERROR(Tab_Compteur_2[[#This Row],[Colonne1]]/Tab_Compteur_2[[#This Row],[Delta Jour]],"")</f>
        <v/>
      </c>
      <c r="I18" s="208" t="str">
        <f t="shared" si="0"/>
        <v/>
      </c>
      <c r="J18" s="503"/>
      <c r="K18" s="599"/>
      <c r="L18" s="599"/>
      <c r="M18" s="599"/>
    </row>
    <row r="19" spans="1:13">
      <c r="A19" s="3">
        <f t="shared" si="1"/>
        <v>1</v>
      </c>
      <c r="C19" s="186"/>
      <c r="D19" s="195"/>
      <c r="E19" s="198"/>
      <c r="F19" s="186" t="str">
        <f>IF(Tab_Compteur_2[[#This Row],[Fin de période]]&gt;0,IFERROR(B19-A19+1,""),"")</f>
        <v/>
      </c>
      <c r="G19" t="str">
        <f>IF(IFERROR(IF(Str_TypeDonneesCpt2=Cpt_Index,Tab_Compteur_2[[#This Row],[Index]]-E18,Tab_Compteur_2[[#This Row],[Quantité]])/Tab_Compteur_2[[#This Row],[Delta Jour]],"")&lt;0,"",IFERROR(IF(Str_TypeDonneesCpt2=Cpt_Index,Tab_Compteur_2[[#This Row],[Index]]-E18,Tab_Compteur_2[[#This Row],[Quantité]])/Tab_Compteur_2[[#This Row],[Delta Jour]],""))</f>
        <v/>
      </c>
      <c r="H19" s="186" t="str">
        <f>IFERROR(Tab_Compteur_2[[#This Row],[Colonne1]]/Tab_Compteur_2[[#This Row],[Delta Jour]],"")</f>
        <v/>
      </c>
      <c r="I19" s="208" t="str">
        <f t="shared" si="0"/>
        <v/>
      </c>
      <c r="J19" s="503"/>
      <c r="K19" s="599"/>
      <c r="L19" s="599"/>
      <c r="M19" s="599"/>
    </row>
    <row r="20" spans="1:13">
      <c r="A20" s="3">
        <f t="shared" si="1"/>
        <v>1</v>
      </c>
      <c r="C20" s="186"/>
      <c r="D20" s="195"/>
      <c r="E20" s="198"/>
      <c r="F20" s="186" t="str">
        <f>IF(Tab_Compteur_2[[#This Row],[Fin de période]]&gt;0,IFERROR(B20-A20+1,""),"")</f>
        <v/>
      </c>
      <c r="G20" t="str">
        <f>IF(IFERROR(IF(Str_TypeDonneesCpt2=Cpt_Index,Tab_Compteur_2[[#This Row],[Index]]-E19,Tab_Compteur_2[[#This Row],[Quantité]])/Tab_Compteur_2[[#This Row],[Delta Jour]],"")&lt;0,"",IFERROR(IF(Str_TypeDonneesCpt2=Cpt_Index,Tab_Compteur_2[[#This Row],[Index]]-E19,Tab_Compteur_2[[#This Row],[Quantité]])/Tab_Compteur_2[[#This Row],[Delta Jour]],""))</f>
        <v/>
      </c>
      <c r="H20" s="186" t="str">
        <f>IFERROR(Tab_Compteur_2[[#This Row],[Colonne1]]/Tab_Compteur_2[[#This Row],[Delta Jour]],"")</f>
        <v/>
      </c>
      <c r="I20" s="208" t="str">
        <f t="shared" si="0"/>
        <v/>
      </c>
      <c r="J20" s="503"/>
      <c r="K20" s="599"/>
      <c r="L20" s="599"/>
      <c r="M20" s="599"/>
    </row>
    <row r="21" spans="1:13">
      <c r="A21" s="3">
        <f t="shared" si="1"/>
        <v>1</v>
      </c>
      <c r="C21" s="186"/>
      <c r="D21" s="195"/>
      <c r="E21" s="198"/>
      <c r="F21" s="186" t="str">
        <f>IF(Tab_Compteur_2[[#This Row],[Fin de période]]&gt;0,IFERROR(B21-A21+1,""),"")</f>
        <v/>
      </c>
      <c r="G21" t="str">
        <f>IF(IFERROR(IF(Str_TypeDonneesCpt2=Cpt_Index,Tab_Compteur_2[[#This Row],[Index]]-E20,Tab_Compteur_2[[#This Row],[Quantité]])/Tab_Compteur_2[[#This Row],[Delta Jour]],"")&lt;0,"",IFERROR(IF(Str_TypeDonneesCpt2=Cpt_Index,Tab_Compteur_2[[#This Row],[Index]]-E20,Tab_Compteur_2[[#This Row],[Quantité]])/Tab_Compteur_2[[#This Row],[Delta Jour]],""))</f>
        <v/>
      </c>
      <c r="H21" s="186" t="str">
        <f>IFERROR(Tab_Compteur_2[[#This Row],[Colonne1]]/Tab_Compteur_2[[#This Row],[Delta Jour]],"")</f>
        <v/>
      </c>
      <c r="I21" s="208" t="str">
        <f t="shared" si="0"/>
        <v/>
      </c>
      <c r="J21" s="503"/>
      <c r="K21" s="599"/>
      <c r="L21" s="599"/>
      <c r="M21" s="599"/>
    </row>
    <row r="22" spans="1:13">
      <c r="A22" s="3">
        <f t="shared" si="1"/>
        <v>1</v>
      </c>
      <c r="C22" s="186"/>
      <c r="D22" s="195"/>
      <c r="E22" s="196"/>
      <c r="F22" s="186" t="str">
        <f>IF(Tab_Compteur_2[[#This Row],[Fin de période]]&gt;0,IFERROR(B22-A22+1,""),"")</f>
        <v/>
      </c>
      <c r="G22" t="str">
        <f>IF(IFERROR(IF(Str_TypeDonneesCpt2=Cpt_Index,Tab_Compteur_2[[#This Row],[Index]]-E21,Tab_Compteur_2[[#This Row],[Quantité]])/Tab_Compteur_2[[#This Row],[Delta Jour]],"")&lt;0,"",IFERROR(IF(Str_TypeDonneesCpt2=Cpt_Index,Tab_Compteur_2[[#This Row],[Index]]-E21,Tab_Compteur_2[[#This Row],[Quantité]])/Tab_Compteur_2[[#This Row],[Delta Jour]],""))</f>
        <v/>
      </c>
      <c r="H22" s="186" t="str">
        <f>IFERROR(Tab_Compteur_2[[#This Row],[Colonne1]]/Tab_Compteur_2[[#This Row],[Delta Jour]],"")</f>
        <v/>
      </c>
      <c r="I22" s="208" t="str">
        <f t="shared" si="0"/>
        <v/>
      </c>
      <c r="J22" s="501"/>
      <c r="K22" s="599"/>
      <c r="L22" s="599"/>
      <c r="M22" s="599"/>
    </row>
    <row r="23" spans="1:13">
      <c r="A23" s="3">
        <f t="shared" si="1"/>
        <v>1</v>
      </c>
      <c r="C23" s="186"/>
      <c r="D23" s="195"/>
      <c r="E23" s="196"/>
      <c r="F23" s="186" t="str">
        <f>IF(Tab_Compteur_2[[#This Row],[Fin de période]]&gt;0,IFERROR(B23-A23+1,""),"")</f>
        <v/>
      </c>
      <c r="G23" t="str">
        <f>IF(IFERROR(IF(Str_TypeDonneesCpt2=Cpt_Index,Tab_Compteur_2[[#This Row],[Index]]-E22,Tab_Compteur_2[[#This Row],[Quantité]])/Tab_Compteur_2[[#This Row],[Delta Jour]],"")&lt;0,"",IFERROR(IF(Str_TypeDonneesCpt2=Cpt_Index,Tab_Compteur_2[[#This Row],[Index]]-E22,Tab_Compteur_2[[#This Row],[Quantité]])/Tab_Compteur_2[[#This Row],[Delta Jour]],""))</f>
        <v/>
      </c>
      <c r="H23" s="186" t="str">
        <f>IFERROR(Tab_Compteur_2[[#This Row],[Colonne1]]/Tab_Compteur_2[[#This Row],[Delta Jour]],"")</f>
        <v/>
      </c>
      <c r="I23" s="208" t="str">
        <f t="shared" si="0"/>
        <v/>
      </c>
      <c r="J23" s="501"/>
      <c r="K23" s="599"/>
      <c r="L23" s="599"/>
      <c r="M23" s="599"/>
    </row>
    <row r="24" spans="1:13">
      <c r="A24" s="3">
        <f t="shared" si="1"/>
        <v>1</v>
      </c>
      <c r="C24" s="186"/>
      <c r="D24" s="195"/>
      <c r="E24" s="196"/>
      <c r="F24" s="186" t="str">
        <f>IF(Tab_Compteur_2[[#This Row],[Fin de période]]&gt;0,IFERROR(B24-A24+1,""),"")</f>
        <v/>
      </c>
      <c r="G24" t="str">
        <f>IF(IFERROR(IF(Str_TypeDonneesCpt2=Cpt_Index,Tab_Compteur_2[[#This Row],[Index]]-E23,Tab_Compteur_2[[#This Row],[Quantité]])/Tab_Compteur_2[[#This Row],[Delta Jour]],"")&lt;0,"",IFERROR(IF(Str_TypeDonneesCpt2=Cpt_Index,Tab_Compteur_2[[#This Row],[Index]]-E23,Tab_Compteur_2[[#This Row],[Quantité]])/Tab_Compteur_2[[#This Row],[Delta Jour]],""))</f>
        <v/>
      </c>
      <c r="H24" s="186" t="str">
        <f>IFERROR(Tab_Compteur_2[[#This Row],[Colonne1]]/Tab_Compteur_2[[#This Row],[Delta Jour]],"")</f>
        <v/>
      </c>
      <c r="I24" s="208" t="str">
        <f t="shared" si="0"/>
        <v/>
      </c>
      <c r="J24" s="501"/>
      <c r="K24" s="599"/>
      <c r="L24" s="599"/>
      <c r="M24" s="599"/>
    </row>
    <row r="25" spans="1:13">
      <c r="A25" s="3">
        <f t="shared" si="1"/>
        <v>1</v>
      </c>
      <c r="C25" s="186"/>
      <c r="D25" s="195"/>
      <c r="E25" s="196"/>
      <c r="F25" s="186" t="str">
        <f>IF(Tab_Compteur_2[[#This Row],[Fin de période]]&gt;0,IFERROR(B25-A25+1,""),"")</f>
        <v/>
      </c>
      <c r="G25" t="str">
        <f>IF(IFERROR(IF(Str_TypeDonneesCpt2=Cpt_Index,Tab_Compteur_2[[#This Row],[Index]]-E24,Tab_Compteur_2[[#This Row],[Quantité]])/Tab_Compteur_2[[#This Row],[Delta Jour]],"")&lt;0,"",IFERROR(IF(Str_TypeDonneesCpt2=Cpt_Index,Tab_Compteur_2[[#This Row],[Index]]-E24,Tab_Compteur_2[[#This Row],[Quantité]])/Tab_Compteur_2[[#This Row],[Delta Jour]],""))</f>
        <v/>
      </c>
      <c r="H25" s="186" t="str">
        <f>IFERROR(Tab_Compteur_2[[#This Row],[Colonne1]]/Tab_Compteur_2[[#This Row],[Delta Jour]],"")</f>
        <v/>
      </c>
      <c r="I25" s="208" t="str">
        <f t="shared" si="0"/>
        <v/>
      </c>
      <c r="J25" s="501"/>
      <c r="K25" s="599"/>
      <c r="L25" s="599"/>
      <c r="M25" s="599"/>
    </row>
    <row r="26" spans="1:13">
      <c r="A26" s="3">
        <f t="shared" si="1"/>
        <v>1</v>
      </c>
      <c r="C26" s="186"/>
      <c r="D26" s="195"/>
      <c r="E26" s="196"/>
      <c r="F26" s="186" t="str">
        <f>IF(Tab_Compteur_2[[#This Row],[Fin de période]]&gt;0,IFERROR(B26-A26+1,""),"")</f>
        <v/>
      </c>
      <c r="G26" t="str">
        <f>IF(IFERROR(IF(Str_TypeDonneesCpt2=Cpt_Index,Tab_Compteur_2[[#This Row],[Index]]-E25,Tab_Compteur_2[[#This Row],[Quantité]])/Tab_Compteur_2[[#This Row],[Delta Jour]],"")&lt;0,"",IFERROR(IF(Str_TypeDonneesCpt2=Cpt_Index,Tab_Compteur_2[[#This Row],[Index]]-E25,Tab_Compteur_2[[#This Row],[Quantité]])/Tab_Compteur_2[[#This Row],[Delta Jour]],""))</f>
        <v/>
      </c>
      <c r="H26" s="186" t="str">
        <f>IFERROR(Tab_Compteur_2[[#This Row],[Colonne1]]/Tab_Compteur_2[[#This Row],[Delta Jour]],"")</f>
        <v/>
      </c>
      <c r="I26" s="208" t="str">
        <f t="shared" si="0"/>
        <v/>
      </c>
      <c r="J26" s="501"/>
      <c r="K26" s="599"/>
      <c r="L26" s="599"/>
      <c r="M26" s="599"/>
    </row>
    <row r="27" spans="1:13">
      <c r="A27" s="3">
        <f t="shared" si="1"/>
        <v>1</v>
      </c>
      <c r="C27" s="186"/>
      <c r="D27" s="195"/>
      <c r="E27" s="196"/>
      <c r="F27" s="186" t="str">
        <f>IF(Tab_Compteur_2[[#This Row],[Fin de période]]&gt;0,IFERROR(B27-A27+1,""),"")</f>
        <v/>
      </c>
      <c r="G27" t="str">
        <f>IF(IFERROR(IF(Str_TypeDonneesCpt2=Cpt_Index,Tab_Compteur_2[[#This Row],[Index]]-E26,Tab_Compteur_2[[#This Row],[Quantité]])/Tab_Compteur_2[[#This Row],[Delta Jour]],"")&lt;0,"",IFERROR(IF(Str_TypeDonneesCpt2=Cpt_Index,Tab_Compteur_2[[#This Row],[Index]]-E26,Tab_Compteur_2[[#This Row],[Quantité]])/Tab_Compteur_2[[#This Row],[Delta Jour]],""))</f>
        <v/>
      </c>
      <c r="H27" s="186" t="str">
        <f>IFERROR(Tab_Compteur_2[[#This Row],[Colonne1]]/Tab_Compteur_2[[#This Row],[Delta Jour]],"")</f>
        <v/>
      </c>
      <c r="I27" s="208" t="str">
        <f t="shared" si="0"/>
        <v/>
      </c>
      <c r="J27" s="501"/>
      <c r="K27" s="599"/>
      <c r="L27" s="599"/>
      <c r="M27" s="599"/>
    </row>
    <row r="28" spans="1:13">
      <c r="A28" s="3">
        <f t="shared" si="1"/>
        <v>1</v>
      </c>
      <c r="C28" s="186"/>
      <c r="D28" s="195"/>
      <c r="E28" s="196"/>
      <c r="F28" s="186" t="str">
        <f>IF(Tab_Compteur_2[[#This Row],[Fin de période]]&gt;0,IFERROR(B28-A28+1,""),"")</f>
        <v/>
      </c>
      <c r="G28" t="str">
        <f>IF(IFERROR(IF(Str_TypeDonneesCpt2=Cpt_Index,Tab_Compteur_2[[#This Row],[Index]]-E27,Tab_Compteur_2[[#This Row],[Quantité]])/Tab_Compteur_2[[#This Row],[Delta Jour]],"")&lt;0,"",IFERROR(IF(Str_TypeDonneesCpt2=Cpt_Index,Tab_Compteur_2[[#This Row],[Index]]-E27,Tab_Compteur_2[[#This Row],[Quantité]])/Tab_Compteur_2[[#This Row],[Delta Jour]],""))</f>
        <v/>
      </c>
      <c r="H28" s="186" t="str">
        <f>IFERROR(Tab_Compteur_2[[#This Row],[Colonne1]]/Tab_Compteur_2[[#This Row],[Delta Jour]],"")</f>
        <v/>
      </c>
      <c r="I28" s="208" t="str">
        <f t="shared" si="0"/>
        <v/>
      </c>
      <c r="J28" s="501"/>
      <c r="K28" s="599"/>
      <c r="L28" s="599"/>
      <c r="M28" s="599"/>
    </row>
    <row r="29" spans="1:13">
      <c r="A29" s="3">
        <f t="shared" si="1"/>
        <v>1</v>
      </c>
      <c r="C29" s="186"/>
      <c r="D29" s="195"/>
      <c r="E29" s="196"/>
      <c r="F29" s="186" t="str">
        <f>IF(Tab_Compteur_2[[#This Row],[Fin de période]]&gt;0,IFERROR(B29-A29+1,""),"")</f>
        <v/>
      </c>
      <c r="G29" t="str">
        <f>IF(IFERROR(IF(Str_TypeDonneesCpt2=Cpt_Index,Tab_Compteur_2[[#This Row],[Index]]-E28,Tab_Compteur_2[[#This Row],[Quantité]])/Tab_Compteur_2[[#This Row],[Delta Jour]],"")&lt;0,"",IFERROR(IF(Str_TypeDonneesCpt2=Cpt_Index,Tab_Compteur_2[[#This Row],[Index]]-E28,Tab_Compteur_2[[#This Row],[Quantité]])/Tab_Compteur_2[[#This Row],[Delta Jour]],""))</f>
        <v/>
      </c>
      <c r="H29" s="186" t="str">
        <f>IFERROR(Tab_Compteur_2[[#This Row],[Colonne1]]/Tab_Compteur_2[[#This Row],[Delta Jour]],"")</f>
        <v/>
      </c>
      <c r="I29" s="208" t="str">
        <f t="shared" si="0"/>
        <v/>
      </c>
      <c r="J29" s="501"/>
      <c r="K29" s="599"/>
      <c r="L29" s="599"/>
      <c r="M29" s="599"/>
    </row>
    <row r="30" spans="1:13">
      <c r="A30" s="3">
        <f t="shared" si="1"/>
        <v>1</v>
      </c>
      <c r="C30" s="186"/>
      <c r="D30" s="195"/>
      <c r="E30" s="196"/>
      <c r="F30" s="186" t="str">
        <f>IF(Tab_Compteur_2[[#This Row],[Fin de période]]&gt;0,IFERROR(B30-A30+1,""),"")</f>
        <v/>
      </c>
      <c r="G30" t="str">
        <f>IF(IFERROR(IF(Str_TypeDonneesCpt2=Cpt_Index,Tab_Compteur_2[[#This Row],[Index]]-E29,Tab_Compteur_2[[#This Row],[Quantité]])/Tab_Compteur_2[[#This Row],[Delta Jour]],"")&lt;0,"",IFERROR(IF(Str_TypeDonneesCpt2=Cpt_Index,Tab_Compteur_2[[#This Row],[Index]]-E29,Tab_Compteur_2[[#This Row],[Quantité]])/Tab_Compteur_2[[#This Row],[Delta Jour]],""))</f>
        <v/>
      </c>
      <c r="H30" s="186" t="str">
        <f>IFERROR(Tab_Compteur_2[[#This Row],[Colonne1]]/Tab_Compteur_2[[#This Row],[Delta Jour]],"")</f>
        <v/>
      </c>
      <c r="I30" s="208" t="str">
        <f t="shared" si="0"/>
        <v/>
      </c>
      <c r="J30" s="501"/>
      <c r="K30" s="599"/>
      <c r="L30" s="599"/>
      <c r="M30" s="599"/>
    </row>
    <row r="31" spans="1:13">
      <c r="A31" s="3">
        <f t="shared" si="1"/>
        <v>1</v>
      </c>
      <c r="C31" s="186"/>
      <c r="D31" s="195"/>
      <c r="E31" s="196"/>
      <c r="F31" s="186" t="str">
        <f>IF(Tab_Compteur_2[[#This Row],[Fin de période]]&gt;0,IFERROR(B31-A31+1,""),"")</f>
        <v/>
      </c>
      <c r="G31" t="str">
        <f>IF(IFERROR(IF(Str_TypeDonneesCpt2=Cpt_Index,Tab_Compteur_2[[#This Row],[Index]]-E30,Tab_Compteur_2[[#This Row],[Quantité]])/Tab_Compteur_2[[#This Row],[Delta Jour]],"")&lt;0,"",IFERROR(IF(Str_TypeDonneesCpt2=Cpt_Index,Tab_Compteur_2[[#This Row],[Index]]-E30,Tab_Compteur_2[[#This Row],[Quantité]])/Tab_Compteur_2[[#This Row],[Delta Jour]],""))</f>
        <v/>
      </c>
      <c r="H31" s="186" t="str">
        <f>IFERROR(Tab_Compteur_2[[#This Row],[Colonne1]]/Tab_Compteur_2[[#This Row],[Delta Jour]],"")</f>
        <v/>
      </c>
      <c r="I31" s="208" t="str">
        <f t="shared" si="0"/>
        <v/>
      </c>
      <c r="J31" s="501"/>
      <c r="K31" s="599"/>
      <c r="L31" s="599"/>
      <c r="M31" s="599"/>
    </row>
    <row r="32" spans="1:13">
      <c r="A32" s="3">
        <f t="shared" si="1"/>
        <v>1</v>
      </c>
      <c r="C32" s="186"/>
      <c r="D32" s="195"/>
      <c r="E32" s="196"/>
      <c r="F32" s="186" t="str">
        <f>IF(Tab_Compteur_2[[#This Row],[Fin de période]]&gt;0,IFERROR(B32-A32+1,""),"")</f>
        <v/>
      </c>
      <c r="G32" t="str">
        <f>IF(IFERROR(IF(Str_TypeDonneesCpt2=Cpt_Index,Tab_Compteur_2[[#This Row],[Index]]-E31,Tab_Compteur_2[[#This Row],[Quantité]])/Tab_Compteur_2[[#This Row],[Delta Jour]],"")&lt;0,"",IFERROR(IF(Str_TypeDonneesCpt2=Cpt_Index,Tab_Compteur_2[[#This Row],[Index]]-E31,Tab_Compteur_2[[#This Row],[Quantité]])/Tab_Compteur_2[[#This Row],[Delta Jour]],""))</f>
        <v/>
      </c>
      <c r="H32" s="186" t="str">
        <f>IFERROR(Tab_Compteur_2[[#This Row],[Colonne1]]/Tab_Compteur_2[[#This Row],[Delta Jour]],"")</f>
        <v/>
      </c>
      <c r="I32" s="208" t="str">
        <f t="shared" si="0"/>
        <v/>
      </c>
      <c r="J32" s="501"/>
      <c r="K32" s="599"/>
      <c r="L32" s="599"/>
      <c r="M32" s="599"/>
    </row>
    <row r="33" spans="1:13">
      <c r="A33" s="3">
        <f t="shared" si="1"/>
        <v>1</v>
      </c>
      <c r="C33" s="186"/>
      <c r="D33" s="195"/>
      <c r="E33" s="196"/>
      <c r="F33" s="186" t="str">
        <f>IF(Tab_Compteur_2[[#This Row],[Fin de période]]&gt;0,IFERROR(B33-A33+1,""),"")</f>
        <v/>
      </c>
      <c r="G33" t="str">
        <f>IF(IFERROR(IF(Str_TypeDonneesCpt2=Cpt_Index,Tab_Compteur_2[[#This Row],[Index]]-E32,Tab_Compteur_2[[#This Row],[Quantité]])/Tab_Compteur_2[[#This Row],[Delta Jour]],"")&lt;0,"",IFERROR(IF(Str_TypeDonneesCpt2=Cpt_Index,Tab_Compteur_2[[#This Row],[Index]]-E32,Tab_Compteur_2[[#This Row],[Quantité]])/Tab_Compteur_2[[#This Row],[Delta Jour]],""))</f>
        <v/>
      </c>
      <c r="H33" s="186" t="str">
        <f>IFERROR(Tab_Compteur_2[[#This Row],[Colonne1]]/Tab_Compteur_2[[#This Row],[Delta Jour]],"")</f>
        <v/>
      </c>
      <c r="I33" s="208" t="str">
        <f t="shared" si="0"/>
        <v/>
      </c>
      <c r="J33" s="501"/>
      <c r="K33" s="599"/>
      <c r="L33" s="599"/>
      <c r="M33" s="599"/>
    </row>
    <row r="34" spans="1:13">
      <c r="A34" s="3">
        <f t="shared" si="1"/>
        <v>1</v>
      </c>
      <c r="C34" s="186"/>
      <c r="D34" s="195"/>
      <c r="E34" s="196"/>
      <c r="F34" s="186" t="str">
        <f>IF(Tab_Compteur_2[[#This Row],[Fin de période]]&gt;0,IFERROR(B34-A34+1,""),"")</f>
        <v/>
      </c>
      <c r="G34" t="str">
        <f>IF(IFERROR(IF(Str_TypeDonneesCpt2=Cpt_Index,Tab_Compteur_2[[#This Row],[Index]]-E33,Tab_Compteur_2[[#This Row],[Quantité]])/Tab_Compteur_2[[#This Row],[Delta Jour]],"")&lt;0,"",IFERROR(IF(Str_TypeDonneesCpt2=Cpt_Index,Tab_Compteur_2[[#This Row],[Index]]-E33,Tab_Compteur_2[[#This Row],[Quantité]])/Tab_Compteur_2[[#This Row],[Delta Jour]],""))</f>
        <v/>
      </c>
      <c r="H34" s="186" t="str">
        <f>IFERROR(Tab_Compteur_2[[#This Row],[Colonne1]]/Tab_Compteur_2[[#This Row],[Delta Jour]],"")</f>
        <v/>
      </c>
      <c r="I34" s="208" t="str">
        <f t="shared" si="0"/>
        <v/>
      </c>
      <c r="J34" s="501"/>
      <c r="K34" s="183"/>
      <c r="L34" s="183"/>
      <c r="M34" s="183"/>
    </row>
    <row r="35" spans="1:13">
      <c r="A35" s="3">
        <f t="shared" si="1"/>
        <v>1</v>
      </c>
      <c r="C35" s="186"/>
      <c r="D35" s="195"/>
      <c r="E35" s="196"/>
      <c r="F35" s="186" t="str">
        <f>IF(Tab_Compteur_2[[#This Row],[Fin de période]]&gt;0,IFERROR(B35-A35+1,""),"")</f>
        <v/>
      </c>
      <c r="G35" t="str">
        <f>IF(IFERROR(IF(Str_TypeDonneesCpt2=Cpt_Index,Tab_Compteur_2[[#This Row],[Index]]-E34,Tab_Compteur_2[[#This Row],[Quantité]])/Tab_Compteur_2[[#This Row],[Delta Jour]],"")&lt;0,"",IFERROR(IF(Str_TypeDonneesCpt2=Cpt_Index,Tab_Compteur_2[[#This Row],[Index]]-E34,Tab_Compteur_2[[#This Row],[Quantité]])/Tab_Compteur_2[[#This Row],[Delta Jour]],""))</f>
        <v/>
      </c>
      <c r="H35" s="186" t="str">
        <f>IFERROR(Tab_Compteur_2[[#This Row],[Colonne1]]/Tab_Compteur_2[[#This Row],[Delta Jour]],"")</f>
        <v/>
      </c>
      <c r="I35" s="208" t="str">
        <f t="shared" si="0"/>
        <v/>
      </c>
      <c r="J35" s="501"/>
      <c r="K35" s="183"/>
      <c r="L35" s="183"/>
      <c r="M35" s="183"/>
    </row>
    <row r="36" spans="1:13">
      <c r="A36" s="3">
        <f t="shared" si="1"/>
        <v>1</v>
      </c>
      <c r="C36" s="186"/>
      <c r="D36" s="195"/>
      <c r="E36" s="196"/>
      <c r="F36" s="186" t="str">
        <f>IF(Tab_Compteur_2[[#This Row],[Fin de période]]&gt;0,IFERROR(B36-A36+1,""),"")</f>
        <v/>
      </c>
      <c r="G36" t="str">
        <f>IF(IFERROR(IF(Str_TypeDonneesCpt2=Cpt_Index,Tab_Compteur_2[[#This Row],[Index]]-E35,Tab_Compteur_2[[#This Row],[Quantité]])/Tab_Compteur_2[[#This Row],[Delta Jour]],"")&lt;0,"",IFERROR(IF(Str_TypeDonneesCpt2=Cpt_Index,Tab_Compteur_2[[#This Row],[Index]]-E35,Tab_Compteur_2[[#This Row],[Quantité]])/Tab_Compteur_2[[#This Row],[Delta Jour]],""))</f>
        <v/>
      </c>
      <c r="H36" s="186" t="str">
        <f>IFERROR(Tab_Compteur_2[[#This Row],[Colonne1]]/Tab_Compteur_2[[#This Row],[Delta Jour]],"")</f>
        <v/>
      </c>
      <c r="I36" s="208" t="str">
        <f t="shared" si="0"/>
        <v/>
      </c>
      <c r="J36" s="501"/>
      <c r="K36" s="73"/>
      <c r="L36" s="73"/>
      <c r="M36" s="73"/>
    </row>
    <row r="37" spans="1:13">
      <c r="A37" s="3">
        <f t="shared" si="1"/>
        <v>1</v>
      </c>
      <c r="C37" s="186"/>
      <c r="D37" s="195"/>
      <c r="E37" s="196"/>
      <c r="F37" s="186" t="str">
        <f>IF(Tab_Compteur_2[[#This Row],[Fin de période]]&gt;0,IFERROR(B37-A37+1,""),"")</f>
        <v/>
      </c>
      <c r="G37" t="str">
        <f>IF(IFERROR(IF(Str_TypeDonneesCpt2=Cpt_Index,Tab_Compteur_2[[#This Row],[Index]]-E36,Tab_Compteur_2[[#This Row],[Quantité]])/Tab_Compteur_2[[#This Row],[Delta Jour]],"")&lt;0,"",IFERROR(IF(Str_TypeDonneesCpt2=Cpt_Index,Tab_Compteur_2[[#This Row],[Index]]-E36,Tab_Compteur_2[[#This Row],[Quantité]])/Tab_Compteur_2[[#This Row],[Delta Jour]],""))</f>
        <v/>
      </c>
      <c r="H37" s="186" t="str">
        <f>IFERROR(Tab_Compteur_2[[#This Row],[Colonne1]]/Tab_Compteur_2[[#This Row],[Delta Jour]],"")</f>
        <v/>
      </c>
      <c r="I37" s="208" t="str">
        <f t="shared" si="0"/>
        <v/>
      </c>
      <c r="J37" s="501"/>
      <c r="K37" s="73"/>
      <c r="L37" s="73"/>
      <c r="M37" s="73"/>
    </row>
    <row r="38" spans="1:13">
      <c r="A38" s="3">
        <f t="shared" si="1"/>
        <v>1</v>
      </c>
      <c r="C38" s="186"/>
      <c r="D38" s="195"/>
      <c r="E38" s="196"/>
      <c r="F38" s="186" t="str">
        <f>IF(Tab_Compteur_2[[#This Row],[Fin de période]]&gt;0,IFERROR(B38-A38+1,""),"")</f>
        <v/>
      </c>
      <c r="G38" t="str">
        <f>IF(IFERROR(IF(Str_TypeDonneesCpt2=Cpt_Index,Tab_Compteur_2[[#This Row],[Index]]-E37,Tab_Compteur_2[[#This Row],[Quantité]])/Tab_Compteur_2[[#This Row],[Delta Jour]],"")&lt;0,"",IFERROR(IF(Str_TypeDonneesCpt2=Cpt_Index,Tab_Compteur_2[[#This Row],[Index]]-E37,Tab_Compteur_2[[#This Row],[Quantité]])/Tab_Compteur_2[[#This Row],[Delta Jour]],""))</f>
        <v/>
      </c>
      <c r="H38" s="186" t="str">
        <f>IFERROR(Tab_Compteur_2[[#This Row],[Colonne1]]/Tab_Compteur_2[[#This Row],[Delta Jour]],"")</f>
        <v/>
      </c>
      <c r="I38" s="208" t="str">
        <f t="shared" si="0"/>
        <v/>
      </c>
      <c r="J38" s="501"/>
      <c r="K38" s="73"/>
      <c r="L38" s="73"/>
      <c r="M38" s="73"/>
    </row>
    <row r="39" spans="1:13">
      <c r="A39" s="3">
        <f t="shared" si="1"/>
        <v>1</v>
      </c>
      <c r="C39" s="186"/>
      <c r="D39" s="195"/>
      <c r="E39" s="196"/>
      <c r="F39" s="186" t="str">
        <f>IF(Tab_Compteur_2[[#This Row],[Fin de période]]&gt;0,IFERROR(B39-A39+1,""),"")</f>
        <v/>
      </c>
      <c r="G39" t="str">
        <f>IF(IFERROR(IF(Str_TypeDonneesCpt2=Cpt_Index,Tab_Compteur_2[[#This Row],[Index]]-E38,Tab_Compteur_2[[#This Row],[Quantité]])/Tab_Compteur_2[[#This Row],[Delta Jour]],"")&lt;0,"",IFERROR(IF(Str_TypeDonneesCpt2=Cpt_Index,Tab_Compteur_2[[#This Row],[Index]]-E38,Tab_Compteur_2[[#This Row],[Quantité]])/Tab_Compteur_2[[#This Row],[Delta Jour]],""))</f>
        <v/>
      </c>
      <c r="H39" s="186" t="str">
        <f>IFERROR(Tab_Compteur_2[[#This Row],[Colonne1]]/Tab_Compteur_2[[#This Row],[Delta Jour]],"")</f>
        <v/>
      </c>
      <c r="I39" s="208" t="str">
        <f t="shared" si="0"/>
        <v/>
      </c>
      <c r="J39" s="501"/>
      <c r="K39" s="73"/>
      <c r="L39" s="73"/>
      <c r="M39" s="73"/>
    </row>
    <row r="40" spans="1:13">
      <c r="A40" s="3">
        <f t="shared" si="1"/>
        <v>1</v>
      </c>
      <c r="C40" s="186"/>
      <c r="D40" s="195"/>
      <c r="E40" s="196"/>
      <c r="F40" s="186" t="str">
        <f>IF(Tab_Compteur_2[[#This Row],[Fin de période]]&gt;0,IFERROR(B40-A40+1,""),"")</f>
        <v/>
      </c>
      <c r="G40" t="str">
        <f>IF(IFERROR(IF(Str_TypeDonneesCpt2=Cpt_Index,Tab_Compteur_2[[#This Row],[Index]]-E39,Tab_Compteur_2[[#This Row],[Quantité]])/Tab_Compteur_2[[#This Row],[Delta Jour]],"")&lt;0,"",IFERROR(IF(Str_TypeDonneesCpt2=Cpt_Index,Tab_Compteur_2[[#This Row],[Index]]-E39,Tab_Compteur_2[[#This Row],[Quantité]])/Tab_Compteur_2[[#This Row],[Delta Jour]],""))</f>
        <v/>
      </c>
      <c r="H40" s="186" t="str">
        <f>IFERROR(Tab_Compteur_2[[#This Row],[Colonne1]]/Tab_Compteur_2[[#This Row],[Delta Jour]],"")</f>
        <v/>
      </c>
      <c r="I40" s="208" t="str">
        <f t="shared" si="0"/>
        <v/>
      </c>
      <c r="J40" s="501"/>
      <c r="K40" s="73"/>
      <c r="L40" s="73"/>
      <c r="M40" s="73"/>
    </row>
    <row r="41" spans="1:13">
      <c r="A41" s="3">
        <f t="shared" si="1"/>
        <v>1</v>
      </c>
      <c r="C41" s="186"/>
      <c r="D41" s="195"/>
      <c r="E41" s="196"/>
      <c r="F41" s="186" t="str">
        <f>IF(Tab_Compteur_2[[#This Row],[Fin de période]]&gt;0,IFERROR(B41-A41+1,""),"")</f>
        <v/>
      </c>
      <c r="G41" t="str">
        <f>IF(IFERROR(IF(Str_TypeDonneesCpt2=Cpt_Index,Tab_Compteur_2[[#This Row],[Index]]-E40,Tab_Compteur_2[[#This Row],[Quantité]])/Tab_Compteur_2[[#This Row],[Delta Jour]],"")&lt;0,"",IFERROR(IF(Str_TypeDonneesCpt2=Cpt_Index,Tab_Compteur_2[[#This Row],[Index]]-E40,Tab_Compteur_2[[#This Row],[Quantité]])/Tab_Compteur_2[[#This Row],[Delta Jour]],""))</f>
        <v/>
      </c>
      <c r="H41" s="186" t="str">
        <f>IFERROR(Tab_Compteur_2[[#This Row],[Colonne1]]/Tab_Compteur_2[[#This Row],[Delta Jour]],"")</f>
        <v/>
      </c>
      <c r="I41" s="208" t="str">
        <f t="shared" si="0"/>
        <v/>
      </c>
      <c r="J41" s="501"/>
      <c r="K41" s="73"/>
      <c r="L41" s="73"/>
      <c r="M41" s="73"/>
    </row>
    <row r="42" spans="1:13">
      <c r="A42" s="3">
        <f t="shared" si="1"/>
        <v>1</v>
      </c>
      <c r="C42" s="186"/>
      <c r="D42" s="195"/>
      <c r="E42" s="196"/>
      <c r="F42" s="186" t="str">
        <f>IF(Tab_Compteur_2[[#This Row],[Fin de période]]&gt;0,IFERROR(B42-A42+1,""),"")</f>
        <v/>
      </c>
      <c r="G42" t="str">
        <f>IF(IFERROR(IF(Str_TypeDonneesCpt2=Cpt_Index,Tab_Compteur_2[[#This Row],[Index]]-E41,Tab_Compteur_2[[#This Row],[Quantité]])/Tab_Compteur_2[[#This Row],[Delta Jour]],"")&lt;0,"",IFERROR(IF(Str_TypeDonneesCpt2=Cpt_Index,Tab_Compteur_2[[#This Row],[Index]]-E41,Tab_Compteur_2[[#This Row],[Quantité]])/Tab_Compteur_2[[#This Row],[Delta Jour]],""))</f>
        <v/>
      </c>
      <c r="H42" s="186" t="str">
        <f>IFERROR(Tab_Compteur_2[[#This Row],[Colonne1]]/Tab_Compteur_2[[#This Row],[Delta Jour]],"")</f>
        <v/>
      </c>
      <c r="I42" s="208" t="str">
        <f t="shared" si="0"/>
        <v/>
      </c>
      <c r="J42" s="501"/>
      <c r="K42" s="73"/>
      <c r="L42" s="73"/>
      <c r="M42" s="73"/>
    </row>
    <row r="43" spans="1:13">
      <c r="A43" s="3">
        <f t="shared" si="1"/>
        <v>1</v>
      </c>
      <c r="C43" s="186"/>
      <c r="D43" s="195"/>
      <c r="E43" s="196"/>
      <c r="F43" s="186" t="str">
        <f>IF(Tab_Compteur_2[[#This Row],[Fin de période]]&gt;0,IFERROR(B43-A43+1,""),"")</f>
        <v/>
      </c>
      <c r="G43" t="str">
        <f>IF(IFERROR(IF(Str_TypeDonneesCpt2=Cpt_Index,Tab_Compteur_2[[#This Row],[Index]]-E42,Tab_Compteur_2[[#This Row],[Quantité]])/Tab_Compteur_2[[#This Row],[Delta Jour]],"")&lt;0,"",IFERROR(IF(Str_TypeDonneesCpt2=Cpt_Index,Tab_Compteur_2[[#This Row],[Index]]-E42,Tab_Compteur_2[[#This Row],[Quantité]])/Tab_Compteur_2[[#This Row],[Delta Jour]],""))</f>
        <v/>
      </c>
      <c r="H43" s="186" t="str">
        <f>IFERROR(Tab_Compteur_2[[#This Row],[Colonne1]]/Tab_Compteur_2[[#This Row],[Delta Jour]],"")</f>
        <v/>
      </c>
      <c r="I43" s="208" t="str">
        <f t="shared" si="0"/>
        <v/>
      </c>
      <c r="J43" s="501"/>
      <c r="K43" s="73"/>
      <c r="L43" s="73"/>
      <c r="M43" s="73"/>
    </row>
    <row r="44" spans="1:13">
      <c r="A44" s="3">
        <f t="shared" si="1"/>
        <v>1</v>
      </c>
      <c r="C44" s="186"/>
      <c r="D44" s="195"/>
      <c r="E44" s="196"/>
      <c r="F44" s="186" t="str">
        <f>IF(Tab_Compteur_2[[#This Row],[Fin de période]]&gt;0,IFERROR(B44-A44+1,""),"")</f>
        <v/>
      </c>
      <c r="G44" t="str">
        <f>IF(IFERROR(IF(Str_TypeDonneesCpt2=Cpt_Index,Tab_Compteur_2[[#This Row],[Index]]-E43,Tab_Compteur_2[[#This Row],[Quantité]])/Tab_Compteur_2[[#This Row],[Delta Jour]],"")&lt;0,"",IFERROR(IF(Str_TypeDonneesCpt2=Cpt_Index,Tab_Compteur_2[[#This Row],[Index]]-E43,Tab_Compteur_2[[#This Row],[Quantité]])/Tab_Compteur_2[[#This Row],[Delta Jour]],""))</f>
        <v/>
      </c>
      <c r="H44" s="186" t="str">
        <f>IFERROR(Tab_Compteur_2[[#This Row],[Colonne1]]/Tab_Compteur_2[[#This Row],[Delta Jour]],"")</f>
        <v/>
      </c>
      <c r="I44" s="208" t="str">
        <f t="shared" si="0"/>
        <v/>
      </c>
      <c r="J44" s="501"/>
      <c r="K44" s="73"/>
      <c r="L44" s="73"/>
      <c r="M44" s="73"/>
    </row>
    <row r="45" spans="1:13">
      <c r="A45" s="3">
        <f t="shared" si="1"/>
        <v>1</v>
      </c>
      <c r="C45" s="186"/>
      <c r="D45" s="195"/>
      <c r="E45" s="196"/>
      <c r="F45" s="186" t="str">
        <f>IF(Tab_Compteur_2[[#This Row],[Fin de période]]&gt;0,IFERROR(B45-A45+1,""),"")</f>
        <v/>
      </c>
      <c r="G45" t="str">
        <f>IF(IFERROR(IF(Str_TypeDonneesCpt2=Cpt_Index,Tab_Compteur_2[[#This Row],[Index]]-E44,Tab_Compteur_2[[#This Row],[Quantité]])/Tab_Compteur_2[[#This Row],[Delta Jour]],"")&lt;0,"",IFERROR(IF(Str_TypeDonneesCpt2=Cpt_Index,Tab_Compteur_2[[#This Row],[Index]]-E44,Tab_Compteur_2[[#This Row],[Quantité]])/Tab_Compteur_2[[#This Row],[Delta Jour]],""))</f>
        <v/>
      </c>
      <c r="H45" s="186" t="str">
        <f>IFERROR(Tab_Compteur_2[[#This Row],[Colonne1]]/Tab_Compteur_2[[#This Row],[Delta Jour]],"")</f>
        <v/>
      </c>
      <c r="I45" s="208" t="str">
        <f t="shared" si="0"/>
        <v/>
      </c>
      <c r="J45" s="501"/>
      <c r="K45" s="73"/>
      <c r="L45" s="73"/>
      <c r="M45" s="73"/>
    </row>
    <row r="46" spans="1:13">
      <c r="A46" s="3">
        <f t="shared" si="1"/>
        <v>1</v>
      </c>
      <c r="C46" s="186"/>
      <c r="D46" s="195"/>
      <c r="E46" s="196"/>
      <c r="F46" s="186" t="str">
        <f>IF(Tab_Compteur_2[[#This Row],[Fin de période]]&gt;0,IFERROR(B46-A46+1,""),"")</f>
        <v/>
      </c>
      <c r="G46" t="str">
        <f>IF(IFERROR(IF(Str_TypeDonneesCpt2=Cpt_Index,Tab_Compteur_2[[#This Row],[Index]]-E45,Tab_Compteur_2[[#This Row],[Quantité]])/Tab_Compteur_2[[#This Row],[Delta Jour]],"")&lt;0,"",IFERROR(IF(Str_TypeDonneesCpt2=Cpt_Index,Tab_Compteur_2[[#This Row],[Index]]-E45,Tab_Compteur_2[[#This Row],[Quantité]])/Tab_Compteur_2[[#This Row],[Delta Jour]],""))</f>
        <v/>
      </c>
      <c r="H46" s="186" t="str">
        <f>IFERROR(Tab_Compteur_2[[#This Row],[Colonne1]]/Tab_Compteur_2[[#This Row],[Delta Jour]],"")</f>
        <v/>
      </c>
      <c r="I46" s="208" t="str">
        <f t="shared" si="0"/>
        <v/>
      </c>
      <c r="J46" s="501"/>
      <c r="K46" s="73"/>
      <c r="L46" s="73"/>
      <c r="M46" s="73"/>
    </row>
    <row r="47" spans="1:13">
      <c r="A47" s="3">
        <f t="shared" si="1"/>
        <v>1</v>
      </c>
      <c r="C47" s="186"/>
      <c r="D47" s="195"/>
      <c r="E47" s="196"/>
      <c r="F47" s="186" t="str">
        <f>IF(Tab_Compteur_2[[#This Row],[Fin de période]]&gt;0,IFERROR(B47-A47+1,""),"")</f>
        <v/>
      </c>
      <c r="G47" t="str">
        <f>IF(IFERROR(IF(Str_TypeDonneesCpt2=Cpt_Index,Tab_Compteur_2[[#This Row],[Index]]-E46,Tab_Compteur_2[[#This Row],[Quantité]])/Tab_Compteur_2[[#This Row],[Delta Jour]],"")&lt;0,"",IFERROR(IF(Str_TypeDonneesCpt2=Cpt_Index,Tab_Compteur_2[[#This Row],[Index]]-E46,Tab_Compteur_2[[#This Row],[Quantité]])/Tab_Compteur_2[[#This Row],[Delta Jour]],""))</f>
        <v/>
      </c>
      <c r="H47" s="186" t="str">
        <f>IFERROR(Tab_Compteur_2[[#This Row],[Colonne1]]/Tab_Compteur_2[[#This Row],[Delta Jour]],"")</f>
        <v/>
      </c>
      <c r="I47" s="208" t="str">
        <f t="shared" si="0"/>
        <v/>
      </c>
      <c r="J47" s="501"/>
      <c r="K47" s="73"/>
      <c r="L47" s="73"/>
      <c r="M47" s="73"/>
    </row>
    <row r="48" spans="1:13">
      <c r="A48" s="3">
        <f t="shared" si="1"/>
        <v>1</v>
      </c>
      <c r="C48" s="186"/>
      <c r="D48" s="195"/>
      <c r="E48" s="196"/>
      <c r="F48" s="186" t="str">
        <f>IF(Tab_Compteur_2[[#This Row],[Fin de période]]&gt;0,IFERROR(B48-A48+1,""),"")</f>
        <v/>
      </c>
      <c r="G48" t="str">
        <f>IF(IFERROR(IF(Str_TypeDonneesCpt2=Cpt_Index,Tab_Compteur_2[[#This Row],[Index]]-E47,Tab_Compteur_2[[#This Row],[Quantité]])/Tab_Compteur_2[[#This Row],[Delta Jour]],"")&lt;0,"",IFERROR(IF(Str_TypeDonneesCpt2=Cpt_Index,Tab_Compteur_2[[#This Row],[Index]]-E47,Tab_Compteur_2[[#This Row],[Quantité]])/Tab_Compteur_2[[#This Row],[Delta Jour]],""))</f>
        <v/>
      </c>
      <c r="H48" s="186" t="str">
        <f>IFERROR(Tab_Compteur_2[[#This Row],[Colonne1]]/Tab_Compteur_2[[#This Row],[Delta Jour]],"")</f>
        <v/>
      </c>
      <c r="I48" s="208" t="str">
        <f t="shared" si="0"/>
        <v/>
      </c>
      <c r="J48" s="501"/>
      <c r="K48" s="73"/>
      <c r="L48" s="73"/>
      <c r="M48" s="73"/>
    </row>
    <row r="49" spans="1:13">
      <c r="A49" s="3">
        <f t="shared" si="1"/>
        <v>1</v>
      </c>
      <c r="C49" s="186"/>
      <c r="D49" s="195"/>
      <c r="E49" s="196"/>
      <c r="F49" s="186" t="str">
        <f>IF(Tab_Compteur_2[[#This Row],[Fin de période]]&gt;0,IFERROR(B49-A49+1,""),"")</f>
        <v/>
      </c>
      <c r="G49" t="str">
        <f>IF(IFERROR(IF(Str_TypeDonneesCpt2=Cpt_Index,Tab_Compteur_2[[#This Row],[Index]]-E48,Tab_Compteur_2[[#This Row],[Quantité]])/Tab_Compteur_2[[#This Row],[Delta Jour]],"")&lt;0,"",IFERROR(IF(Str_TypeDonneesCpt2=Cpt_Index,Tab_Compteur_2[[#This Row],[Index]]-E48,Tab_Compteur_2[[#This Row],[Quantité]])/Tab_Compteur_2[[#This Row],[Delta Jour]],""))</f>
        <v/>
      </c>
      <c r="H49" s="186" t="str">
        <f>IFERROR(Tab_Compteur_2[[#This Row],[Colonne1]]/Tab_Compteur_2[[#This Row],[Delta Jour]],"")</f>
        <v/>
      </c>
      <c r="I49" s="208" t="str">
        <f t="shared" si="0"/>
        <v/>
      </c>
      <c r="J49" s="501"/>
      <c r="K49" s="73"/>
      <c r="L49" s="73"/>
      <c r="M49" s="73"/>
    </row>
    <row r="50" spans="1:13">
      <c r="A50" s="3">
        <f t="shared" si="1"/>
        <v>1</v>
      </c>
      <c r="C50" s="186"/>
      <c r="D50" s="195"/>
      <c r="E50" s="196"/>
      <c r="F50" s="186" t="str">
        <f>IF(Tab_Compteur_2[[#This Row],[Fin de période]]&gt;0,IFERROR(B50-A50+1,""),"")</f>
        <v/>
      </c>
      <c r="G50" t="str">
        <f>IF(IFERROR(IF(Str_TypeDonneesCpt2=Cpt_Index,Tab_Compteur_2[[#This Row],[Index]]-E49,Tab_Compteur_2[[#This Row],[Quantité]])/Tab_Compteur_2[[#This Row],[Delta Jour]],"")&lt;0,"",IFERROR(IF(Str_TypeDonneesCpt2=Cpt_Index,Tab_Compteur_2[[#This Row],[Index]]-E49,Tab_Compteur_2[[#This Row],[Quantité]])/Tab_Compteur_2[[#This Row],[Delta Jour]],""))</f>
        <v/>
      </c>
      <c r="H50" s="186" t="str">
        <f>IFERROR(Tab_Compteur_2[[#This Row],[Colonne1]]/Tab_Compteur_2[[#This Row],[Delta Jour]],"")</f>
        <v/>
      </c>
      <c r="I50" s="208" t="str">
        <f t="shared" si="0"/>
        <v/>
      </c>
      <c r="J50" s="501"/>
      <c r="K50" s="73"/>
      <c r="L50" s="73"/>
      <c r="M50" s="73"/>
    </row>
    <row r="51" spans="1:13">
      <c r="A51" s="3">
        <f t="shared" si="1"/>
        <v>1</v>
      </c>
      <c r="C51" s="186"/>
      <c r="D51" s="195"/>
      <c r="E51" s="196"/>
      <c r="F51" s="186" t="str">
        <f>IF(Tab_Compteur_2[[#This Row],[Fin de période]]&gt;0,IFERROR(B51-A51+1,""),"")</f>
        <v/>
      </c>
      <c r="G51" t="str">
        <f>IF(IFERROR(IF(Str_TypeDonneesCpt2=Cpt_Index,Tab_Compteur_2[[#This Row],[Index]]-E50,Tab_Compteur_2[[#This Row],[Quantité]])/Tab_Compteur_2[[#This Row],[Delta Jour]],"")&lt;0,"",IFERROR(IF(Str_TypeDonneesCpt2=Cpt_Index,Tab_Compteur_2[[#This Row],[Index]]-E50,Tab_Compteur_2[[#This Row],[Quantité]])/Tab_Compteur_2[[#This Row],[Delta Jour]],""))</f>
        <v/>
      </c>
      <c r="H51" s="186" t="str">
        <f>IFERROR(Tab_Compteur_2[[#This Row],[Colonne1]]/Tab_Compteur_2[[#This Row],[Delta Jour]],"")</f>
        <v/>
      </c>
      <c r="I51" s="208" t="str">
        <f t="shared" si="0"/>
        <v/>
      </c>
      <c r="J51" s="501"/>
      <c r="K51" s="73"/>
      <c r="L51" s="73"/>
      <c r="M51" s="73"/>
    </row>
    <row r="52" spans="1:13">
      <c r="A52" s="3">
        <f t="shared" si="1"/>
        <v>1</v>
      </c>
      <c r="C52" s="186"/>
      <c r="D52" s="195"/>
      <c r="E52" s="196"/>
      <c r="F52" s="186" t="str">
        <f>IF(Tab_Compteur_2[[#This Row],[Fin de période]]&gt;0,IFERROR(B52-A52+1,""),"")</f>
        <v/>
      </c>
      <c r="G52" t="str">
        <f>IF(IFERROR(IF(Str_TypeDonneesCpt2=Cpt_Index,Tab_Compteur_2[[#This Row],[Index]]-E51,Tab_Compteur_2[[#This Row],[Quantité]])/Tab_Compteur_2[[#This Row],[Delta Jour]],"")&lt;0,"",IFERROR(IF(Str_TypeDonneesCpt2=Cpt_Index,Tab_Compteur_2[[#This Row],[Index]]-E51,Tab_Compteur_2[[#This Row],[Quantité]])/Tab_Compteur_2[[#This Row],[Delta Jour]],""))</f>
        <v/>
      </c>
      <c r="H52" s="186" t="str">
        <f>IFERROR(Tab_Compteur_2[[#This Row],[Colonne1]]/Tab_Compteur_2[[#This Row],[Delta Jour]],"")</f>
        <v/>
      </c>
      <c r="I52" s="208" t="str">
        <f t="shared" si="0"/>
        <v/>
      </c>
      <c r="J52" s="501"/>
      <c r="K52" s="73"/>
      <c r="L52" s="73"/>
      <c r="M52" s="73"/>
    </row>
    <row r="53" spans="1:13">
      <c r="A53" s="3">
        <f t="shared" si="1"/>
        <v>1</v>
      </c>
      <c r="C53" s="186"/>
      <c r="D53" s="195"/>
      <c r="E53" s="196"/>
      <c r="F53" s="186" t="str">
        <f>IF(Tab_Compteur_2[[#This Row],[Fin de période]]&gt;0,IFERROR(B53-A53+1,""),"")</f>
        <v/>
      </c>
      <c r="G53" t="str">
        <f>IF(IFERROR(IF(Str_TypeDonneesCpt2=Cpt_Index,Tab_Compteur_2[[#This Row],[Index]]-E52,Tab_Compteur_2[[#This Row],[Quantité]])/Tab_Compteur_2[[#This Row],[Delta Jour]],"")&lt;0,"",IFERROR(IF(Str_TypeDonneesCpt2=Cpt_Index,Tab_Compteur_2[[#This Row],[Index]]-E52,Tab_Compteur_2[[#This Row],[Quantité]])/Tab_Compteur_2[[#This Row],[Delta Jour]],""))</f>
        <v/>
      </c>
      <c r="H53" s="186" t="str">
        <f>IFERROR(Tab_Compteur_2[[#This Row],[Colonne1]]/Tab_Compteur_2[[#This Row],[Delta Jour]],"")</f>
        <v/>
      </c>
      <c r="I53" s="208" t="str">
        <f t="shared" si="0"/>
        <v/>
      </c>
      <c r="J53" s="501"/>
      <c r="K53" s="73"/>
      <c r="L53" s="73"/>
      <c r="M53" s="73"/>
    </row>
    <row r="54" spans="1:13">
      <c r="A54" s="3">
        <f t="shared" si="1"/>
        <v>1</v>
      </c>
      <c r="C54" s="186"/>
      <c r="D54" s="195"/>
      <c r="E54" s="196"/>
      <c r="F54" s="186" t="str">
        <f>IF(Tab_Compteur_2[[#This Row],[Fin de période]]&gt;0,IFERROR(B54-A54+1,""),"")</f>
        <v/>
      </c>
      <c r="G54" t="str">
        <f>IF(IFERROR(IF(Str_TypeDonneesCpt2=Cpt_Index,Tab_Compteur_2[[#This Row],[Index]]-E53,Tab_Compteur_2[[#This Row],[Quantité]])/Tab_Compteur_2[[#This Row],[Delta Jour]],"")&lt;0,"",IFERROR(IF(Str_TypeDonneesCpt2=Cpt_Index,Tab_Compteur_2[[#This Row],[Index]]-E53,Tab_Compteur_2[[#This Row],[Quantité]])/Tab_Compteur_2[[#This Row],[Delta Jour]],""))</f>
        <v/>
      </c>
      <c r="H54" s="186" t="str">
        <f>IFERROR(Tab_Compteur_2[[#This Row],[Colonne1]]/Tab_Compteur_2[[#This Row],[Delta Jour]],"")</f>
        <v/>
      </c>
      <c r="I54" s="208" t="str">
        <f t="shared" si="0"/>
        <v/>
      </c>
      <c r="J54" s="501"/>
      <c r="K54" s="73"/>
      <c r="L54" s="73"/>
      <c r="M54" s="73"/>
    </row>
    <row r="55" spans="1:13">
      <c r="A55" s="3">
        <f t="shared" si="1"/>
        <v>1</v>
      </c>
      <c r="C55" s="186"/>
      <c r="D55" s="195"/>
      <c r="E55" s="196"/>
      <c r="F55" s="186" t="str">
        <f>IF(Tab_Compteur_2[[#This Row],[Fin de période]]&gt;0,IFERROR(B55-A55+1,""),"")</f>
        <v/>
      </c>
      <c r="G55" t="str">
        <f>IF(IFERROR(IF(Str_TypeDonneesCpt2=Cpt_Index,Tab_Compteur_2[[#This Row],[Index]]-E54,Tab_Compteur_2[[#This Row],[Quantité]])/Tab_Compteur_2[[#This Row],[Delta Jour]],"")&lt;0,"",IFERROR(IF(Str_TypeDonneesCpt2=Cpt_Index,Tab_Compteur_2[[#This Row],[Index]]-E54,Tab_Compteur_2[[#This Row],[Quantité]])/Tab_Compteur_2[[#This Row],[Delta Jour]],""))</f>
        <v/>
      </c>
      <c r="H55" s="186" t="str">
        <f>IFERROR(Tab_Compteur_2[[#This Row],[Colonne1]]/Tab_Compteur_2[[#This Row],[Delta Jour]],"")</f>
        <v/>
      </c>
      <c r="I55" s="208" t="str">
        <f t="shared" si="0"/>
        <v/>
      </c>
      <c r="J55" s="501"/>
      <c r="K55" s="73"/>
      <c r="L55" s="73"/>
      <c r="M55" s="73"/>
    </row>
    <row r="56" spans="1:13">
      <c r="A56" s="3">
        <f t="shared" si="1"/>
        <v>1</v>
      </c>
      <c r="C56" s="186"/>
      <c r="D56" s="195"/>
      <c r="E56" s="196"/>
      <c r="F56" s="186" t="str">
        <f>IF(Tab_Compteur_2[[#This Row],[Fin de période]]&gt;0,IFERROR(B56-A56+1,""),"")</f>
        <v/>
      </c>
      <c r="G56" t="str">
        <f>IF(IFERROR(IF(Str_TypeDonneesCpt2=Cpt_Index,Tab_Compteur_2[[#This Row],[Index]]-E55,Tab_Compteur_2[[#This Row],[Quantité]])/Tab_Compteur_2[[#This Row],[Delta Jour]],"")&lt;0,"",IFERROR(IF(Str_TypeDonneesCpt2=Cpt_Index,Tab_Compteur_2[[#This Row],[Index]]-E55,Tab_Compteur_2[[#This Row],[Quantité]])/Tab_Compteur_2[[#This Row],[Delta Jour]],""))</f>
        <v/>
      </c>
      <c r="H56" s="186" t="str">
        <f>IFERROR(Tab_Compteur_2[[#This Row],[Colonne1]]/Tab_Compteur_2[[#This Row],[Delta Jour]],"")</f>
        <v/>
      </c>
      <c r="I56" s="208" t="str">
        <f t="shared" si="0"/>
        <v/>
      </c>
      <c r="J56" s="501"/>
      <c r="K56" s="73"/>
      <c r="L56" s="73"/>
      <c r="M56" s="73"/>
    </row>
    <row r="57" spans="1:13">
      <c r="A57" s="3">
        <f t="shared" si="1"/>
        <v>1</v>
      </c>
      <c r="C57" s="186"/>
      <c r="D57" s="195"/>
      <c r="E57" s="196"/>
      <c r="F57" s="186" t="str">
        <f>IF(Tab_Compteur_2[[#This Row],[Fin de période]]&gt;0,IFERROR(B57-A57+1,""),"")</f>
        <v/>
      </c>
      <c r="G57" t="str">
        <f>IF(IFERROR(IF(Str_TypeDonneesCpt2=Cpt_Index,Tab_Compteur_2[[#This Row],[Index]]-E56,Tab_Compteur_2[[#This Row],[Quantité]])/Tab_Compteur_2[[#This Row],[Delta Jour]],"")&lt;0,"",IFERROR(IF(Str_TypeDonneesCpt2=Cpt_Index,Tab_Compteur_2[[#This Row],[Index]]-E56,Tab_Compteur_2[[#This Row],[Quantité]])/Tab_Compteur_2[[#This Row],[Delta Jour]],""))</f>
        <v/>
      </c>
      <c r="H57" s="186" t="str">
        <f>IFERROR(Tab_Compteur_2[[#This Row],[Colonne1]]/Tab_Compteur_2[[#This Row],[Delta Jour]],"")</f>
        <v/>
      </c>
      <c r="I57" s="208" t="str">
        <f t="shared" si="0"/>
        <v/>
      </c>
      <c r="J57" s="501"/>
      <c r="K57" s="73"/>
      <c r="L57" s="73"/>
      <c r="M57" s="73"/>
    </row>
    <row r="58" spans="1:13">
      <c r="A58" s="3">
        <f t="shared" si="1"/>
        <v>1</v>
      </c>
      <c r="C58" s="186"/>
      <c r="D58" s="195"/>
      <c r="E58" s="196"/>
      <c r="F58" s="186" t="str">
        <f>IF(Tab_Compteur_2[[#This Row],[Fin de période]]&gt;0,IFERROR(B58-A58+1,""),"")</f>
        <v/>
      </c>
      <c r="G58" t="str">
        <f>IF(IFERROR(IF(Str_TypeDonneesCpt2=Cpt_Index,Tab_Compteur_2[[#This Row],[Index]]-E57,Tab_Compteur_2[[#This Row],[Quantité]])/Tab_Compteur_2[[#This Row],[Delta Jour]],"")&lt;0,"",IFERROR(IF(Str_TypeDonneesCpt2=Cpt_Index,Tab_Compteur_2[[#This Row],[Index]]-E57,Tab_Compteur_2[[#This Row],[Quantité]])/Tab_Compteur_2[[#This Row],[Delta Jour]],""))</f>
        <v/>
      </c>
      <c r="H58" s="186" t="str">
        <f>IFERROR(Tab_Compteur_2[[#This Row],[Colonne1]]/Tab_Compteur_2[[#This Row],[Delta Jour]],"")</f>
        <v/>
      </c>
      <c r="I58" s="208" t="str">
        <f t="shared" si="0"/>
        <v/>
      </c>
      <c r="J58" s="501"/>
      <c r="K58" s="73"/>
      <c r="L58" s="73"/>
      <c r="M58" s="73"/>
    </row>
    <row r="59" spans="1:13">
      <c r="A59" s="3">
        <f t="shared" si="1"/>
        <v>1</v>
      </c>
      <c r="C59" s="186"/>
      <c r="D59" s="195"/>
      <c r="E59" s="196"/>
      <c r="F59" s="186" t="str">
        <f>IF(Tab_Compteur_2[[#This Row],[Fin de période]]&gt;0,IFERROR(B59-A59+1,""),"")</f>
        <v/>
      </c>
      <c r="G59" t="str">
        <f>IF(IFERROR(IF(Str_TypeDonneesCpt2=Cpt_Index,Tab_Compteur_2[[#This Row],[Index]]-E58,Tab_Compteur_2[[#This Row],[Quantité]])/Tab_Compteur_2[[#This Row],[Delta Jour]],"")&lt;0,"",IFERROR(IF(Str_TypeDonneesCpt2=Cpt_Index,Tab_Compteur_2[[#This Row],[Index]]-E58,Tab_Compteur_2[[#This Row],[Quantité]])/Tab_Compteur_2[[#This Row],[Delta Jour]],""))</f>
        <v/>
      </c>
      <c r="H59" s="186" t="str">
        <f>IFERROR(Tab_Compteur_2[[#This Row],[Colonne1]]/Tab_Compteur_2[[#This Row],[Delta Jour]],"")</f>
        <v/>
      </c>
      <c r="I59" s="208" t="str">
        <f t="shared" si="0"/>
        <v/>
      </c>
      <c r="J59" s="501"/>
      <c r="K59" s="73"/>
      <c r="L59" s="73"/>
      <c r="M59" s="73"/>
    </row>
    <row r="60" spans="1:13">
      <c r="A60" s="3">
        <f t="shared" si="1"/>
        <v>1</v>
      </c>
      <c r="C60" s="186"/>
      <c r="D60" s="195"/>
      <c r="E60" s="196"/>
      <c r="F60" s="186" t="str">
        <f>IF(Tab_Compteur_2[[#This Row],[Fin de période]]&gt;0,IFERROR(B60-A60+1,""),"")</f>
        <v/>
      </c>
      <c r="G60" t="str">
        <f>IF(IFERROR(IF(Str_TypeDonneesCpt2=Cpt_Index,Tab_Compteur_2[[#This Row],[Index]]-E59,Tab_Compteur_2[[#This Row],[Quantité]])/Tab_Compteur_2[[#This Row],[Delta Jour]],"")&lt;0,"",IFERROR(IF(Str_TypeDonneesCpt2=Cpt_Index,Tab_Compteur_2[[#This Row],[Index]]-E59,Tab_Compteur_2[[#This Row],[Quantité]])/Tab_Compteur_2[[#This Row],[Delta Jour]],""))</f>
        <v/>
      </c>
      <c r="H60" s="186" t="str">
        <f>IFERROR(Tab_Compteur_2[[#This Row],[Colonne1]]/Tab_Compteur_2[[#This Row],[Delta Jour]],"")</f>
        <v/>
      </c>
      <c r="I60" s="208" t="str">
        <f t="shared" si="0"/>
        <v/>
      </c>
      <c r="J60" s="501"/>
      <c r="K60" s="73"/>
      <c r="L60" s="73"/>
      <c r="M60" s="73"/>
    </row>
    <row r="61" spans="1:13">
      <c r="A61" s="3">
        <f t="shared" si="1"/>
        <v>1</v>
      </c>
      <c r="C61" s="186"/>
      <c r="D61" s="195"/>
      <c r="E61" s="196"/>
      <c r="F61" s="186" t="str">
        <f>IF(Tab_Compteur_2[[#This Row],[Fin de période]]&gt;0,IFERROR(B61-A61+1,""),"")</f>
        <v/>
      </c>
      <c r="G61" t="str">
        <f>IF(IFERROR(IF(Str_TypeDonneesCpt2=Cpt_Index,Tab_Compteur_2[[#This Row],[Index]]-E60,Tab_Compteur_2[[#This Row],[Quantité]])/Tab_Compteur_2[[#This Row],[Delta Jour]],"")&lt;0,"",IFERROR(IF(Str_TypeDonneesCpt2=Cpt_Index,Tab_Compteur_2[[#This Row],[Index]]-E60,Tab_Compteur_2[[#This Row],[Quantité]])/Tab_Compteur_2[[#This Row],[Delta Jour]],""))</f>
        <v/>
      </c>
      <c r="H61" s="186" t="str">
        <f>IFERROR(Tab_Compteur_2[[#This Row],[Colonne1]]/Tab_Compteur_2[[#This Row],[Delta Jour]],"")</f>
        <v/>
      </c>
      <c r="I61" s="208" t="str">
        <f t="shared" si="0"/>
        <v/>
      </c>
      <c r="J61" s="501"/>
      <c r="K61" s="73"/>
      <c r="L61" s="73"/>
      <c r="M61" s="73"/>
    </row>
    <row r="62" spans="1:13">
      <c r="A62" s="3">
        <f t="shared" si="1"/>
        <v>1</v>
      </c>
      <c r="C62" s="186"/>
      <c r="D62" s="195"/>
      <c r="E62" s="196"/>
      <c r="F62" s="186" t="str">
        <f>IF(Tab_Compteur_2[[#This Row],[Fin de période]]&gt;0,IFERROR(B62-A62+1,""),"")</f>
        <v/>
      </c>
      <c r="G62" t="str">
        <f>IF(IFERROR(IF(Str_TypeDonneesCpt2=Cpt_Index,Tab_Compteur_2[[#This Row],[Index]]-E61,Tab_Compteur_2[[#This Row],[Quantité]])/Tab_Compteur_2[[#This Row],[Delta Jour]],"")&lt;0,"",IFERROR(IF(Str_TypeDonneesCpt2=Cpt_Index,Tab_Compteur_2[[#This Row],[Index]]-E61,Tab_Compteur_2[[#This Row],[Quantité]])/Tab_Compteur_2[[#This Row],[Delta Jour]],""))</f>
        <v/>
      </c>
      <c r="H62" s="186" t="str">
        <f>IFERROR(Tab_Compteur_2[[#This Row],[Colonne1]]/Tab_Compteur_2[[#This Row],[Delta Jour]],"")</f>
        <v/>
      </c>
      <c r="I62" s="208" t="str">
        <f t="shared" si="0"/>
        <v/>
      </c>
      <c r="J62" s="501"/>
      <c r="K62" s="73"/>
      <c r="L62" s="73"/>
      <c r="M62" s="73"/>
    </row>
    <row r="63" spans="1:13">
      <c r="A63" s="3">
        <f t="shared" si="1"/>
        <v>1</v>
      </c>
      <c r="C63" s="186"/>
      <c r="D63" s="195"/>
      <c r="E63" s="196"/>
      <c r="F63" s="186" t="str">
        <f>IF(Tab_Compteur_2[[#This Row],[Fin de période]]&gt;0,IFERROR(B63-A63+1,""),"")</f>
        <v/>
      </c>
      <c r="G63" t="str">
        <f>IF(IFERROR(IF(Str_TypeDonneesCpt2=Cpt_Index,Tab_Compteur_2[[#This Row],[Index]]-E62,Tab_Compteur_2[[#This Row],[Quantité]])/Tab_Compteur_2[[#This Row],[Delta Jour]],"")&lt;0,"",IFERROR(IF(Str_TypeDonneesCpt2=Cpt_Index,Tab_Compteur_2[[#This Row],[Index]]-E62,Tab_Compteur_2[[#This Row],[Quantité]])/Tab_Compteur_2[[#This Row],[Delta Jour]],""))</f>
        <v/>
      </c>
      <c r="H63" s="186" t="str">
        <f>IFERROR(Tab_Compteur_2[[#This Row],[Colonne1]]/Tab_Compteur_2[[#This Row],[Delta Jour]],"")</f>
        <v/>
      </c>
      <c r="I63" s="208" t="str">
        <f t="shared" si="0"/>
        <v/>
      </c>
      <c r="J63" s="501"/>
      <c r="K63" s="73"/>
      <c r="L63" s="73"/>
      <c r="M63" s="73"/>
    </row>
    <row r="64" spans="1:13">
      <c r="A64" s="3">
        <f t="shared" si="1"/>
        <v>1</v>
      </c>
      <c r="C64" s="186"/>
      <c r="D64" s="195"/>
      <c r="E64" s="196"/>
      <c r="F64" s="186" t="str">
        <f>IF(Tab_Compteur_2[[#This Row],[Fin de période]]&gt;0,IFERROR(B64-A64+1,""),"")</f>
        <v/>
      </c>
      <c r="G64" t="str">
        <f>IF(IFERROR(IF(Str_TypeDonneesCpt2=Cpt_Index,Tab_Compteur_2[[#This Row],[Index]]-E63,Tab_Compteur_2[[#This Row],[Quantité]])/Tab_Compteur_2[[#This Row],[Delta Jour]],"")&lt;0,"",IFERROR(IF(Str_TypeDonneesCpt2=Cpt_Index,Tab_Compteur_2[[#This Row],[Index]]-E63,Tab_Compteur_2[[#This Row],[Quantité]])/Tab_Compteur_2[[#This Row],[Delta Jour]],""))</f>
        <v/>
      </c>
      <c r="H64" s="186" t="str">
        <f>IFERROR(Tab_Compteur_2[[#This Row],[Colonne1]]/Tab_Compteur_2[[#This Row],[Delta Jour]],"")</f>
        <v/>
      </c>
      <c r="I64" s="208" t="str">
        <f t="shared" si="0"/>
        <v/>
      </c>
      <c r="J64" s="501"/>
      <c r="K64" s="73"/>
      <c r="L64" s="73"/>
      <c r="M64" s="73"/>
    </row>
    <row r="65" spans="1:13">
      <c r="A65" s="3">
        <f t="shared" si="1"/>
        <v>1</v>
      </c>
      <c r="C65" s="186"/>
      <c r="D65" s="195"/>
      <c r="E65" s="196"/>
      <c r="F65" s="186" t="str">
        <f>IF(Tab_Compteur_2[[#This Row],[Fin de période]]&gt;0,IFERROR(B65-A65+1,""),"")</f>
        <v/>
      </c>
      <c r="G65" t="str">
        <f>IF(IFERROR(IF(Str_TypeDonneesCpt2=Cpt_Index,Tab_Compteur_2[[#This Row],[Index]]-E64,Tab_Compteur_2[[#This Row],[Quantité]])/Tab_Compteur_2[[#This Row],[Delta Jour]],"")&lt;0,"",IFERROR(IF(Str_TypeDonneesCpt2=Cpt_Index,Tab_Compteur_2[[#This Row],[Index]]-E64,Tab_Compteur_2[[#This Row],[Quantité]])/Tab_Compteur_2[[#This Row],[Delta Jour]],""))</f>
        <v/>
      </c>
      <c r="H65" s="186" t="str">
        <f>IFERROR(Tab_Compteur_2[[#This Row],[Colonne1]]/Tab_Compteur_2[[#This Row],[Delta Jour]],"")</f>
        <v/>
      </c>
      <c r="I65" s="208" t="str">
        <f t="shared" si="0"/>
        <v/>
      </c>
      <c r="J65" s="501"/>
      <c r="K65" s="73"/>
      <c r="L65" s="73"/>
      <c r="M65" s="73"/>
    </row>
    <row r="66" spans="1:13">
      <c r="A66" s="3">
        <f t="shared" si="1"/>
        <v>1</v>
      </c>
      <c r="C66" s="192"/>
      <c r="D66" s="195"/>
      <c r="E66" s="196"/>
      <c r="F66" s="186" t="str">
        <f>IF(Tab_Compteur_2[[#This Row],[Fin de période]]&gt;0,IFERROR(B66-A66+1,""),"")</f>
        <v/>
      </c>
      <c r="G66" t="str">
        <f>IF(IFERROR(IF(Str_TypeDonneesCpt2=Cpt_Index,Tab_Compteur_2[[#This Row],[Index]]-E65,Tab_Compteur_2[[#This Row],[Quantité]])/Tab_Compteur_2[[#This Row],[Delta Jour]],"")&lt;0,"",IFERROR(IF(Str_TypeDonneesCpt2=Cpt_Index,Tab_Compteur_2[[#This Row],[Index]]-E65,Tab_Compteur_2[[#This Row],[Quantité]])/Tab_Compteur_2[[#This Row],[Delta Jour]],""))</f>
        <v/>
      </c>
      <c r="H66" s="186" t="str">
        <f>IFERROR(Tab_Compteur_2[[#This Row],[Colonne1]]/Tab_Compteur_2[[#This Row],[Delta Jour]],"")</f>
        <v/>
      </c>
      <c r="I66" s="208" t="str">
        <f t="shared" si="0"/>
        <v/>
      </c>
      <c r="J66" s="501"/>
      <c r="K66" s="73"/>
      <c r="L66" s="73"/>
      <c r="M66" s="73"/>
    </row>
    <row r="67" spans="1:13">
      <c r="A67" s="3">
        <f t="shared" si="1"/>
        <v>1</v>
      </c>
      <c r="C67" s="192"/>
      <c r="D67" s="195"/>
      <c r="E67" s="196"/>
      <c r="F67" s="186" t="str">
        <f>IF(Tab_Compteur_2[[#This Row],[Fin de période]]&gt;0,IFERROR(B67-A67+1,""),"")</f>
        <v/>
      </c>
      <c r="G67" t="str">
        <f>IF(IFERROR(IF(Str_TypeDonneesCpt2=Cpt_Index,Tab_Compteur_2[[#This Row],[Index]]-E66,Tab_Compteur_2[[#This Row],[Quantité]])/Tab_Compteur_2[[#This Row],[Delta Jour]],"")&lt;0,"",IFERROR(IF(Str_TypeDonneesCpt2=Cpt_Index,Tab_Compteur_2[[#This Row],[Index]]-E66,Tab_Compteur_2[[#This Row],[Quantité]])/Tab_Compteur_2[[#This Row],[Delta Jour]],""))</f>
        <v/>
      </c>
      <c r="H67" s="186" t="str">
        <f>IFERROR(Tab_Compteur_2[[#This Row],[Colonne1]]/Tab_Compteur_2[[#This Row],[Delta Jour]],"")</f>
        <v/>
      </c>
      <c r="I67" s="208" t="str">
        <f t="shared" ref="I67:I130" si="2">G67</f>
        <v/>
      </c>
      <c r="J67" s="501"/>
      <c r="K67" s="73"/>
      <c r="L67" s="73"/>
      <c r="M67" s="73"/>
    </row>
    <row r="68" spans="1:13">
      <c r="A68" s="3">
        <f t="shared" si="1"/>
        <v>1</v>
      </c>
      <c r="C68" s="192"/>
      <c r="D68" s="195"/>
      <c r="E68" s="196"/>
      <c r="F68" s="186" t="str">
        <f>IF(Tab_Compteur_2[[#This Row],[Fin de période]]&gt;0,IFERROR(B68-A68+1,""),"")</f>
        <v/>
      </c>
      <c r="G68" t="str">
        <f>IF(IFERROR(IF(Str_TypeDonneesCpt2=Cpt_Index,Tab_Compteur_2[[#This Row],[Index]]-E67,Tab_Compteur_2[[#This Row],[Quantité]])/Tab_Compteur_2[[#This Row],[Delta Jour]],"")&lt;0,"",IFERROR(IF(Str_TypeDonneesCpt2=Cpt_Index,Tab_Compteur_2[[#This Row],[Index]]-E67,Tab_Compteur_2[[#This Row],[Quantité]])/Tab_Compteur_2[[#This Row],[Delta Jour]],""))</f>
        <v/>
      </c>
      <c r="H68" s="186" t="str">
        <f>IFERROR(Tab_Compteur_2[[#This Row],[Colonne1]]/Tab_Compteur_2[[#This Row],[Delta Jour]],"")</f>
        <v/>
      </c>
      <c r="I68" s="208" t="str">
        <f t="shared" si="2"/>
        <v/>
      </c>
      <c r="J68" s="501"/>
      <c r="K68" s="73"/>
      <c r="L68" s="73"/>
      <c r="M68" s="73"/>
    </row>
    <row r="69" spans="1:13">
      <c r="A69" s="3">
        <f t="shared" si="1"/>
        <v>1</v>
      </c>
      <c r="C69" s="192"/>
      <c r="D69" s="195"/>
      <c r="E69" s="196"/>
      <c r="F69" s="186" t="str">
        <f>IF(Tab_Compteur_2[[#This Row],[Fin de période]]&gt;0,IFERROR(B69-A69+1,""),"")</f>
        <v/>
      </c>
      <c r="G69" t="str">
        <f>IF(IFERROR(IF(Str_TypeDonneesCpt2=Cpt_Index,Tab_Compteur_2[[#This Row],[Index]]-E68,Tab_Compteur_2[[#This Row],[Quantité]])/Tab_Compteur_2[[#This Row],[Delta Jour]],"")&lt;0,"",IFERROR(IF(Str_TypeDonneesCpt2=Cpt_Index,Tab_Compteur_2[[#This Row],[Index]]-E68,Tab_Compteur_2[[#This Row],[Quantité]])/Tab_Compteur_2[[#This Row],[Delta Jour]],""))</f>
        <v/>
      </c>
      <c r="H69" s="186" t="str">
        <f>IFERROR(Tab_Compteur_2[[#This Row],[Colonne1]]/Tab_Compteur_2[[#This Row],[Delta Jour]],"")</f>
        <v/>
      </c>
      <c r="I69" s="208" t="str">
        <f t="shared" si="2"/>
        <v/>
      </c>
      <c r="J69" s="501"/>
      <c r="K69" s="73"/>
      <c r="L69" s="73"/>
      <c r="M69" s="73"/>
    </row>
    <row r="70" spans="1:13">
      <c r="A70" s="3">
        <f t="shared" ref="A70:A133" si="3">IFERROR(B69+1,0)</f>
        <v>1</v>
      </c>
      <c r="C70" s="192"/>
      <c r="D70" s="195"/>
      <c r="E70" s="196"/>
      <c r="F70" s="186" t="str">
        <f>IF(Tab_Compteur_2[[#This Row],[Fin de période]]&gt;0,IFERROR(B70-A70+1,""),"")</f>
        <v/>
      </c>
      <c r="G70" t="str">
        <f>IF(IFERROR(IF(Str_TypeDonneesCpt2=Cpt_Index,Tab_Compteur_2[[#This Row],[Index]]-E69,Tab_Compteur_2[[#This Row],[Quantité]])/Tab_Compteur_2[[#This Row],[Delta Jour]],"")&lt;0,"",IFERROR(IF(Str_TypeDonneesCpt2=Cpt_Index,Tab_Compteur_2[[#This Row],[Index]]-E69,Tab_Compteur_2[[#This Row],[Quantité]])/Tab_Compteur_2[[#This Row],[Delta Jour]],""))</f>
        <v/>
      </c>
      <c r="H70" s="186" t="str">
        <f>IFERROR(Tab_Compteur_2[[#This Row],[Colonne1]]/Tab_Compteur_2[[#This Row],[Delta Jour]],"")</f>
        <v/>
      </c>
      <c r="I70" s="208" t="str">
        <f t="shared" si="2"/>
        <v/>
      </c>
      <c r="J70" s="501"/>
      <c r="K70" s="73"/>
      <c r="L70" s="73"/>
      <c r="M70" s="73"/>
    </row>
    <row r="71" spans="1:13">
      <c r="A71" s="3">
        <f t="shared" si="3"/>
        <v>1</v>
      </c>
      <c r="C71" s="192"/>
      <c r="D71" s="195"/>
      <c r="E71" s="196"/>
      <c r="F71" s="186" t="str">
        <f>IF(Tab_Compteur_2[[#This Row],[Fin de période]]&gt;0,IFERROR(B71-A71+1,""),"")</f>
        <v/>
      </c>
      <c r="G71" t="str">
        <f>IF(IFERROR(IF(Str_TypeDonneesCpt2=Cpt_Index,Tab_Compteur_2[[#This Row],[Index]]-E70,Tab_Compteur_2[[#This Row],[Quantité]])/Tab_Compteur_2[[#This Row],[Delta Jour]],"")&lt;0,"",IFERROR(IF(Str_TypeDonneesCpt2=Cpt_Index,Tab_Compteur_2[[#This Row],[Index]]-E70,Tab_Compteur_2[[#This Row],[Quantité]])/Tab_Compteur_2[[#This Row],[Delta Jour]],""))</f>
        <v/>
      </c>
      <c r="H71" s="186" t="str">
        <f>IFERROR(Tab_Compteur_2[[#This Row],[Colonne1]]/Tab_Compteur_2[[#This Row],[Delta Jour]],"")</f>
        <v/>
      </c>
      <c r="I71" s="208" t="str">
        <f t="shared" si="2"/>
        <v/>
      </c>
      <c r="J71" s="501"/>
      <c r="K71" s="73"/>
      <c r="L71" s="73"/>
      <c r="M71" s="73"/>
    </row>
    <row r="72" spans="1:13">
      <c r="A72" s="3">
        <f t="shared" si="3"/>
        <v>1</v>
      </c>
      <c r="C72" s="192"/>
      <c r="D72" s="195"/>
      <c r="E72" s="196"/>
      <c r="F72" s="186" t="str">
        <f>IF(Tab_Compteur_2[[#This Row],[Fin de période]]&gt;0,IFERROR(B72-A72+1,""),"")</f>
        <v/>
      </c>
      <c r="G72" t="str">
        <f>IF(IFERROR(IF(Str_TypeDonneesCpt2=Cpt_Index,Tab_Compteur_2[[#This Row],[Index]]-E71,Tab_Compteur_2[[#This Row],[Quantité]])/Tab_Compteur_2[[#This Row],[Delta Jour]],"")&lt;0,"",IFERROR(IF(Str_TypeDonneesCpt2=Cpt_Index,Tab_Compteur_2[[#This Row],[Index]]-E71,Tab_Compteur_2[[#This Row],[Quantité]])/Tab_Compteur_2[[#This Row],[Delta Jour]],""))</f>
        <v/>
      </c>
      <c r="H72" s="186" t="str">
        <f>IFERROR(Tab_Compteur_2[[#This Row],[Colonne1]]/Tab_Compteur_2[[#This Row],[Delta Jour]],"")</f>
        <v/>
      </c>
      <c r="I72" s="208" t="str">
        <f t="shared" si="2"/>
        <v/>
      </c>
      <c r="J72" s="501"/>
      <c r="K72" s="73"/>
      <c r="L72" s="73"/>
      <c r="M72" s="73"/>
    </row>
    <row r="73" spans="1:13">
      <c r="A73" s="3">
        <f t="shared" si="3"/>
        <v>1</v>
      </c>
      <c r="C73" s="192"/>
      <c r="D73" s="195"/>
      <c r="E73" s="196"/>
      <c r="F73" s="186" t="str">
        <f>IF(Tab_Compteur_2[[#This Row],[Fin de période]]&gt;0,IFERROR(B73-A73+1,""),"")</f>
        <v/>
      </c>
      <c r="G73" t="str">
        <f>IF(IFERROR(IF(Str_TypeDonneesCpt2=Cpt_Index,Tab_Compteur_2[[#This Row],[Index]]-E72,Tab_Compteur_2[[#This Row],[Quantité]])/Tab_Compteur_2[[#This Row],[Delta Jour]],"")&lt;0,"",IFERROR(IF(Str_TypeDonneesCpt2=Cpt_Index,Tab_Compteur_2[[#This Row],[Index]]-E72,Tab_Compteur_2[[#This Row],[Quantité]])/Tab_Compteur_2[[#This Row],[Delta Jour]],""))</f>
        <v/>
      </c>
      <c r="H73" s="186" t="str">
        <f>IFERROR(Tab_Compteur_2[[#This Row],[Colonne1]]/Tab_Compteur_2[[#This Row],[Delta Jour]],"")</f>
        <v/>
      </c>
      <c r="I73" s="208" t="str">
        <f t="shared" si="2"/>
        <v/>
      </c>
      <c r="J73" s="501"/>
      <c r="K73" s="73"/>
      <c r="L73" s="73"/>
      <c r="M73" s="73"/>
    </row>
    <row r="74" spans="1:13">
      <c r="A74" s="3">
        <f t="shared" si="3"/>
        <v>1</v>
      </c>
      <c r="C74" s="192"/>
      <c r="D74" s="195"/>
      <c r="E74" s="196"/>
      <c r="F74" s="186" t="str">
        <f>IF(Tab_Compteur_2[[#This Row],[Fin de période]]&gt;0,IFERROR(B74-A74+1,""),"")</f>
        <v/>
      </c>
      <c r="G74" t="str">
        <f>IF(IFERROR(IF(Str_TypeDonneesCpt2=Cpt_Index,Tab_Compteur_2[[#This Row],[Index]]-E73,Tab_Compteur_2[[#This Row],[Quantité]])/Tab_Compteur_2[[#This Row],[Delta Jour]],"")&lt;0,"",IFERROR(IF(Str_TypeDonneesCpt2=Cpt_Index,Tab_Compteur_2[[#This Row],[Index]]-E73,Tab_Compteur_2[[#This Row],[Quantité]])/Tab_Compteur_2[[#This Row],[Delta Jour]],""))</f>
        <v/>
      </c>
      <c r="H74" s="186" t="str">
        <f>IFERROR(Tab_Compteur_2[[#This Row],[Colonne1]]/Tab_Compteur_2[[#This Row],[Delta Jour]],"")</f>
        <v/>
      </c>
      <c r="I74" s="208" t="str">
        <f t="shared" si="2"/>
        <v/>
      </c>
      <c r="J74" s="501"/>
      <c r="K74" s="73"/>
      <c r="L74" s="73"/>
      <c r="M74" s="73"/>
    </row>
    <row r="75" spans="1:13">
      <c r="A75" s="3">
        <f t="shared" si="3"/>
        <v>1</v>
      </c>
      <c r="C75" s="192"/>
      <c r="D75" s="195"/>
      <c r="E75" s="196"/>
      <c r="F75" s="186" t="str">
        <f>IF(Tab_Compteur_2[[#This Row],[Fin de période]]&gt;0,IFERROR(B75-A75+1,""),"")</f>
        <v/>
      </c>
      <c r="G75" t="str">
        <f>IF(IFERROR(IF(Str_TypeDonneesCpt2=Cpt_Index,Tab_Compteur_2[[#This Row],[Index]]-E74,Tab_Compteur_2[[#This Row],[Quantité]])/Tab_Compteur_2[[#This Row],[Delta Jour]],"")&lt;0,"",IFERROR(IF(Str_TypeDonneesCpt2=Cpt_Index,Tab_Compteur_2[[#This Row],[Index]]-E74,Tab_Compteur_2[[#This Row],[Quantité]])/Tab_Compteur_2[[#This Row],[Delta Jour]],""))</f>
        <v/>
      </c>
      <c r="H75" s="186" t="str">
        <f>IFERROR(Tab_Compteur_2[[#This Row],[Colonne1]]/Tab_Compteur_2[[#This Row],[Delta Jour]],"")</f>
        <v/>
      </c>
      <c r="I75" s="208" t="str">
        <f t="shared" si="2"/>
        <v/>
      </c>
      <c r="J75" s="501"/>
      <c r="K75" s="73"/>
      <c r="L75" s="73"/>
      <c r="M75" s="73"/>
    </row>
    <row r="76" spans="1:13">
      <c r="A76" s="3">
        <f t="shared" si="3"/>
        <v>1</v>
      </c>
      <c r="C76" s="192"/>
      <c r="D76" s="195"/>
      <c r="E76" s="196"/>
      <c r="F76" s="186" t="str">
        <f>IF(Tab_Compteur_2[[#This Row],[Fin de période]]&gt;0,IFERROR(B76-A76+1,""),"")</f>
        <v/>
      </c>
      <c r="G76" t="str">
        <f>IF(IFERROR(IF(Str_TypeDonneesCpt2=Cpt_Index,Tab_Compteur_2[[#This Row],[Index]]-E75,Tab_Compteur_2[[#This Row],[Quantité]])/Tab_Compteur_2[[#This Row],[Delta Jour]],"")&lt;0,"",IFERROR(IF(Str_TypeDonneesCpt2=Cpt_Index,Tab_Compteur_2[[#This Row],[Index]]-E75,Tab_Compteur_2[[#This Row],[Quantité]])/Tab_Compteur_2[[#This Row],[Delta Jour]],""))</f>
        <v/>
      </c>
      <c r="H76" s="186" t="str">
        <f>IFERROR(Tab_Compteur_2[[#This Row],[Colonne1]]/Tab_Compteur_2[[#This Row],[Delta Jour]],"")</f>
        <v/>
      </c>
      <c r="I76" s="208" t="str">
        <f t="shared" si="2"/>
        <v/>
      </c>
      <c r="J76" s="501"/>
      <c r="K76" s="73"/>
      <c r="L76" s="73"/>
      <c r="M76" s="73"/>
    </row>
    <row r="77" spans="1:13">
      <c r="A77" s="3">
        <f t="shared" si="3"/>
        <v>1</v>
      </c>
      <c r="C77" s="192"/>
      <c r="D77" s="195"/>
      <c r="E77" s="196"/>
      <c r="F77" s="186" t="str">
        <f>IF(Tab_Compteur_2[[#This Row],[Fin de période]]&gt;0,IFERROR(B77-A77+1,""),"")</f>
        <v/>
      </c>
      <c r="G77" t="str">
        <f>IF(IFERROR(IF(Str_TypeDonneesCpt2=Cpt_Index,Tab_Compteur_2[[#This Row],[Index]]-E76,Tab_Compteur_2[[#This Row],[Quantité]])/Tab_Compteur_2[[#This Row],[Delta Jour]],"")&lt;0,"",IFERROR(IF(Str_TypeDonneesCpt2=Cpt_Index,Tab_Compteur_2[[#This Row],[Index]]-E76,Tab_Compteur_2[[#This Row],[Quantité]])/Tab_Compteur_2[[#This Row],[Delta Jour]],""))</f>
        <v/>
      </c>
      <c r="H77" s="186" t="str">
        <f>IFERROR(Tab_Compteur_2[[#This Row],[Colonne1]]/Tab_Compteur_2[[#This Row],[Delta Jour]],"")</f>
        <v/>
      </c>
      <c r="I77" s="208" t="str">
        <f t="shared" si="2"/>
        <v/>
      </c>
      <c r="J77" s="501"/>
      <c r="K77" s="73"/>
      <c r="L77" s="73"/>
      <c r="M77" s="73"/>
    </row>
    <row r="78" spans="1:13">
      <c r="A78" s="3">
        <f t="shared" si="3"/>
        <v>1</v>
      </c>
      <c r="C78" s="192"/>
      <c r="D78" s="195"/>
      <c r="E78" s="196"/>
      <c r="F78" s="186" t="str">
        <f>IF(Tab_Compteur_2[[#This Row],[Fin de période]]&gt;0,IFERROR(B78-A78+1,""),"")</f>
        <v/>
      </c>
      <c r="G78" t="str">
        <f>IF(IFERROR(IF(Str_TypeDonneesCpt2=Cpt_Index,Tab_Compteur_2[[#This Row],[Index]]-E77,Tab_Compteur_2[[#This Row],[Quantité]])/Tab_Compteur_2[[#This Row],[Delta Jour]],"")&lt;0,"",IFERROR(IF(Str_TypeDonneesCpt2=Cpt_Index,Tab_Compteur_2[[#This Row],[Index]]-E77,Tab_Compteur_2[[#This Row],[Quantité]])/Tab_Compteur_2[[#This Row],[Delta Jour]],""))</f>
        <v/>
      </c>
      <c r="H78" s="186" t="str">
        <f>IFERROR(Tab_Compteur_2[[#This Row],[Colonne1]]/Tab_Compteur_2[[#This Row],[Delta Jour]],"")</f>
        <v/>
      </c>
      <c r="I78" s="208" t="str">
        <f t="shared" si="2"/>
        <v/>
      </c>
      <c r="J78" s="501"/>
      <c r="K78" s="73"/>
      <c r="L78" s="73"/>
      <c r="M78" s="73"/>
    </row>
    <row r="79" spans="1:13">
      <c r="A79" s="3">
        <f t="shared" si="3"/>
        <v>1</v>
      </c>
      <c r="C79" s="192"/>
      <c r="D79" s="195"/>
      <c r="E79" s="196"/>
      <c r="F79" s="186" t="str">
        <f>IF(Tab_Compteur_2[[#This Row],[Fin de période]]&gt;0,IFERROR(B79-A79+1,""),"")</f>
        <v/>
      </c>
      <c r="G79" t="str">
        <f>IF(IFERROR(IF(Str_TypeDonneesCpt2=Cpt_Index,Tab_Compteur_2[[#This Row],[Index]]-E78,Tab_Compteur_2[[#This Row],[Quantité]])/Tab_Compteur_2[[#This Row],[Delta Jour]],"")&lt;0,"",IFERROR(IF(Str_TypeDonneesCpt2=Cpt_Index,Tab_Compteur_2[[#This Row],[Index]]-E78,Tab_Compteur_2[[#This Row],[Quantité]])/Tab_Compteur_2[[#This Row],[Delta Jour]],""))</f>
        <v/>
      </c>
      <c r="H79" s="186" t="str">
        <f>IFERROR(Tab_Compteur_2[[#This Row],[Colonne1]]/Tab_Compteur_2[[#This Row],[Delta Jour]],"")</f>
        <v/>
      </c>
      <c r="I79" s="208" t="str">
        <f t="shared" si="2"/>
        <v/>
      </c>
      <c r="J79" s="501"/>
      <c r="K79" s="73"/>
      <c r="L79" s="73"/>
      <c r="M79" s="73"/>
    </row>
    <row r="80" spans="1:13">
      <c r="A80" s="3">
        <f t="shared" si="3"/>
        <v>1</v>
      </c>
      <c r="C80" s="192"/>
      <c r="D80" s="195"/>
      <c r="E80" s="196"/>
      <c r="F80" s="186" t="str">
        <f>IF(Tab_Compteur_2[[#This Row],[Fin de période]]&gt;0,IFERROR(B80-A80+1,""),"")</f>
        <v/>
      </c>
      <c r="G80" t="str">
        <f>IF(IFERROR(IF(Str_TypeDonneesCpt2=Cpt_Index,Tab_Compteur_2[[#This Row],[Index]]-E79,Tab_Compteur_2[[#This Row],[Quantité]])/Tab_Compteur_2[[#This Row],[Delta Jour]],"")&lt;0,"",IFERROR(IF(Str_TypeDonneesCpt2=Cpt_Index,Tab_Compteur_2[[#This Row],[Index]]-E79,Tab_Compteur_2[[#This Row],[Quantité]])/Tab_Compteur_2[[#This Row],[Delta Jour]],""))</f>
        <v/>
      </c>
      <c r="H80" s="186" t="str">
        <f>IFERROR(Tab_Compteur_2[[#This Row],[Colonne1]]/Tab_Compteur_2[[#This Row],[Delta Jour]],"")</f>
        <v/>
      </c>
      <c r="I80" s="208" t="str">
        <f t="shared" si="2"/>
        <v/>
      </c>
      <c r="J80" s="501"/>
      <c r="K80" s="73"/>
      <c r="L80" s="73"/>
      <c r="M80" s="73"/>
    </row>
    <row r="81" spans="1:13">
      <c r="A81" s="3">
        <f t="shared" si="3"/>
        <v>1</v>
      </c>
      <c r="C81" s="192"/>
      <c r="D81" s="195"/>
      <c r="E81" s="196"/>
      <c r="F81" s="186" t="str">
        <f>IF(Tab_Compteur_2[[#This Row],[Fin de période]]&gt;0,IFERROR(B81-A81+1,""),"")</f>
        <v/>
      </c>
      <c r="G81" t="str">
        <f>IF(IFERROR(IF(Str_TypeDonneesCpt2=Cpt_Index,Tab_Compteur_2[[#This Row],[Index]]-E80,Tab_Compteur_2[[#This Row],[Quantité]])/Tab_Compteur_2[[#This Row],[Delta Jour]],"")&lt;0,"",IFERROR(IF(Str_TypeDonneesCpt2=Cpt_Index,Tab_Compteur_2[[#This Row],[Index]]-E80,Tab_Compteur_2[[#This Row],[Quantité]])/Tab_Compteur_2[[#This Row],[Delta Jour]],""))</f>
        <v/>
      </c>
      <c r="H81" s="186" t="str">
        <f>IFERROR(Tab_Compteur_2[[#This Row],[Colonne1]]/Tab_Compteur_2[[#This Row],[Delta Jour]],"")</f>
        <v/>
      </c>
      <c r="I81" s="208" t="str">
        <f t="shared" si="2"/>
        <v/>
      </c>
      <c r="J81" s="501"/>
      <c r="K81" s="73"/>
      <c r="L81" s="73"/>
      <c r="M81" s="73"/>
    </row>
    <row r="82" spans="1:13">
      <c r="A82" s="3">
        <f t="shared" si="3"/>
        <v>1</v>
      </c>
      <c r="C82" s="192"/>
      <c r="D82" s="195"/>
      <c r="E82" s="196"/>
      <c r="F82" s="186" t="str">
        <f>IF(Tab_Compteur_2[[#This Row],[Fin de période]]&gt;0,IFERROR(B82-A82+1,""),"")</f>
        <v/>
      </c>
      <c r="G82" t="str">
        <f>IF(IFERROR(IF(Str_TypeDonneesCpt2=Cpt_Index,Tab_Compteur_2[[#This Row],[Index]]-E81,Tab_Compteur_2[[#This Row],[Quantité]])/Tab_Compteur_2[[#This Row],[Delta Jour]],"")&lt;0,"",IFERROR(IF(Str_TypeDonneesCpt2=Cpt_Index,Tab_Compteur_2[[#This Row],[Index]]-E81,Tab_Compteur_2[[#This Row],[Quantité]])/Tab_Compteur_2[[#This Row],[Delta Jour]],""))</f>
        <v/>
      </c>
      <c r="H82" s="186" t="str">
        <f>IFERROR(Tab_Compteur_2[[#This Row],[Colonne1]]/Tab_Compteur_2[[#This Row],[Delta Jour]],"")</f>
        <v/>
      </c>
      <c r="I82" s="208" t="str">
        <f t="shared" si="2"/>
        <v/>
      </c>
      <c r="J82" s="501"/>
      <c r="K82" s="73"/>
      <c r="L82" s="73"/>
      <c r="M82" s="73"/>
    </row>
    <row r="83" spans="1:13">
      <c r="A83" s="3">
        <f t="shared" si="3"/>
        <v>1</v>
      </c>
      <c r="C83" s="192"/>
      <c r="D83" s="195"/>
      <c r="E83" s="196"/>
      <c r="F83" s="186" t="str">
        <f>IF(Tab_Compteur_2[[#This Row],[Fin de période]]&gt;0,IFERROR(B83-A83+1,""),"")</f>
        <v/>
      </c>
      <c r="G83" t="str">
        <f>IF(IFERROR(IF(Str_TypeDonneesCpt2=Cpt_Index,Tab_Compteur_2[[#This Row],[Index]]-E82,Tab_Compteur_2[[#This Row],[Quantité]])/Tab_Compteur_2[[#This Row],[Delta Jour]],"")&lt;0,"",IFERROR(IF(Str_TypeDonneesCpt2=Cpt_Index,Tab_Compteur_2[[#This Row],[Index]]-E82,Tab_Compteur_2[[#This Row],[Quantité]])/Tab_Compteur_2[[#This Row],[Delta Jour]],""))</f>
        <v/>
      </c>
      <c r="H83" s="186" t="str">
        <f>IFERROR(Tab_Compteur_2[[#This Row],[Colonne1]]/Tab_Compteur_2[[#This Row],[Delta Jour]],"")</f>
        <v/>
      </c>
      <c r="I83" s="208" t="str">
        <f t="shared" si="2"/>
        <v/>
      </c>
      <c r="J83" s="501"/>
      <c r="K83" s="73"/>
      <c r="L83" s="73"/>
      <c r="M83" s="73"/>
    </row>
    <row r="84" spans="1:13">
      <c r="A84" s="3">
        <f t="shared" si="3"/>
        <v>1</v>
      </c>
      <c r="C84" s="192"/>
      <c r="D84" s="195"/>
      <c r="E84" s="196"/>
      <c r="F84" s="186" t="str">
        <f>IF(Tab_Compteur_2[[#This Row],[Fin de période]]&gt;0,IFERROR(B84-A84+1,""),"")</f>
        <v/>
      </c>
      <c r="G84" t="str">
        <f>IF(IFERROR(IF(Str_TypeDonneesCpt2=Cpt_Index,Tab_Compteur_2[[#This Row],[Index]]-E83,Tab_Compteur_2[[#This Row],[Quantité]])/Tab_Compteur_2[[#This Row],[Delta Jour]],"")&lt;0,"",IFERROR(IF(Str_TypeDonneesCpt2=Cpt_Index,Tab_Compteur_2[[#This Row],[Index]]-E83,Tab_Compteur_2[[#This Row],[Quantité]])/Tab_Compteur_2[[#This Row],[Delta Jour]],""))</f>
        <v/>
      </c>
      <c r="H84" s="186" t="str">
        <f>IFERROR(Tab_Compteur_2[[#This Row],[Colonne1]]/Tab_Compteur_2[[#This Row],[Delta Jour]],"")</f>
        <v/>
      </c>
      <c r="I84" s="208" t="str">
        <f t="shared" si="2"/>
        <v/>
      </c>
      <c r="J84" s="501"/>
      <c r="K84" s="73"/>
      <c r="L84" s="73"/>
      <c r="M84" s="73"/>
    </row>
    <row r="85" spans="1:13">
      <c r="A85" s="3">
        <f t="shared" si="3"/>
        <v>1</v>
      </c>
      <c r="C85" s="192"/>
      <c r="D85" s="195"/>
      <c r="E85" s="196"/>
      <c r="F85" s="186" t="str">
        <f>IF(Tab_Compteur_2[[#This Row],[Fin de période]]&gt;0,IFERROR(B85-A85+1,""),"")</f>
        <v/>
      </c>
      <c r="G85" t="str">
        <f>IF(IFERROR(IF(Str_TypeDonneesCpt2=Cpt_Index,Tab_Compteur_2[[#This Row],[Index]]-E84,Tab_Compteur_2[[#This Row],[Quantité]])/Tab_Compteur_2[[#This Row],[Delta Jour]],"")&lt;0,"",IFERROR(IF(Str_TypeDonneesCpt2=Cpt_Index,Tab_Compteur_2[[#This Row],[Index]]-E84,Tab_Compteur_2[[#This Row],[Quantité]])/Tab_Compteur_2[[#This Row],[Delta Jour]],""))</f>
        <v/>
      </c>
      <c r="H85" s="186" t="str">
        <f>IFERROR(Tab_Compteur_2[[#This Row],[Colonne1]]/Tab_Compteur_2[[#This Row],[Delta Jour]],"")</f>
        <v/>
      </c>
      <c r="I85" s="208" t="str">
        <f t="shared" si="2"/>
        <v/>
      </c>
      <c r="J85" s="501"/>
      <c r="K85" s="73"/>
      <c r="L85" s="73"/>
      <c r="M85" s="73"/>
    </row>
    <row r="86" spans="1:13">
      <c r="A86" s="3">
        <f t="shared" si="3"/>
        <v>1</v>
      </c>
      <c r="C86" s="192"/>
      <c r="D86" s="195"/>
      <c r="E86" s="196"/>
      <c r="F86" s="186" t="str">
        <f>IF(Tab_Compteur_2[[#This Row],[Fin de période]]&gt;0,IFERROR(B86-A86+1,""),"")</f>
        <v/>
      </c>
      <c r="G86" t="str">
        <f>IF(IFERROR(IF(Str_TypeDonneesCpt2=Cpt_Index,Tab_Compteur_2[[#This Row],[Index]]-E85,Tab_Compteur_2[[#This Row],[Quantité]])/Tab_Compteur_2[[#This Row],[Delta Jour]],"")&lt;0,"",IFERROR(IF(Str_TypeDonneesCpt2=Cpt_Index,Tab_Compteur_2[[#This Row],[Index]]-E85,Tab_Compteur_2[[#This Row],[Quantité]])/Tab_Compteur_2[[#This Row],[Delta Jour]],""))</f>
        <v/>
      </c>
      <c r="H86" s="186" t="str">
        <f>IFERROR(Tab_Compteur_2[[#This Row],[Colonne1]]/Tab_Compteur_2[[#This Row],[Delta Jour]],"")</f>
        <v/>
      </c>
      <c r="I86" s="208" t="str">
        <f t="shared" si="2"/>
        <v/>
      </c>
      <c r="J86" s="501"/>
      <c r="K86" s="73"/>
      <c r="L86" s="73"/>
      <c r="M86" s="73"/>
    </row>
    <row r="87" spans="1:13">
      <c r="A87" s="3">
        <f t="shared" si="3"/>
        <v>1</v>
      </c>
      <c r="C87" s="192"/>
      <c r="D87" s="195"/>
      <c r="E87" s="196"/>
      <c r="F87" s="186" t="str">
        <f>IF(Tab_Compteur_2[[#This Row],[Fin de période]]&gt;0,IFERROR(B87-A87+1,""),"")</f>
        <v/>
      </c>
      <c r="G87" t="str">
        <f>IF(IFERROR(IF(Str_TypeDonneesCpt2=Cpt_Index,Tab_Compteur_2[[#This Row],[Index]]-E86,Tab_Compteur_2[[#This Row],[Quantité]])/Tab_Compteur_2[[#This Row],[Delta Jour]],"")&lt;0,"",IFERROR(IF(Str_TypeDonneesCpt2=Cpt_Index,Tab_Compteur_2[[#This Row],[Index]]-E86,Tab_Compteur_2[[#This Row],[Quantité]])/Tab_Compteur_2[[#This Row],[Delta Jour]],""))</f>
        <v/>
      </c>
      <c r="H87" s="186" t="str">
        <f>IFERROR(Tab_Compteur_2[[#This Row],[Colonne1]]/Tab_Compteur_2[[#This Row],[Delta Jour]],"")</f>
        <v/>
      </c>
      <c r="I87" s="208" t="str">
        <f t="shared" si="2"/>
        <v/>
      </c>
      <c r="J87" s="501"/>
      <c r="K87" s="73"/>
      <c r="L87" s="73"/>
      <c r="M87" s="73"/>
    </row>
    <row r="88" spans="1:13">
      <c r="A88" s="3">
        <f t="shared" si="3"/>
        <v>1</v>
      </c>
      <c r="C88" s="192"/>
      <c r="D88" s="195"/>
      <c r="E88" s="196"/>
      <c r="F88" s="186" t="str">
        <f>IF(Tab_Compteur_2[[#This Row],[Fin de période]]&gt;0,IFERROR(B88-A88+1,""),"")</f>
        <v/>
      </c>
      <c r="G88" t="str">
        <f>IF(IFERROR(IF(Str_TypeDonneesCpt2=Cpt_Index,Tab_Compteur_2[[#This Row],[Index]]-E87,Tab_Compteur_2[[#This Row],[Quantité]])/Tab_Compteur_2[[#This Row],[Delta Jour]],"")&lt;0,"",IFERROR(IF(Str_TypeDonneesCpt2=Cpt_Index,Tab_Compteur_2[[#This Row],[Index]]-E87,Tab_Compteur_2[[#This Row],[Quantité]])/Tab_Compteur_2[[#This Row],[Delta Jour]],""))</f>
        <v/>
      </c>
      <c r="H88" s="186" t="str">
        <f>IFERROR(Tab_Compteur_2[[#This Row],[Colonne1]]/Tab_Compteur_2[[#This Row],[Delta Jour]],"")</f>
        <v/>
      </c>
      <c r="I88" s="208" t="str">
        <f t="shared" si="2"/>
        <v/>
      </c>
      <c r="J88" s="501"/>
      <c r="K88" s="73"/>
      <c r="L88" s="73"/>
      <c r="M88" s="73"/>
    </row>
    <row r="89" spans="1:13">
      <c r="A89" s="3">
        <f t="shared" si="3"/>
        <v>1</v>
      </c>
      <c r="C89" s="192"/>
      <c r="D89" s="195"/>
      <c r="E89" s="196"/>
      <c r="F89" s="186" t="str">
        <f>IF(Tab_Compteur_2[[#This Row],[Fin de période]]&gt;0,IFERROR(B89-A89+1,""),"")</f>
        <v/>
      </c>
      <c r="G89" t="str">
        <f>IF(IFERROR(IF(Str_TypeDonneesCpt2=Cpt_Index,Tab_Compteur_2[[#This Row],[Index]]-E88,Tab_Compteur_2[[#This Row],[Quantité]])/Tab_Compteur_2[[#This Row],[Delta Jour]],"")&lt;0,"",IFERROR(IF(Str_TypeDonneesCpt2=Cpt_Index,Tab_Compteur_2[[#This Row],[Index]]-E88,Tab_Compteur_2[[#This Row],[Quantité]])/Tab_Compteur_2[[#This Row],[Delta Jour]],""))</f>
        <v/>
      </c>
      <c r="H89" s="186" t="str">
        <f>IFERROR(Tab_Compteur_2[[#This Row],[Colonne1]]/Tab_Compteur_2[[#This Row],[Delta Jour]],"")</f>
        <v/>
      </c>
      <c r="I89" s="208" t="str">
        <f t="shared" si="2"/>
        <v/>
      </c>
      <c r="J89" s="501"/>
      <c r="K89" s="73"/>
      <c r="L89" s="73"/>
      <c r="M89" s="73"/>
    </row>
    <row r="90" spans="1:13">
      <c r="A90" s="3">
        <f t="shared" si="3"/>
        <v>1</v>
      </c>
      <c r="C90" s="192"/>
      <c r="D90" s="195"/>
      <c r="E90" s="196"/>
      <c r="F90" s="186" t="str">
        <f>IF(Tab_Compteur_2[[#This Row],[Fin de période]]&gt;0,IFERROR(B90-A90+1,""),"")</f>
        <v/>
      </c>
      <c r="G90" t="str">
        <f>IF(IFERROR(IF(Str_TypeDonneesCpt2=Cpt_Index,Tab_Compteur_2[[#This Row],[Index]]-E89,Tab_Compteur_2[[#This Row],[Quantité]])/Tab_Compteur_2[[#This Row],[Delta Jour]],"")&lt;0,"",IFERROR(IF(Str_TypeDonneesCpt2=Cpt_Index,Tab_Compteur_2[[#This Row],[Index]]-E89,Tab_Compteur_2[[#This Row],[Quantité]])/Tab_Compteur_2[[#This Row],[Delta Jour]],""))</f>
        <v/>
      </c>
      <c r="H90" s="186" t="str">
        <f>IFERROR(Tab_Compteur_2[[#This Row],[Colonne1]]/Tab_Compteur_2[[#This Row],[Delta Jour]],"")</f>
        <v/>
      </c>
      <c r="I90" s="208" t="str">
        <f t="shared" si="2"/>
        <v/>
      </c>
      <c r="J90" s="501"/>
      <c r="K90" s="73"/>
      <c r="L90" s="73"/>
      <c r="M90" s="73"/>
    </row>
    <row r="91" spans="1:13">
      <c r="A91" s="3">
        <f t="shared" si="3"/>
        <v>1</v>
      </c>
      <c r="C91" s="192"/>
      <c r="D91" s="195"/>
      <c r="E91" s="196"/>
      <c r="F91" s="186" t="str">
        <f>IF(Tab_Compteur_2[[#This Row],[Fin de période]]&gt;0,IFERROR(B91-A91+1,""),"")</f>
        <v/>
      </c>
      <c r="G91" t="str">
        <f>IF(IFERROR(IF(Str_TypeDonneesCpt2=Cpt_Index,Tab_Compteur_2[[#This Row],[Index]]-E90,Tab_Compteur_2[[#This Row],[Quantité]])/Tab_Compteur_2[[#This Row],[Delta Jour]],"")&lt;0,"",IFERROR(IF(Str_TypeDonneesCpt2=Cpt_Index,Tab_Compteur_2[[#This Row],[Index]]-E90,Tab_Compteur_2[[#This Row],[Quantité]])/Tab_Compteur_2[[#This Row],[Delta Jour]],""))</f>
        <v/>
      </c>
      <c r="H91" s="186" t="str">
        <f>IFERROR(Tab_Compteur_2[[#This Row],[Colonne1]]/Tab_Compteur_2[[#This Row],[Delta Jour]],"")</f>
        <v/>
      </c>
      <c r="I91" s="208" t="str">
        <f t="shared" si="2"/>
        <v/>
      </c>
      <c r="J91" s="501"/>
      <c r="K91" s="73"/>
      <c r="L91" s="73"/>
      <c r="M91" s="73"/>
    </row>
    <row r="92" spans="1:13">
      <c r="A92" s="3">
        <f t="shared" si="3"/>
        <v>1</v>
      </c>
      <c r="C92" s="192"/>
      <c r="D92" s="195"/>
      <c r="E92" s="196"/>
      <c r="F92" s="186" t="str">
        <f>IF(Tab_Compteur_2[[#This Row],[Fin de période]]&gt;0,IFERROR(B92-A92+1,""),"")</f>
        <v/>
      </c>
      <c r="G92" t="str">
        <f>IF(IFERROR(IF(Str_TypeDonneesCpt2=Cpt_Index,Tab_Compteur_2[[#This Row],[Index]]-E91,Tab_Compteur_2[[#This Row],[Quantité]])/Tab_Compteur_2[[#This Row],[Delta Jour]],"")&lt;0,"",IFERROR(IF(Str_TypeDonneesCpt2=Cpt_Index,Tab_Compteur_2[[#This Row],[Index]]-E91,Tab_Compteur_2[[#This Row],[Quantité]])/Tab_Compteur_2[[#This Row],[Delta Jour]],""))</f>
        <v/>
      </c>
      <c r="H92" s="186" t="str">
        <f>IFERROR(Tab_Compteur_2[[#This Row],[Colonne1]]/Tab_Compteur_2[[#This Row],[Delta Jour]],"")</f>
        <v/>
      </c>
      <c r="I92" s="208" t="str">
        <f t="shared" si="2"/>
        <v/>
      </c>
      <c r="J92" s="501"/>
      <c r="K92" s="73"/>
      <c r="L92" s="73"/>
      <c r="M92" s="73"/>
    </row>
    <row r="93" spans="1:13">
      <c r="A93" s="3">
        <f t="shared" si="3"/>
        <v>1</v>
      </c>
      <c r="C93" s="192"/>
      <c r="D93" s="195"/>
      <c r="E93" s="196"/>
      <c r="F93" s="186" t="str">
        <f>IF(Tab_Compteur_2[[#This Row],[Fin de période]]&gt;0,IFERROR(B93-A93+1,""),"")</f>
        <v/>
      </c>
      <c r="G93" t="str">
        <f>IF(IFERROR(IF(Str_TypeDonneesCpt2=Cpt_Index,Tab_Compteur_2[[#This Row],[Index]]-E92,Tab_Compteur_2[[#This Row],[Quantité]])/Tab_Compteur_2[[#This Row],[Delta Jour]],"")&lt;0,"",IFERROR(IF(Str_TypeDonneesCpt2=Cpt_Index,Tab_Compteur_2[[#This Row],[Index]]-E92,Tab_Compteur_2[[#This Row],[Quantité]])/Tab_Compteur_2[[#This Row],[Delta Jour]],""))</f>
        <v/>
      </c>
      <c r="H93" s="186" t="str">
        <f>IFERROR(Tab_Compteur_2[[#This Row],[Colonne1]]/Tab_Compteur_2[[#This Row],[Delta Jour]],"")</f>
        <v/>
      </c>
      <c r="I93" s="208" t="str">
        <f t="shared" si="2"/>
        <v/>
      </c>
      <c r="J93" s="501"/>
      <c r="K93" s="73"/>
      <c r="L93" s="73"/>
      <c r="M93" s="73"/>
    </row>
    <row r="94" spans="1:13">
      <c r="A94" s="3">
        <f t="shared" si="3"/>
        <v>1</v>
      </c>
      <c r="C94" s="192"/>
      <c r="D94" s="195"/>
      <c r="E94" s="196"/>
      <c r="F94" s="186" t="str">
        <f>IF(Tab_Compteur_2[[#This Row],[Fin de période]]&gt;0,IFERROR(B94-A94+1,""),"")</f>
        <v/>
      </c>
      <c r="G94" t="str">
        <f>IF(IFERROR(IF(Str_TypeDonneesCpt2=Cpt_Index,Tab_Compteur_2[[#This Row],[Index]]-E93,Tab_Compteur_2[[#This Row],[Quantité]])/Tab_Compteur_2[[#This Row],[Delta Jour]],"")&lt;0,"",IFERROR(IF(Str_TypeDonneesCpt2=Cpt_Index,Tab_Compteur_2[[#This Row],[Index]]-E93,Tab_Compteur_2[[#This Row],[Quantité]])/Tab_Compteur_2[[#This Row],[Delta Jour]],""))</f>
        <v/>
      </c>
      <c r="H94" s="186" t="str">
        <f>IFERROR(Tab_Compteur_2[[#This Row],[Colonne1]]/Tab_Compteur_2[[#This Row],[Delta Jour]],"")</f>
        <v/>
      </c>
      <c r="I94" s="208" t="str">
        <f t="shared" si="2"/>
        <v/>
      </c>
      <c r="J94" s="501"/>
      <c r="K94" s="73"/>
      <c r="L94" s="73"/>
      <c r="M94" s="73"/>
    </row>
    <row r="95" spans="1:13">
      <c r="A95" s="3">
        <f t="shared" si="3"/>
        <v>1</v>
      </c>
      <c r="C95" s="192"/>
      <c r="D95" s="195"/>
      <c r="E95" s="196"/>
      <c r="F95" s="186" t="str">
        <f>IF(Tab_Compteur_2[[#This Row],[Fin de période]]&gt;0,IFERROR(B95-A95+1,""),"")</f>
        <v/>
      </c>
      <c r="G95" t="str">
        <f>IF(IFERROR(IF(Str_TypeDonneesCpt2=Cpt_Index,Tab_Compteur_2[[#This Row],[Index]]-E94,Tab_Compteur_2[[#This Row],[Quantité]])/Tab_Compteur_2[[#This Row],[Delta Jour]],"")&lt;0,"",IFERROR(IF(Str_TypeDonneesCpt2=Cpt_Index,Tab_Compteur_2[[#This Row],[Index]]-E94,Tab_Compteur_2[[#This Row],[Quantité]])/Tab_Compteur_2[[#This Row],[Delta Jour]],""))</f>
        <v/>
      </c>
      <c r="H95" s="186" t="str">
        <f>IFERROR(Tab_Compteur_2[[#This Row],[Colonne1]]/Tab_Compteur_2[[#This Row],[Delta Jour]],"")</f>
        <v/>
      </c>
      <c r="I95" s="208" t="str">
        <f t="shared" si="2"/>
        <v/>
      </c>
      <c r="J95" s="501"/>
      <c r="K95" s="73"/>
      <c r="L95" s="73"/>
      <c r="M95" s="73"/>
    </row>
    <row r="96" spans="1:13">
      <c r="A96" s="3">
        <f t="shared" si="3"/>
        <v>1</v>
      </c>
      <c r="C96" s="192"/>
      <c r="D96" s="195"/>
      <c r="E96" s="196"/>
      <c r="F96" s="186" t="str">
        <f>IF(Tab_Compteur_2[[#This Row],[Fin de période]]&gt;0,IFERROR(B96-A96+1,""),"")</f>
        <v/>
      </c>
      <c r="G96" t="str">
        <f>IF(IFERROR(IF(Str_TypeDonneesCpt2=Cpt_Index,Tab_Compteur_2[[#This Row],[Index]]-E95,Tab_Compteur_2[[#This Row],[Quantité]])/Tab_Compteur_2[[#This Row],[Delta Jour]],"")&lt;0,"",IFERROR(IF(Str_TypeDonneesCpt2=Cpt_Index,Tab_Compteur_2[[#This Row],[Index]]-E95,Tab_Compteur_2[[#This Row],[Quantité]])/Tab_Compteur_2[[#This Row],[Delta Jour]],""))</f>
        <v/>
      </c>
      <c r="H96" s="186" t="str">
        <f>IFERROR(Tab_Compteur_2[[#This Row],[Colonne1]]/Tab_Compteur_2[[#This Row],[Delta Jour]],"")</f>
        <v/>
      </c>
      <c r="I96" s="208" t="str">
        <f t="shared" si="2"/>
        <v/>
      </c>
      <c r="J96" s="501"/>
      <c r="K96" s="73"/>
      <c r="L96" s="73"/>
      <c r="M96" s="73"/>
    </row>
    <row r="97" spans="1:13">
      <c r="A97" s="3">
        <f t="shared" si="3"/>
        <v>1</v>
      </c>
      <c r="C97" s="192"/>
      <c r="D97" s="195"/>
      <c r="E97" s="196"/>
      <c r="F97" s="186" t="str">
        <f>IF(Tab_Compteur_2[[#This Row],[Fin de période]]&gt;0,IFERROR(B97-A97+1,""),"")</f>
        <v/>
      </c>
      <c r="G97" t="str">
        <f>IF(IFERROR(IF(Str_TypeDonneesCpt2=Cpt_Index,Tab_Compteur_2[[#This Row],[Index]]-E96,Tab_Compteur_2[[#This Row],[Quantité]])/Tab_Compteur_2[[#This Row],[Delta Jour]],"")&lt;0,"",IFERROR(IF(Str_TypeDonneesCpt2=Cpt_Index,Tab_Compteur_2[[#This Row],[Index]]-E96,Tab_Compteur_2[[#This Row],[Quantité]])/Tab_Compteur_2[[#This Row],[Delta Jour]],""))</f>
        <v/>
      </c>
      <c r="H97" s="186" t="str">
        <f>IFERROR(Tab_Compteur_2[[#This Row],[Colonne1]]/Tab_Compteur_2[[#This Row],[Delta Jour]],"")</f>
        <v/>
      </c>
      <c r="I97" s="208" t="str">
        <f t="shared" si="2"/>
        <v/>
      </c>
      <c r="J97" s="501"/>
      <c r="K97" s="73"/>
      <c r="L97" s="73"/>
      <c r="M97" s="73"/>
    </row>
    <row r="98" spans="1:13">
      <c r="A98" s="3">
        <f t="shared" si="3"/>
        <v>1</v>
      </c>
      <c r="C98" s="192"/>
      <c r="D98" s="195"/>
      <c r="E98" s="196"/>
      <c r="F98" s="186" t="str">
        <f>IF(Tab_Compteur_2[[#This Row],[Fin de période]]&gt;0,IFERROR(B98-A98+1,""),"")</f>
        <v/>
      </c>
      <c r="G98" t="str">
        <f>IF(IFERROR(IF(Str_TypeDonneesCpt2=Cpt_Index,Tab_Compteur_2[[#This Row],[Index]]-E97,Tab_Compteur_2[[#This Row],[Quantité]])/Tab_Compteur_2[[#This Row],[Delta Jour]],"")&lt;0,"",IFERROR(IF(Str_TypeDonneesCpt2=Cpt_Index,Tab_Compteur_2[[#This Row],[Index]]-E97,Tab_Compteur_2[[#This Row],[Quantité]])/Tab_Compteur_2[[#This Row],[Delta Jour]],""))</f>
        <v/>
      </c>
      <c r="H98" s="186" t="str">
        <f>IFERROR(Tab_Compteur_2[[#This Row],[Colonne1]]/Tab_Compteur_2[[#This Row],[Delta Jour]],"")</f>
        <v/>
      </c>
      <c r="I98" s="208" t="str">
        <f t="shared" si="2"/>
        <v/>
      </c>
      <c r="J98" s="501"/>
      <c r="K98" s="73"/>
      <c r="L98" s="73"/>
      <c r="M98" s="73"/>
    </row>
    <row r="99" spans="1:13">
      <c r="A99" s="3">
        <f t="shared" si="3"/>
        <v>1</v>
      </c>
      <c r="C99" s="192"/>
      <c r="D99" s="195"/>
      <c r="E99" s="196"/>
      <c r="F99" s="186" t="str">
        <f>IF(Tab_Compteur_2[[#This Row],[Fin de période]]&gt;0,IFERROR(B99-A99+1,""),"")</f>
        <v/>
      </c>
      <c r="G99" t="str">
        <f>IF(IFERROR(IF(Str_TypeDonneesCpt2=Cpt_Index,Tab_Compteur_2[[#This Row],[Index]]-E98,Tab_Compteur_2[[#This Row],[Quantité]])/Tab_Compteur_2[[#This Row],[Delta Jour]],"")&lt;0,"",IFERROR(IF(Str_TypeDonneesCpt2=Cpt_Index,Tab_Compteur_2[[#This Row],[Index]]-E98,Tab_Compteur_2[[#This Row],[Quantité]])/Tab_Compteur_2[[#This Row],[Delta Jour]],""))</f>
        <v/>
      </c>
      <c r="H99" s="186" t="str">
        <f>IFERROR(Tab_Compteur_2[[#This Row],[Colonne1]]/Tab_Compteur_2[[#This Row],[Delta Jour]],"")</f>
        <v/>
      </c>
      <c r="I99" s="208" t="str">
        <f t="shared" si="2"/>
        <v/>
      </c>
      <c r="J99" s="501"/>
      <c r="K99" s="73"/>
      <c r="L99" s="73"/>
      <c r="M99" s="73"/>
    </row>
    <row r="100" spans="1:13">
      <c r="A100" s="3">
        <f t="shared" si="3"/>
        <v>1</v>
      </c>
      <c r="C100" s="192"/>
      <c r="D100" s="195"/>
      <c r="E100" s="196"/>
      <c r="F100" s="186" t="str">
        <f>IF(Tab_Compteur_2[[#This Row],[Fin de période]]&gt;0,IFERROR(B100-A100+1,""),"")</f>
        <v/>
      </c>
      <c r="G100" t="str">
        <f>IF(IFERROR(IF(Str_TypeDonneesCpt2=Cpt_Index,Tab_Compteur_2[[#This Row],[Index]]-E99,Tab_Compteur_2[[#This Row],[Quantité]])/Tab_Compteur_2[[#This Row],[Delta Jour]],"")&lt;0,"",IFERROR(IF(Str_TypeDonneesCpt2=Cpt_Index,Tab_Compteur_2[[#This Row],[Index]]-E99,Tab_Compteur_2[[#This Row],[Quantité]])/Tab_Compteur_2[[#This Row],[Delta Jour]],""))</f>
        <v/>
      </c>
      <c r="H100" s="186" t="str">
        <f>IFERROR(Tab_Compteur_2[[#This Row],[Colonne1]]/Tab_Compteur_2[[#This Row],[Delta Jour]],"")</f>
        <v/>
      </c>
      <c r="I100" s="208" t="str">
        <f t="shared" si="2"/>
        <v/>
      </c>
      <c r="J100" s="501"/>
      <c r="K100" s="73"/>
      <c r="L100" s="73"/>
      <c r="M100" s="73"/>
    </row>
    <row r="101" spans="1:13">
      <c r="A101" s="3">
        <f t="shared" si="3"/>
        <v>1</v>
      </c>
      <c r="C101" s="192"/>
      <c r="D101" s="195"/>
      <c r="E101" s="196"/>
      <c r="F101" s="186" t="str">
        <f>IF(Tab_Compteur_2[[#This Row],[Fin de période]]&gt;0,IFERROR(B101-A101+1,""),"")</f>
        <v/>
      </c>
      <c r="G101" t="str">
        <f>IF(IFERROR(IF(Str_TypeDonneesCpt2=Cpt_Index,Tab_Compteur_2[[#This Row],[Index]]-E100,Tab_Compteur_2[[#This Row],[Quantité]])/Tab_Compteur_2[[#This Row],[Delta Jour]],"")&lt;0,"",IFERROR(IF(Str_TypeDonneesCpt2=Cpt_Index,Tab_Compteur_2[[#This Row],[Index]]-E100,Tab_Compteur_2[[#This Row],[Quantité]])/Tab_Compteur_2[[#This Row],[Delta Jour]],""))</f>
        <v/>
      </c>
      <c r="H101" s="186" t="str">
        <f>IFERROR(Tab_Compteur_2[[#This Row],[Colonne1]]/Tab_Compteur_2[[#This Row],[Delta Jour]],"")</f>
        <v/>
      </c>
      <c r="I101" s="208" t="str">
        <f t="shared" si="2"/>
        <v/>
      </c>
      <c r="J101" s="501"/>
      <c r="K101" s="73"/>
      <c r="L101" s="73"/>
      <c r="M101" s="73"/>
    </row>
    <row r="102" spans="1:13">
      <c r="A102" s="3">
        <f t="shared" si="3"/>
        <v>1</v>
      </c>
      <c r="C102" s="192"/>
      <c r="D102" s="195"/>
      <c r="E102" s="196"/>
      <c r="F102" s="186" t="str">
        <f>IF(Tab_Compteur_2[[#This Row],[Fin de période]]&gt;0,IFERROR(B102-A102+1,""),"")</f>
        <v/>
      </c>
      <c r="G102" t="str">
        <f>IF(IFERROR(IF(Str_TypeDonneesCpt2=Cpt_Index,Tab_Compteur_2[[#This Row],[Index]]-E101,Tab_Compteur_2[[#This Row],[Quantité]])/Tab_Compteur_2[[#This Row],[Delta Jour]],"")&lt;0,"",IFERROR(IF(Str_TypeDonneesCpt2=Cpt_Index,Tab_Compteur_2[[#This Row],[Index]]-E101,Tab_Compteur_2[[#This Row],[Quantité]])/Tab_Compteur_2[[#This Row],[Delta Jour]],""))</f>
        <v/>
      </c>
      <c r="H102" s="186" t="str">
        <f>IFERROR(Tab_Compteur_2[[#This Row],[Colonne1]]/Tab_Compteur_2[[#This Row],[Delta Jour]],"")</f>
        <v/>
      </c>
      <c r="I102" s="208" t="str">
        <f t="shared" si="2"/>
        <v/>
      </c>
      <c r="J102" s="501"/>
      <c r="K102" s="73"/>
      <c r="L102" s="73"/>
      <c r="M102" s="73"/>
    </row>
    <row r="103" spans="1:13">
      <c r="A103" s="3">
        <f t="shared" si="3"/>
        <v>1</v>
      </c>
      <c r="C103" s="192"/>
      <c r="D103" s="195"/>
      <c r="E103" s="196"/>
      <c r="F103" s="186" t="str">
        <f>IF(Tab_Compteur_2[[#This Row],[Fin de période]]&gt;0,IFERROR(B103-A103+1,""),"")</f>
        <v/>
      </c>
      <c r="G103" t="str">
        <f>IF(IFERROR(IF(Str_TypeDonneesCpt2=Cpt_Index,Tab_Compteur_2[[#This Row],[Index]]-E102,Tab_Compteur_2[[#This Row],[Quantité]])/Tab_Compteur_2[[#This Row],[Delta Jour]],"")&lt;0,"",IFERROR(IF(Str_TypeDonneesCpt2=Cpt_Index,Tab_Compteur_2[[#This Row],[Index]]-E102,Tab_Compteur_2[[#This Row],[Quantité]])/Tab_Compteur_2[[#This Row],[Delta Jour]],""))</f>
        <v/>
      </c>
      <c r="H103" s="186" t="str">
        <f>IFERROR(Tab_Compteur_2[[#This Row],[Colonne1]]/Tab_Compteur_2[[#This Row],[Delta Jour]],"")</f>
        <v/>
      </c>
      <c r="I103" s="208" t="str">
        <f t="shared" si="2"/>
        <v/>
      </c>
      <c r="J103" s="501"/>
      <c r="K103" s="73"/>
      <c r="L103" s="73"/>
      <c r="M103" s="73"/>
    </row>
    <row r="104" spans="1:13">
      <c r="A104" s="3">
        <f t="shared" si="3"/>
        <v>1</v>
      </c>
      <c r="C104" s="192"/>
      <c r="D104" s="195"/>
      <c r="E104" s="196"/>
      <c r="F104" s="186" t="str">
        <f>IF(Tab_Compteur_2[[#This Row],[Fin de période]]&gt;0,IFERROR(B104-A104+1,""),"")</f>
        <v/>
      </c>
      <c r="G104" t="str">
        <f>IF(IFERROR(IF(Str_TypeDonneesCpt2=Cpt_Index,Tab_Compteur_2[[#This Row],[Index]]-E103,Tab_Compteur_2[[#This Row],[Quantité]])/Tab_Compteur_2[[#This Row],[Delta Jour]],"")&lt;0,"",IFERROR(IF(Str_TypeDonneesCpt2=Cpt_Index,Tab_Compteur_2[[#This Row],[Index]]-E103,Tab_Compteur_2[[#This Row],[Quantité]])/Tab_Compteur_2[[#This Row],[Delta Jour]],""))</f>
        <v/>
      </c>
      <c r="H104" s="186" t="str">
        <f>IFERROR(Tab_Compteur_2[[#This Row],[Colonne1]]/Tab_Compteur_2[[#This Row],[Delta Jour]],"")</f>
        <v/>
      </c>
      <c r="I104" s="208" t="str">
        <f t="shared" si="2"/>
        <v/>
      </c>
      <c r="J104" s="501"/>
      <c r="K104" s="73"/>
      <c r="L104" s="73"/>
      <c r="M104" s="73"/>
    </row>
    <row r="105" spans="1:13">
      <c r="A105" s="3">
        <f t="shared" si="3"/>
        <v>1</v>
      </c>
      <c r="C105" s="192"/>
      <c r="D105" s="195"/>
      <c r="E105" s="196"/>
      <c r="F105" s="186" t="str">
        <f>IF(Tab_Compteur_2[[#This Row],[Fin de période]]&gt;0,IFERROR(B105-A105+1,""),"")</f>
        <v/>
      </c>
      <c r="G105" t="str">
        <f>IF(IFERROR(IF(Str_TypeDonneesCpt2=Cpt_Index,Tab_Compteur_2[[#This Row],[Index]]-E104,Tab_Compteur_2[[#This Row],[Quantité]])/Tab_Compteur_2[[#This Row],[Delta Jour]],"")&lt;0,"",IFERROR(IF(Str_TypeDonneesCpt2=Cpt_Index,Tab_Compteur_2[[#This Row],[Index]]-E104,Tab_Compteur_2[[#This Row],[Quantité]])/Tab_Compteur_2[[#This Row],[Delta Jour]],""))</f>
        <v/>
      </c>
      <c r="H105" s="186" t="str">
        <f>IFERROR(Tab_Compteur_2[[#This Row],[Colonne1]]/Tab_Compteur_2[[#This Row],[Delta Jour]],"")</f>
        <v/>
      </c>
      <c r="I105" s="208" t="str">
        <f t="shared" si="2"/>
        <v/>
      </c>
      <c r="J105" s="501"/>
      <c r="K105" s="73"/>
      <c r="L105" s="73"/>
      <c r="M105" s="73"/>
    </row>
    <row r="106" spans="1:13">
      <c r="A106" s="3">
        <f t="shared" si="3"/>
        <v>1</v>
      </c>
      <c r="C106" s="192"/>
      <c r="D106" s="195"/>
      <c r="E106" s="196"/>
      <c r="F106" s="186" t="str">
        <f>IF(Tab_Compteur_2[[#This Row],[Fin de période]]&gt;0,IFERROR(B106-A106+1,""),"")</f>
        <v/>
      </c>
      <c r="G106" t="str">
        <f>IF(IFERROR(IF(Str_TypeDonneesCpt2=Cpt_Index,Tab_Compteur_2[[#This Row],[Index]]-E105,Tab_Compteur_2[[#This Row],[Quantité]])/Tab_Compteur_2[[#This Row],[Delta Jour]],"")&lt;0,"",IFERROR(IF(Str_TypeDonneesCpt2=Cpt_Index,Tab_Compteur_2[[#This Row],[Index]]-E105,Tab_Compteur_2[[#This Row],[Quantité]])/Tab_Compteur_2[[#This Row],[Delta Jour]],""))</f>
        <v/>
      </c>
      <c r="H106" s="186" t="str">
        <f>IFERROR(Tab_Compteur_2[[#This Row],[Colonne1]]/Tab_Compteur_2[[#This Row],[Delta Jour]],"")</f>
        <v/>
      </c>
      <c r="I106" s="208" t="str">
        <f t="shared" si="2"/>
        <v/>
      </c>
      <c r="J106" s="501"/>
      <c r="K106" s="73"/>
      <c r="L106" s="73"/>
      <c r="M106" s="73"/>
    </row>
    <row r="107" spans="1:13">
      <c r="A107" s="3">
        <f t="shared" si="3"/>
        <v>1</v>
      </c>
      <c r="C107" s="192"/>
      <c r="D107" s="195"/>
      <c r="E107" s="196"/>
      <c r="F107" s="186" t="str">
        <f>IF(Tab_Compteur_2[[#This Row],[Fin de période]]&gt;0,IFERROR(B107-A107+1,""),"")</f>
        <v/>
      </c>
      <c r="G107" t="str">
        <f>IF(IFERROR(IF(Str_TypeDonneesCpt2=Cpt_Index,Tab_Compteur_2[[#This Row],[Index]]-E106,Tab_Compteur_2[[#This Row],[Quantité]])/Tab_Compteur_2[[#This Row],[Delta Jour]],"")&lt;0,"",IFERROR(IF(Str_TypeDonneesCpt2=Cpt_Index,Tab_Compteur_2[[#This Row],[Index]]-E106,Tab_Compteur_2[[#This Row],[Quantité]])/Tab_Compteur_2[[#This Row],[Delta Jour]],""))</f>
        <v/>
      </c>
      <c r="H107" s="186" t="str">
        <f>IFERROR(Tab_Compteur_2[[#This Row],[Colonne1]]/Tab_Compteur_2[[#This Row],[Delta Jour]],"")</f>
        <v/>
      </c>
      <c r="I107" s="208" t="str">
        <f t="shared" si="2"/>
        <v/>
      </c>
      <c r="J107" s="501"/>
      <c r="K107" s="73"/>
      <c r="L107" s="73"/>
      <c r="M107" s="73"/>
    </row>
    <row r="108" spans="1:13">
      <c r="A108" s="3">
        <f t="shared" si="3"/>
        <v>1</v>
      </c>
      <c r="C108" s="192"/>
      <c r="D108" s="195"/>
      <c r="E108" s="196"/>
      <c r="F108" s="186" t="str">
        <f>IF(Tab_Compteur_2[[#This Row],[Fin de période]]&gt;0,IFERROR(B108-A108+1,""),"")</f>
        <v/>
      </c>
      <c r="G108" t="str">
        <f>IF(IFERROR(IF(Str_TypeDonneesCpt2=Cpt_Index,Tab_Compteur_2[[#This Row],[Index]]-E107,Tab_Compteur_2[[#This Row],[Quantité]])/Tab_Compteur_2[[#This Row],[Delta Jour]],"")&lt;0,"",IFERROR(IF(Str_TypeDonneesCpt2=Cpt_Index,Tab_Compteur_2[[#This Row],[Index]]-E107,Tab_Compteur_2[[#This Row],[Quantité]])/Tab_Compteur_2[[#This Row],[Delta Jour]],""))</f>
        <v/>
      </c>
      <c r="H108" s="186" t="str">
        <f>IFERROR(Tab_Compteur_2[[#This Row],[Colonne1]]/Tab_Compteur_2[[#This Row],[Delta Jour]],"")</f>
        <v/>
      </c>
      <c r="I108" s="208" t="str">
        <f t="shared" si="2"/>
        <v/>
      </c>
      <c r="J108" s="501"/>
      <c r="K108" s="73"/>
      <c r="L108" s="73"/>
      <c r="M108" s="73"/>
    </row>
    <row r="109" spans="1:13">
      <c r="A109" s="3">
        <f t="shared" si="3"/>
        <v>1</v>
      </c>
      <c r="C109" s="192"/>
      <c r="D109" s="195"/>
      <c r="E109" s="196"/>
      <c r="F109" s="186" t="str">
        <f>IF(Tab_Compteur_2[[#This Row],[Fin de période]]&gt;0,IFERROR(B109-A109+1,""),"")</f>
        <v/>
      </c>
      <c r="G109" t="str">
        <f>IF(IFERROR(IF(Str_TypeDonneesCpt2=Cpt_Index,Tab_Compteur_2[[#This Row],[Index]]-E108,Tab_Compteur_2[[#This Row],[Quantité]])/Tab_Compteur_2[[#This Row],[Delta Jour]],"")&lt;0,"",IFERROR(IF(Str_TypeDonneesCpt2=Cpt_Index,Tab_Compteur_2[[#This Row],[Index]]-E108,Tab_Compteur_2[[#This Row],[Quantité]])/Tab_Compteur_2[[#This Row],[Delta Jour]],""))</f>
        <v/>
      </c>
      <c r="H109" s="186" t="str">
        <f>IFERROR(Tab_Compteur_2[[#This Row],[Colonne1]]/Tab_Compteur_2[[#This Row],[Delta Jour]],"")</f>
        <v/>
      </c>
      <c r="I109" s="208" t="str">
        <f t="shared" si="2"/>
        <v/>
      </c>
      <c r="J109" s="501"/>
      <c r="K109" s="73"/>
      <c r="L109" s="73"/>
      <c r="M109" s="73"/>
    </row>
    <row r="110" spans="1:13">
      <c r="A110" s="3">
        <f t="shared" si="3"/>
        <v>1</v>
      </c>
      <c r="C110" s="192"/>
      <c r="D110" s="195"/>
      <c r="E110" s="196"/>
      <c r="F110" s="186" t="str">
        <f>IF(Tab_Compteur_2[[#This Row],[Fin de période]]&gt;0,IFERROR(B110-A110+1,""),"")</f>
        <v/>
      </c>
      <c r="G110" t="str">
        <f>IF(IFERROR(IF(Str_TypeDonneesCpt2=Cpt_Index,Tab_Compteur_2[[#This Row],[Index]]-E109,Tab_Compteur_2[[#This Row],[Quantité]])/Tab_Compteur_2[[#This Row],[Delta Jour]],"")&lt;0,"",IFERROR(IF(Str_TypeDonneesCpt2=Cpt_Index,Tab_Compteur_2[[#This Row],[Index]]-E109,Tab_Compteur_2[[#This Row],[Quantité]])/Tab_Compteur_2[[#This Row],[Delta Jour]],""))</f>
        <v/>
      </c>
      <c r="H110" s="186" t="str">
        <f>IFERROR(Tab_Compteur_2[[#This Row],[Colonne1]]/Tab_Compteur_2[[#This Row],[Delta Jour]],"")</f>
        <v/>
      </c>
      <c r="I110" s="208" t="str">
        <f t="shared" si="2"/>
        <v/>
      </c>
      <c r="J110" s="501"/>
      <c r="K110" s="73"/>
      <c r="L110" s="73"/>
      <c r="M110" s="73"/>
    </row>
    <row r="111" spans="1:13">
      <c r="A111" s="3">
        <f t="shared" si="3"/>
        <v>1</v>
      </c>
      <c r="C111" s="192"/>
      <c r="D111" s="195"/>
      <c r="E111" s="196"/>
      <c r="F111" s="186" t="str">
        <f>IF(Tab_Compteur_2[[#This Row],[Fin de période]]&gt;0,IFERROR(B111-A111+1,""),"")</f>
        <v/>
      </c>
      <c r="G111" t="str">
        <f>IF(IFERROR(IF(Str_TypeDonneesCpt2=Cpt_Index,Tab_Compteur_2[[#This Row],[Index]]-E110,Tab_Compteur_2[[#This Row],[Quantité]])/Tab_Compteur_2[[#This Row],[Delta Jour]],"")&lt;0,"",IFERROR(IF(Str_TypeDonneesCpt2=Cpt_Index,Tab_Compteur_2[[#This Row],[Index]]-E110,Tab_Compteur_2[[#This Row],[Quantité]])/Tab_Compteur_2[[#This Row],[Delta Jour]],""))</f>
        <v/>
      </c>
      <c r="H111" s="186" t="str">
        <f>IFERROR(Tab_Compteur_2[[#This Row],[Colonne1]]/Tab_Compteur_2[[#This Row],[Delta Jour]],"")</f>
        <v/>
      </c>
      <c r="I111" s="208" t="str">
        <f t="shared" si="2"/>
        <v/>
      </c>
      <c r="J111" s="501"/>
      <c r="K111" s="73"/>
      <c r="L111" s="73"/>
      <c r="M111" s="73"/>
    </row>
    <row r="112" spans="1:13">
      <c r="A112" s="3">
        <f t="shared" si="3"/>
        <v>1</v>
      </c>
      <c r="C112" s="192"/>
      <c r="D112" s="195"/>
      <c r="E112" s="196"/>
      <c r="F112" s="186" t="str">
        <f>IF(Tab_Compteur_2[[#This Row],[Fin de période]]&gt;0,IFERROR(B112-A112+1,""),"")</f>
        <v/>
      </c>
      <c r="G112" t="str">
        <f>IF(IFERROR(IF(Str_TypeDonneesCpt2=Cpt_Index,Tab_Compteur_2[[#This Row],[Index]]-E111,Tab_Compteur_2[[#This Row],[Quantité]])/Tab_Compteur_2[[#This Row],[Delta Jour]],"")&lt;0,"",IFERROR(IF(Str_TypeDonneesCpt2=Cpt_Index,Tab_Compteur_2[[#This Row],[Index]]-E111,Tab_Compteur_2[[#This Row],[Quantité]])/Tab_Compteur_2[[#This Row],[Delta Jour]],""))</f>
        <v/>
      </c>
      <c r="H112" s="186" t="str">
        <f>IFERROR(Tab_Compteur_2[[#This Row],[Colonne1]]/Tab_Compteur_2[[#This Row],[Delta Jour]],"")</f>
        <v/>
      </c>
      <c r="I112" s="208" t="str">
        <f t="shared" si="2"/>
        <v/>
      </c>
      <c r="J112" s="501"/>
      <c r="K112" s="73"/>
      <c r="L112" s="73"/>
      <c r="M112" s="73"/>
    </row>
    <row r="113" spans="1:13">
      <c r="A113" s="3">
        <f t="shared" si="3"/>
        <v>1</v>
      </c>
      <c r="C113" s="192"/>
      <c r="D113" s="195"/>
      <c r="E113" s="196"/>
      <c r="F113" s="186" t="str">
        <f>IF(Tab_Compteur_2[[#This Row],[Fin de période]]&gt;0,IFERROR(B113-A113+1,""),"")</f>
        <v/>
      </c>
      <c r="G113" t="str">
        <f>IF(IFERROR(IF(Str_TypeDonneesCpt2=Cpt_Index,Tab_Compteur_2[[#This Row],[Index]]-E112,Tab_Compteur_2[[#This Row],[Quantité]])/Tab_Compteur_2[[#This Row],[Delta Jour]],"")&lt;0,"",IFERROR(IF(Str_TypeDonneesCpt2=Cpt_Index,Tab_Compteur_2[[#This Row],[Index]]-E112,Tab_Compteur_2[[#This Row],[Quantité]])/Tab_Compteur_2[[#This Row],[Delta Jour]],""))</f>
        <v/>
      </c>
      <c r="H113" s="186" t="str">
        <f>IFERROR(Tab_Compteur_2[[#This Row],[Colonne1]]/Tab_Compteur_2[[#This Row],[Delta Jour]],"")</f>
        <v/>
      </c>
      <c r="I113" s="208" t="str">
        <f t="shared" si="2"/>
        <v/>
      </c>
      <c r="J113" s="501"/>
      <c r="K113" s="73"/>
      <c r="L113" s="73"/>
      <c r="M113" s="73"/>
    </row>
    <row r="114" spans="1:13">
      <c r="A114" s="3">
        <f t="shared" si="3"/>
        <v>1</v>
      </c>
      <c r="C114" s="192"/>
      <c r="D114" s="195"/>
      <c r="E114" s="196"/>
      <c r="F114" s="186" t="str">
        <f>IF(Tab_Compteur_2[[#This Row],[Fin de période]]&gt;0,IFERROR(B114-A114+1,""),"")</f>
        <v/>
      </c>
      <c r="G114" t="str">
        <f>IF(IFERROR(IF(Str_TypeDonneesCpt2=Cpt_Index,Tab_Compteur_2[[#This Row],[Index]]-E113,Tab_Compteur_2[[#This Row],[Quantité]])/Tab_Compteur_2[[#This Row],[Delta Jour]],"")&lt;0,"",IFERROR(IF(Str_TypeDonneesCpt2=Cpt_Index,Tab_Compteur_2[[#This Row],[Index]]-E113,Tab_Compteur_2[[#This Row],[Quantité]])/Tab_Compteur_2[[#This Row],[Delta Jour]],""))</f>
        <v/>
      </c>
      <c r="H114" s="186" t="str">
        <f>IFERROR(Tab_Compteur_2[[#This Row],[Colonne1]]/Tab_Compteur_2[[#This Row],[Delta Jour]],"")</f>
        <v/>
      </c>
      <c r="I114" s="208" t="str">
        <f t="shared" si="2"/>
        <v/>
      </c>
      <c r="J114" s="501"/>
      <c r="K114" s="73"/>
      <c r="L114" s="73"/>
      <c r="M114" s="73"/>
    </row>
    <row r="115" spans="1:13">
      <c r="A115" s="3">
        <f t="shared" si="3"/>
        <v>1</v>
      </c>
      <c r="C115" s="192"/>
      <c r="D115" s="195"/>
      <c r="E115" s="196"/>
      <c r="F115" s="186" t="str">
        <f>IF(Tab_Compteur_2[[#This Row],[Fin de période]]&gt;0,IFERROR(B115-A115+1,""),"")</f>
        <v/>
      </c>
      <c r="G115" t="str">
        <f>IF(IFERROR(IF(Str_TypeDonneesCpt2=Cpt_Index,Tab_Compteur_2[[#This Row],[Index]]-E114,Tab_Compteur_2[[#This Row],[Quantité]])/Tab_Compteur_2[[#This Row],[Delta Jour]],"")&lt;0,"",IFERROR(IF(Str_TypeDonneesCpt2=Cpt_Index,Tab_Compteur_2[[#This Row],[Index]]-E114,Tab_Compteur_2[[#This Row],[Quantité]])/Tab_Compteur_2[[#This Row],[Delta Jour]],""))</f>
        <v/>
      </c>
      <c r="H115" s="186" t="str">
        <f>IFERROR(Tab_Compteur_2[[#This Row],[Colonne1]]/Tab_Compteur_2[[#This Row],[Delta Jour]],"")</f>
        <v/>
      </c>
      <c r="I115" s="208" t="str">
        <f t="shared" si="2"/>
        <v/>
      </c>
      <c r="J115" s="501"/>
      <c r="K115" s="73"/>
      <c r="L115" s="73"/>
      <c r="M115" s="73"/>
    </row>
    <row r="116" spans="1:13">
      <c r="A116" s="3">
        <f t="shared" si="3"/>
        <v>1</v>
      </c>
      <c r="C116" s="192"/>
      <c r="D116" s="195"/>
      <c r="E116" s="196"/>
      <c r="F116" s="186" t="str">
        <f>IF(Tab_Compteur_2[[#This Row],[Fin de période]]&gt;0,IFERROR(B116-A116+1,""),"")</f>
        <v/>
      </c>
      <c r="G116" t="str">
        <f>IF(IFERROR(IF(Str_TypeDonneesCpt2=Cpt_Index,Tab_Compteur_2[[#This Row],[Index]]-E115,Tab_Compteur_2[[#This Row],[Quantité]])/Tab_Compteur_2[[#This Row],[Delta Jour]],"")&lt;0,"",IFERROR(IF(Str_TypeDonneesCpt2=Cpt_Index,Tab_Compteur_2[[#This Row],[Index]]-E115,Tab_Compteur_2[[#This Row],[Quantité]])/Tab_Compteur_2[[#This Row],[Delta Jour]],""))</f>
        <v/>
      </c>
      <c r="H116" s="186" t="str">
        <f>IFERROR(Tab_Compteur_2[[#This Row],[Colonne1]]/Tab_Compteur_2[[#This Row],[Delta Jour]],"")</f>
        <v/>
      </c>
      <c r="I116" s="208" t="str">
        <f t="shared" si="2"/>
        <v/>
      </c>
      <c r="J116" s="501"/>
      <c r="K116" s="73"/>
      <c r="L116" s="73"/>
      <c r="M116" s="73"/>
    </row>
    <row r="117" spans="1:13">
      <c r="A117" s="3">
        <f t="shared" si="3"/>
        <v>1</v>
      </c>
      <c r="C117" s="192"/>
      <c r="D117" s="195"/>
      <c r="E117" s="196"/>
      <c r="F117" s="186" t="str">
        <f>IF(Tab_Compteur_2[[#This Row],[Fin de période]]&gt;0,IFERROR(B117-A117+1,""),"")</f>
        <v/>
      </c>
      <c r="G117" t="str">
        <f>IF(IFERROR(IF(Str_TypeDonneesCpt2=Cpt_Index,Tab_Compteur_2[[#This Row],[Index]]-E116,Tab_Compteur_2[[#This Row],[Quantité]])/Tab_Compteur_2[[#This Row],[Delta Jour]],"")&lt;0,"",IFERROR(IF(Str_TypeDonneesCpt2=Cpt_Index,Tab_Compteur_2[[#This Row],[Index]]-E116,Tab_Compteur_2[[#This Row],[Quantité]])/Tab_Compteur_2[[#This Row],[Delta Jour]],""))</f>
        <v/>
      </c>
      <c r="H117" s="186" t="str">
        <f>IFERROR(Tab_Compteur_2[[#This Row],[Colonne1]]/Tab_Compteur_2[[#This Row],[Delta Jour]],"")</f>
        <v/>
      </c>
      <c r="I117" s="208" t="str">
        <f t="shared" si="2"/>
        <v/>
      </c>
      <c r="J117" s="501"/>
      <c r="K117" s="73"/>
      <c r="L117" s="73"/>
      <c r="M117" s="73"/>
    </row>
    <row r="118" spans="1:13">
      <c r="A118" s="3">
        <f t="shared" si="3"/>
        <v>1</v>
      </c>
      <c r="C118" s="192"/>
      <c r="D118" s="195"/>
      <c r="E118" s="196"/>
      <c r="F118" s="186" t="str">
        <f>IF(Tab_Compteur_2[[#This Row],[Fin de période]]&gt;0,IFERROR(B118-A118+1,""),"")</f>
        <v/>
      </c>
      <c r="G118" t="str">
        <f>IF(IFERROR(IF(Str_TypeDonneesCpt2=Cpt_Index,Tab_Compteur_2[[#This Row],[Index]]-E117,Tab_Compteur_2[[#This Row],[Quantité]])/Tab_Compteur_2[[#This Row],[Delta Jour]],"")&lt;0,"",IFERROR(IF(Str_TypeDonneesCpt2=Cpt_Index,Tab_Compteur_2[[#This Row],[Index]]-E117,Tab_Compteur_2[[#This Row],[Quantité]])/Tab_Compteur_2[[#This Row],[Delta Jour]],""))</f>
        <v/>
      </c>
      <c r="H118" s="186" t="str">
        <f>IFERROR(Tab_Compteur_2[[#This Row],[Colonne1]]/Tab_Compteur_2[[#This Row],[Delta Jour]],"")</f>
        <v/>
      </c>
      <c r="I118" s="208" t="str">
        <f t="shared" si="2"/>
        <v/>
      </c>
      <c r="J118" s="501"/>
      <c r="K118" s="73"/>
      <c r="L118" s="73"/>
      <c r="M118" s="73"/>
    </row>
    <row r="119" spans="1:13">
      <c r="A119" s="3">
        <f t="shared" si="3"/>
        <v>1</v>
      </c>
      <c r="C119" s="192"/>
      <c r="D119" s="195"/>
      <c r="E119" s="196"/>
      <c r="F119" s="186" t="str">
        <f>IF(Tab_Compteur_2[[#This Row],[Fin de période]]&gt;0,IFERROR(B119-A119+1,""),"")</f>
        <v/>
      </c>
      <c r="G119" t="str">
        <f>IF(IFERROR(IF(Str_TypeDonneesCpt2=Cpt_Index,Tab_Compteur_2[[#This Row],[Index]]-E118,Tab_Compteur_2[[#This Row],[Quantité]])/Tab_Compteur_2[[#This Row],[Delta Jour]],"")&lt;0,"",IFERROR(IF(Str_TypeDonneesCpt2=Cpt_Index,Tab_Compteur_2[[#This Row],[Index]]-E118,Tab_Compteur_2[[#This Row],[Quantité]])/Tab_Compteur_2[[#This Row],[Delta Jour]],""))</f>
        <v/>
      </c>
      <c r="H119" s="186" t="str">
        <f>IFERROR(Tab_Compteur_2[[#This Row],[Colonne1]]/Tab_Compteur_2[[#This Row],[Delta Jour]],"")</f>
        <v/>
      </c>
      <c r="I119" s="208" t="str">
        <f t="shared" si="2"/>
        <v/>
      </c>
      <c r="J119" s="501"/>
      <c r="K119" s="73"/>
      <c r="L119" s="73"/>
      <c r="M119" s="73"/>
    </row>
    <row r="120" spans="1:13">
      <c r="A120" s="3">
        <f t="shared" si="3"/>
        <v>1</v>
      </c>
      <c r="C120" s="192"/>
      <c r="D120" s="195"/>
      <c r="E120" s="196"/>
      <c r="F120" s="186" t="str">
        <f>IF(Tab_Compteur_2[[#This Row],[Fin de période]]&gt;0,IFERROR(B120-A120+1,""),"")</f>
        <v/>
      </c>
      <c r="G120" t="str">
        <f>IF(IFERROR(IF(Str_TypeDonneesCpt2=Cpt_Index,Tab_Compteur_2[[#This Row],[Index]]-E119,Tab_Compteur_2[[#This Row],[Quantité]])/Tab_Compteur_2[[#This Row],[Delta Jour]],"")&lt;0,"",IFERROR(IF(Str_TypeDonneesCpt2=Cpt_Index,Tab_Compteur_2[[#This Row],[Index]]-E119,Tab_Compteur_2[[#This Row],[Quantité]])/Tab_Compteur_2[[#This Row],[Delta Jour]],""))</f>
        <v/>
      </c>
      <c r="H120" s="186" t="str">
        <f>IFERROR(Tab_Compteur_2[[#This Row],[Colonne1]]/Tab_Compteur_2[[#This Row],[Delta Jour]],"")</f>
        <v/>
      </c>
      <c r="I120" s="208" t="str">
        <f t="shared" si="2"/>
        <v/>
      </c>
      <c r="J120" s="501"/>
      <c r="K120" s="73"/>
      <c r="L120" s="73"/>
      <c r="M120" s="73"/>
    </row>
    <row r="121" spans="1:13">
      <c r="A121" s="3">
        <f t="shared" si="3"/>
        <v>1</v>
      </c>
      <c r="C121" s="192"/>
      <c r="D121" s="195"/>
      <c r="E121" s="196"/>
      <c r="F121" s="186" t="str">
        <f>IF(Tab_Compteur_2[[#This Row],[Fin de période]]&gt;0,IFERROR(B121-A121+1,""),"")</f>
        <v/>
      </c>
      <c r="G121" t="str">
        <f>IF(IFERROR(IF(Str_TypeDonneesCpt2=Cpt_Index,Tab_Compteur_2[[#This Row],[Index]]-E120,Tab_Compteur_2[[#This Row],[Quantité]])/Tab_Compteur_2[[#This Row],[Delta Jour]],"")&lt;0,"",IFERROR(IF(Str_TypeDonneesCpt2=Cpt_Index,Tab_Compteur_2[[#This Row],[Index]]-E120,Tab_Compteur_2[[#This Row],[Quantité]])/Tab_Compteur_2[[#This Row],[Delta Jour]],""))</f>
        <v/>
      </c>
      <c r="H121" s="186" t="str">
        <f>IFERROR(Tab_Compteur_2[[#This Row],[Colonne1]]/Tab_Compteur_2[[#This Row],[Delta Jour]],"")</f>
        <v/>
      </c>
      <c r="I121" s="208" t="str">
        <f t="shared" si="2"/>
        <v/>
      </c>
      <c r="J121" s="501"/>
      <c r="K121" s="73"/>
      <c r="L121" s="73"/>
      <c r="M121" s="73"/>
    </row>
    <row r="122" spans="1:13">
      <c r="A122" s="3">
        <f t="shared" si="3"/>
        <v>1</v>
      </c>
      <c r="C122" s="192"/>
      <c r="D122" s="195"/>
      <c r="E122" s="196"/>
      <c r="F122" s="186" t="str">
        <f>IF(Tab_Compteur_2[[#This Row],[Fin de période]]&gt;0,IFERROR(B122-A122+1,""),"")</f>
        <v/>
      </c>
      <c r="G122" t="str">
        <f>IF(IFERROR(IF(Str_TypeDonneesCpt2=Cpt_Index,Tab_Compteur_2[[#This Row],[Index]]-E121,Tab_Compteur_2[[#This Row],[Quantité]])/Tab_Compteur_2[[#This Row],[Delta Jour]],"")&lt;0,"",IFERROR(IF(Str_TypeDonneesCpt2=Cpt_Index,Tab_Compteur_2[[#This Row],[Index]]-E121,Tab_Compteur_2[[#This Row],[Quantité]])/Tab_Compteur_2[[#This Row],[Delta Jour]],""))</f>
        <v/>
      </c>
      <c r="H122" s="186" t="str">
        <f>IFERROR(Tab_Compteur_2[[#This Row],[Colonne1]]/Tab_Compteur_2[[#This Row],[Delta Jour]],"")</f>
        <v/>
      </c>
      <c r="I122" s="208" t="str">
        <f t="shared" si="2"/>
        <v/>
      </c>
      <c r="J122" s="501"/>
      <c r="K122" s="73"/>
      <c r="L122" s="73"/>
      <c r="M122" s="73"/>
    </row>
    <row r="123" spans="1:13">
      <c r="A123" s="3">
        <f t="shared" si="3"/>
        <v>1</v>
      </c>
      <c r="C123" s="192"/>
      <c r="D123" s="195"/>
      <c r="E123" s="196"/>
      <c r="F123" s="186" t="str">
        <f>IF(Tab_Compteur_2[[#This Row],[Fin de période]]&gt;0,IFERROR(B123-A123+1,""),"")</f>
        <v/>
      </c>
      <c r="G123" t="str">
        <f>IF(IFERROR(IF(Str_TypeDonneesCpt2=Cpt_Index,Tab_Compteur_2[[#This Row],[Index]]-E122,Tab_Compteur_2[[#This Row],[Quantité]])/Tab_Compteur_2[[#This Row],[Delta Jour]],"")&lt;0,"",IFERROR(IF(Str_TypeDonneesCpt2=Cpt_Index,Tab_Compteur_2[[#This Row],[Index]]-E122,Tab_Compteur_2[[#This Row],[Quantité]])/Tab_Compteur_2[[#This Row],[Delta Jour]],""))</f>
        <v/>
      </c>
      <c r="H123" s="186" t="str">
        <f>IFERROR(Tab_Compteur_2[[#This Row],[Colonne1]]/Tab_Compteur_2[[#This Row],[Delta Jour]],"")</f>
        <v/>
      </c>
      <c r="I123" s="208" t="str">
        <f t="shared" si="2"/>
        <v/>
      </c>
      <c r="J123" s="501"/>
      <c r="K123" s="73"/>
      <c r="L123" s="73"/>
      <c r="M123" s="73"/>
    </row>
    <row r="124" spans="1:13">
      <c r="A124" s="3">
        <f t="shared" si="3"/>
        <v>1</v>
      </c>
      <c r="C124" s="192"/>
      <c r="D124" s="195"/>
      <c r="E124" s="196"/>
      <c r="F124" s="186" t="str">
        <f>IF(Tab_Compteur_2[[#This Row],[Fin de période]]&gt;0,IFERROR(B124-A124+1,""),"")</f>
        <v/>
      </c>
      <c r="G124" t="str">
        <f>IF(IFERROR(IF(Str_TypeDonneesCpt2=Cpt_Index,Tab_Compteur_2[[#This Row],[Index]]-E123,Tab_Compteur_2[[#This Row],[Quantité]])/Tab_Compteur_2[[#This Row],[Delta Jour]],"")&lt;0,"",IFERROR(IF(Str_TypeDonneesCpt2=Cpt_Index,Tab_Compteur_2[[#This Row],[Index]]-E123,Tab_Compteur_2[[#This Row],[Quantité]])/Tab_Compteur_2[[#This Row],[Delta Jour]],""))</f>
        <v/>
      </c>
      <c r="H124" s="186" t="str">
        <f>IFERROR(Tab_Compteur_2[[#This Row],[Colonne1]]/Tab_Compteur_2[[#This Row],[Delta Jour]],"")</f>
        <v/>
      </c>
      <c r="I124" s="208" t="str">
        <f t="shared" si="2"/>
        <v/>
      </c>
      <c r="J124" s="501"/>
      <c r="K124" s="73"/>
      <c r="L124" s="73"/>
      <c r="M124" s="73"/>
    </row>
    <row r="125" spans="1:13">
      <c r="A125" s="3">
        <f t="shared" si="3"/>
        <v>1</v>
      </c>
      <c r="C125" s="192"/>
      <c r="D125" s="195"/>
      <c r="E125" s="196"/>
      <c r="F125" s="186" t="str">
        <f>IF(Tab_Compteur_2[[#This Row],[Fin de période]]&gt;0,IFERROR(B125-A125+1,""),"")</f>
        <v/>
      </c>
      <c r="G125" t="str">
        <f>IF(IFERROR(IF(Str_TypeDonneesCpt2=Cpt_Index,Tab_Compteur_2[[#This Row],[Index]]-E124,Tab_Compteur_2[[#This Row],[Quantité]])/Tab_Compteur_2[[#This Row],[Delta Jour]],"")&lt;0,"",IFERROR(IF(Str_TypeDonneesCpt2=Cpt_Index,Tab_Compteur_2[[#This Row],[Index]]-E124,Tab_Compteur_2[[#This Row],[Quantité]])/Tab_Compteur_2[[#This Row],[Delta Jour]],""))</f>
        <v/>
      </c>
      <c r="H125" s="186" t="str">
        <f>IFERROR(Tab_Compteur_2[[#This Row],[Colonne1]]/Tab_Compteur_2[[#This Row],[Delta Jour]],"")</f>
        <v/>
      </c>
      <c r="I125" s="208" t="str">
        <f t="shared" si="2"/>
        <v/>
      </c>
      <c r="J125" s="501"/>
      <c r="K125" s="73"/>
      <c r="L125" s="73"/>
      <c r="M125" s="73"/>
    </row>
    <row r="126" spans="1:13">
      <c r="A126" s="3">
        <f t="shared" si="3"/>
        <v>1</v>
      </c>
      <c r="C126" s="192"/>
      <c r="D126" s="195"/>
      <c r="E126" s="196"/>
      <c r="F126" s="186" t="str">
        <f>IF(Tab_Compteur_2[[#This Row],[Fin de période]]&gt;0,IFERROR(B126-A126+1,""),"")</f>
        <v/>
      </c>
      <c r="G126" t="str">
        <f>IF(IFERROR(IF(Str_TypeDonneesCpt2=Cpt_Index,Tab_Compteur_2[[#This Row],[Index]]-E125,Tab_Compteur_2[[#This Row],[Quantité]])/Tab_Compteur_2[[#This Row],[Delta Jour]],"")&lt;0,"",IFERROR(IF(Str_TypeDonneesCpt2=Cpt_Index,Tab_Compteur_2[[#This Row],[Index]]-E125,Tab_Compteur_2[[#This Row],[Quantité]])/Tab_Compteur_2[[#This Row],[Delta Jour]],""))</f>
        <v/>
      </c>
      <c r="H126" s="186" t="str">
        <f>IFERROR(Tab_Compteur_2[[#This Row],[Colonne1]]/Tab_Compteur_2[[#This Row],[Delta Jour]],"")</f>
        <v/>
      </c>
      <c r="I126" s="208" t="str">
        <f t="shared" si="2"/>
        <v/>
      </c>
      <c r="J126" s="501"/>
      <c r="K126" s="73"/>
      <c r="L126" s="73"/>
      <c r="M126" s="73"/>
    </row>
    <row r="127" spans="1:13">
      <c r="A127" s="3">
        <f t="shared" si="3"/>
        <v>1</v>
      </c>
      <c r="C127" s="192"/>
      <c r="D127" s="195"/>
      <c r="E127" s="196"/>
      <c r="F127" s="186" t="str">
        <f>IF(Tab_Compteur_2[[#This Row],[Fin de période]]&gt;0,IFERROR(B127-A127+1,""),"")</f>
        <v/>
      </c>
      <c r="G127" t="str">
        <f>IF(IFERROR(IF(Str_TypeDonneesCpt2=Cpt_Index,Tab_Compteur_2[[#This Row],[Index]]-E126,Tab_Compteur_2[[#This Row],[Quantité]])/Tab_Compteur_2[[#This Row],[Delta Jour]],"")&lt;0,"",IFERROR(IF(Str_TypeDonneesCpt2=Cpt_Index,Tab_Compteur_2[[#This Row],[Index]]-E126,Tab_Compteur_2[[#This Row],[Quantité]])/Tab_Compteur_2[[#This Row],[Delta Jour]],""))</f>
        <v/>
      </c>
      <c r="H127" s="186" t="str">
        <f>IFERROR(Tab_Compteur_2[[#This Row],[Colonne1]]/Tab_Compteur_2[[#This Row],[Delta Jour]],"")</f>
        <v/>
      </c>
      <c r="I127" s="208" t="str">
        <f t="shared" si="2"/>
        <v/>
      </c>
      <c r="J127" s="501"/>
      <c r="K127" s="73"/>
      <c r="L127" s="73"/>
      <c r="M127" s="73"/>
    </row>
    <row r="128" spans="1:13">
      <c r="A128" s="3">
        <f t="shared" si="3"/>
        <v>1</v>
      </c>
      <c r="C128" s="192"/>
      <c r="D128" s="195"/>
      <c r="E128" s="196"/>
      <c r="F128" s="186" t="str">
        <f>IF(Tab_Compteur_2[[#This Row],[Fin de période]]&gt;0,IFERROR(B128-A128+1,""),"")</f>
        <v/>
      </c>
      <c r="G128" t="str">
        <f>IF(IFERROR(IF(Str_TypeDonneesCpt2=Cpt_Index,Tab_Compteur_2[[#This Row],[Index]]-E127,Tab_Compteur_2[[#This Row],[Quantité]])/Tab_Compteur_2[[#This Row],[Delta Jour]],"")&lt;0,"",IFERROR(IF(Str_TypeDonneesCpt2=Cpt_Index,Tab_Compteur_2[[#This Row],[Index]]-E127,Tab_Compteur_2[[#This Row],[Quantité]])/Tab_Compteur_2[[#This Row],[Delta Jour]],""))</f>
        <v/>
      </c>
      <c r="H128" s="186" t="str">
        <f>IFERROR(Tab_Compteur_2[[#This Row],[Colonne1]]/Tab_Compteur_2[[#This Row],[Delta Jour]],"")</f>
        <v/>
      </c>
      <c r="I128" s="208" t="str">
        <f t="shared" si="2"/>
        <v/>
      </c>
      <c r="J128" s="501"/>
      <c r="K128" s="73"/>
      <c r="L128" s="73"/>
      <c r="M128" s="73"/>
    </row>
    <row r="129" spans="1:13">
      <c r="A129" s="3">
        <f t="shared" si="3"/>
        <v>1</v>
      </c>
      <c r="C129" s="192"/>
      <c r="D129" s="195"/>
      <c r="E129" s="196"/>
      <c r="F129" s="186" t="str">
        <f>IF(Tab_Compteur_2[[#This Row],[Fin de période]]&gt;0,IFERROR(B129-A129+1,""),"")</f>
        <v/>
      </c>
      <c r="G129" t="str">
        <f>IF(IFERROR(IF(Str_TypeDonneesCpt2=Cpt_Index,Tab_Compteur_2[[#This Row],[Index]]-E128,Tab_Compteur_2[[#This Row],[Quantité]])/Tab_Compteur_2[[#This Row],[Delta Jour]],"")&lt;0,"",IFERROR(IF(Str_TypeDonneesCpt2=Cpt_Index,Tab_Compteur_2[[#This Row],[Index]]-E128,Tab_Compteur_2[[#This Row],[Quantité]])/Tab_Compteur_2[[#This Row],[Delta Jour]],""))</f>
        <v/>
      </c>
      <c r="H129" s="186" t="str">
        <f>IFERROR(Tab_Compteur_2[[#This Row],[Colonne1]]/Tab_Compteur_2[[#This Row],[Delta Jour]],"")</f>
        <v/>
      </c>
      <c r="I129" s="208" t="str">
        <f t="shared" si="2"/>
        <v/>
      </c>
      <c r="J129" s="501"/>
      <c r="K129" s="73"/>
      <c r="L129" s="73"/>
      <c r="M129" s="73"/>
    </row>
    <row r="130" spans="1:13">
      <c r="A130" s="3">
        <f t="shared" si="3"/>
        <v>1</v>
      </c>
      <c r="C130" s="192"/>
      <c r="D130" s="195"/>
      <c r="E130" s="196"/>
      <c r="F130" s="186" t="str">
        <f>IF(Tab_Compteur_2[[#This Row],[Fin de période]]&gt;0,IFERROR(B130-A130+1,""),"")</f>
        <v/>
      </c>
      <c r="G130" t="str">
        <f>IF(IFERROR(IF(Str_TypeDonneesCpt2=Cpt_Index,Tab_Compteur_2[[#This Row],[Index]]-E129,Tab_Compteur_2[[#This Row],[Quantité]])/Tab_Compteur_2[[#This Row],[Delta Jour]],"")&lt;0,"",IFERROR(IF(Str_TypeDonneesCpt2=Cpt_Index,Tab_Compteur_2[[#This Row],[Index]]-E129,Tab_Compteur_2[[#This Row],[Quantité]])/Tab_Compteur_2[[#This Row],[Delta Jour]],""))</f>
        <v/>
      </c>
      <c r="H130" s="186" t="str">
        <f>IFERROR(Tab_Compteur_2[[#This Row],[Colonne1]]/Tab_Compteur_2[[#This Row],[Delta Jour]],"")</f>
        <v/>
      </c>
      <c r="I130" s="208" t="str">
        <f t="shared" si="2"/>
        <v/>
      </c>
      <c r="J130" s="501"/>
      <c r="K130" s="73"/>
      <c r="L130" s="73"/>
      <c r="M130" s="73"/>
    </row>
    <row r="131" spans="1:13">
      <c r="A131" s="3">
        <f t="shared" si="3"/>
        <v>1</v>
      </c>
      <c r="C131" s="192"/>
      <c r="D131" s="195"/>
      <c r="E131" s="196"/>
      <c r="F131" s="186" t="str">
        <f>IF(Tab_Compteur_2[[#This Row],[Fin de période]]&gt;0,IFERROR(B131-A131+1,""),"")</f>
        <v/>
      </c>
      <c r="G131" t="str">
        <f>IF(IFERROR(IF(Str_TypeDonneesCpt2=Cpt_Index,Tab_Compteur_2[[#This Row],[Index]]-E130,Tab_Compteur_2[[#This Row],[Quantité]])/Tab_Compteur_2[[#This Row],[Delta Jour]],"")&lt;0,"",IFERROR(IF(Str_TypeDonneesCpt2=Cpt_Index,Tab_Compteur_2[[#This Row],[Index]]-E130,Tab_Compteur_2[[#This Row],[Quantité]])/Tab_Compteur_2[[#This Row],[Delta Jour]],""))</f>
        <v/>
      </c>
      <c r="H131" s="186" t="str">
        <f>IFERROR(Tab_Compteur_2[[#This Row],[Colonne1]]/Tab_Compteur_2[[#This Row],[Delta Jour]],"")</f>
        <v/>
      </c>
      <c r="I131" s="208" t="str">
        <f t="shared" ref="I131:I194" si="4">G131</f>
        <v/>
      </c>
      <c r="J131" s="501"/>
      <c r="K131" s="73"/>
      <c r="L131" s="73"/>
      <c r="M131" s="73"/>
    </row>
    <row r="132" spans="1:13">
      <c r="A132" s="3">
        <f t="shared" si="3"/>
        <v>1</v>
      </c>
      <c r="C132" s="192"/>
      <c r="D132" s="195"/>
      <c r="E132" s="196"/>
      <c r="F132" s="186" t="str">
        <f>IF(Tab_Compteur_2[[#This Row],[Fin de période]]&gt;0,IFERROR(B132-A132+1,""),"")</f>
        <v/>
      </c>
      <c r="G132" t="str">
        <f>IF(IFERROR(IF(Str_TypeDonneesCpt2=Cpt_Index,Tab_Compteur_2[[#This Row],[Index]]-E131,Tab_Compteur_2[[#This Row],[Quantité]])/Tab_Compteur_2[[#This Row],[Delta Jour]],"")&lt;0,"",IFERROR(IF(Str_TypeDonneesCpt2=Cpt_Index,Tab_Compteur_2[[#This Row],[Index]]-E131,Tab_Compteur_2[[#This Row],[Quantité]])/Tab_Compteur_2[[#This Row],[Delta Jour]],""))</f>
        <v/>
      </c>
      <c r="H132" s="186" t="str">
        <f>IFERROR(Tab_Compteur_2[[#This Row],[Colonne1]]/Tab_Compteur_2[[#This Row],[Delta Jour]],"")</f>
        <v/>
      </c>
      <c r="I132" s="208" t="str">
        <f t="shared" si="4"/>
        <v/>
      </c>
      <c r="J132" s="501"/>
      <c r="K132" s="73"/>
      <c r="L132" s="73"/>
      <c r="M132" s="73"/>
    </row>
    <row r="133" spans="1:13">
      <c r="A133" s="3">
        <f t="shared" si="3"/>
        <v>1</v>
      </c>
      <c r="C133" s="192"/>
      <c r="D133" s="195"/>
      <c r="E133" s="196"/>
      <c r="F133" s="186" t="str">
        <f>IF(Tab_Compteur_2[[#This Row],[Fin de période]]&gt;0,IFERROR(B133-A133+1,""),"")</f>
        <v/>
      </c>
      <c r="G133" t="str">
        <f>IF(IFERROR(IF(Str_TypeDonneesCpt2=Cpt_Index,Tab_Compteur_2[[#This Row],[Index]]-E132,Tab_Compteur_2[[#This Row],[Quantité]])/Tab_Compteur_2[[#This Row],[Delta Jour]],"")&lt;0,"",IFERROR(IF(Str_TypeDonneesCpt2=Cpt_Index,Tab_Compteur_2[[#This Row],[Index]]-E132,Tab_Compteur_2[[#This Row],[Quantité]])/Tab_Compteur_2[[#This Row],[Delta Jour]],""))</f>
        <v/>
      </c>
      <c r="H133" s="186" t="str">
        <f>IFERROR(Tab_Compteur_2[[#This Row],[Colonne1]]/Tab_Compteur_2[[#This Row],[Delta Jour]],"")</f>
        <v/>
      </c>
      <c r="I133" s="208" t="str">
        <f t="shared" si="4"/>
        <v/>
      </c>
      <c r="J133" s="501"/>
      <c r="K133" s="73"/>
      <c r="L133" s="73"/>
      <c r="M133" s="73"/>
    </row>
    <row r="134" spans="1:13">
      <c r="A134" s="3">
        <f t="shared" ref="A134:A197" si="5">IFERROR(B133+1,0)</f>
        <v>1</v>
      </c>
      <c r="C134" s="192"/>
      <c r="D134" s="195"/>
      <c r="E134" s="196"/>
      <c r="F134" s="186" t="str">
        <f>IF(Tab_Compteur_2[[#This Row],[Fin de période]]&gt;0,IFERROR(B134-A134+1,""),"")</f>
        <v/>
      </c>
      <c r="G134" t="str">
        <f>IF(IFERROR(IF(Str_TypeDonneesCpt2=Cpt_Index,Tab_Compteur_2[[#This Row],[Index]]-E133,Tab_Compteur_2[[#This Row],[Quantité]])/Tab_Compteur_2[[#This Row],[Delta Jour]],"")&lt;0,"",IFERROR(IF(Str_TypeDonneesCpt2=Cpt_Index,Tab_Compteur_2[[#This Row],[Index]]-E133,Tab_Compteur_2[[#This Row],[Quantité]])/Tab_Compteur_2[[#This Row],[Delta Jour]],""))</f>
        <v/>
      </c>
      <c r="H134" s="186" t="str">
        <f>IFERROR(Tab_Compteur_2[[#This Row],[Colonne1]]/Tab_Compteur_2[[#This Row],[Delta Jour]],"")</f>
        <v/>
      </c>
      <c r="I134" s="208" t="str">
        <f t="shared" si="4"/>
        <v/>
      </c>
      <c r="J134" s="501"/>
      <c r="K134" s="73"/>
      <c r="L134" s="73"/>
      <c r="M134" s="73"/>
    </row>
    <row r="135" spans="1:13">
      <c r="A135" s="3">
        <f t="shared" si="5"/>
        <v>1</v>
      </c>
      <c r="C135" s="192"/>
      <c r="D135" s="195"/>
      <c r="E135" s="196"/>
      <c r="F135" s="186" t="str">
        <f>IF(Tab_Compteur_2[[#This Row],[Fin de période]]&gt;0,IFERROR(B135-A135+1,""),"")</f>
        <v/>
      </c>
      <c r="G135" t="str">
        <f>IF(IFERROR(IF(Str_TypeDonneesCpt2=Cpt_Index,Tab_Compteur_2[[#This Row],[Index]]-E134,Tab_Compteur_2[[#This Row],[Quantité]])/Tab_Compteur_2[[#This Row],[Delta Jour]],"")&lt;0,"",IFERROR(IF(Str_TypeDonneesCpt2=Cpt_Index,Tab_Compteur_2[[#This Row],[Index]]-E134,Tab_Compteur_2[[#This Row],[Quantité]])/Tab_Compteur_2[[#This Row],[Delta Jour]],""))</f>
        <v/>
      </c>
      <c r="H135" s="186" t="str">
        <f>IFERROR(Tab_Compteur_2[[#This Row],[Colonne1]]/Tab_Compteur_2[[#This Row],[Delta Jour]],"")</f>
        <v/>
      </c>
      <c r="I135" s="208" t="str">
        <f t="shared" si="4"/>
        <v/>
      </c>
      <c r="J135" s="501"/>
      <c r="K135" s="73"/>
      <c r="L135" s="73"/>
      <c r="M135" s="73"/>
    </row>
    <row r="136" spans="1:13">
      <c r="A136" s="3">
        <f t="shared" si="5"/>
        <v>1</v>
      </c>
      <c r="C136" s="192"/>
      <c r="D136" s="195"/>
      <c r="E136" s="196"/>
      <c r="F136" s="186" t="str">
        <f>IF(Tab_Compteur_2[[#This Row],[Fin de période]]&gt;0,IFERROR(B136-A136+1,""),"")</f>
        <v/>
      </c>
      <c r="G136" t="str">
        <f>IF(IFERROR(IF(Str_TypeDonneesCpt2=Cpt_Index,Tab_Compteur_2[[#This Row],[Index]]-E135,Tab_Compteur_2[[#This Row],[Quantité]])/Tab_Compteur_2[[#This Row],[Delta Jour]],"")&lt;0,"",IFERROR(IF(Str_TypeDonneesCpt2=Cpt_Index,Tab_Compteur_2[[#This Row],[Index]]-E135,Tab_Compteur_2[[#This Row],[Quantité]])/Tab_Compteur_2[[#This Row],[Delta Jour]],""))</f>
        <v/>
      </c>
      <c r="H136" s="186" t="str">
        <f>IFERROR(Tab_Compteur_2[[#This Row],[Colonne1]]/Tab_Compteur_2[[#This Row],[Delta Jour]],"")</f>
        <v/>
      </c>
      <c r="I136" s="208" t="str">
        <f t="shared" si="4"/>
        <v/>
      </c>
      <c r="J136" s="501"/>
      <c r="K136" s="73"/>
      <c r="L136" s="73"/>
      <c r="M136" s="73"/>
    </row>
    <row r="137" spans="1:13">
      <c r="A137" s="3">
        <f t="shared" si="5"/>
        <v>1</v>
      </c>
      <c r="C137" s="192"/>
      <c r="D137" s="195"/>
      <c r="E137" s="196"/>
      <c r="F137" s="186" t="str">
        <f>IF(Tab_Compteur_2[[#This Row],[Fin de période]]&gt;0,IFERROR(B137-A137+1,""),"")</f>
        <v/>
      </c>
      <c r="G137" t="str">
        <f>IF(IFERROR(IF(Str_TypeDonneesCpt2=Cpt_Index,Tab_Compteur_2[[#This Row],[Index]]-E136,Tab_Compteur_2[[#This Row],[Quantité]])/Tab_Compteur_2[[#This Row],[Delta Jour]],"")&lt;0,"",IFERROR(IF(Str_TypeDonneesCpt2=Cpt_Index,Tab_Compteur_2[[#This Row],[Index]]-E136,Tab_Compteur_2[[#This Row],[Quantité]])/Tab_Compteur_2[[#This Row],[Delta Jour]],""))</f>
        <v/>
      </c>
      <c r="H137" s="186" t="str">
        <f>IFERROR(Tab_Compteur_2[[#This Row],[Colonne1]]/Tab_Compteur_2[[#This Row],[Delta Jour]],"")</f>
        <v/>
      </c>
      <c r="I137" s="208" t="str">
        <f t="shared" si="4"/>
        <v/>
      </c>
      <c r="J137" s="501"/>
      <c r="K137" s="73"/>
      <c r="L137" s="73"/>
      <c r="M137" s="73"/>
    </row>
    <row r="138" spans="1:13">
      <c r="A138" s="3">
        <f t="shared" si="5"/>
        <v>1</v>
      </c>
      <c r="C138" s="192"/>
      <c r="D138" s="195"/>
      <c r="E138" s="196"/>
      <c r="F138" s="186" t="str">
        <f>IF(Tab_Compteur_2[[#This Row],[Fin de période]]&gt;0,IFERROR(B138-A138+1,""),"")</f>
        <v/>
      </c>
      <c r="G138" t="str">
        <f>IF(IFERROR(IF(Str_TypeDonneesCpt2=Cpt_Index,Tab_Compteur_2[[#This Row],[Index]]-E137,Tab_Compteur_2[[#This Row],[Quantité]])/Tab_Compteur_2[[#This Row],[Delta Jour]],"")&lt;0,"",IFERROR(IF(Str_TypeDonneesCpt2=Cpt_Index,Tab_Compteur_2[[#This Row],[Index]]-E137,Tab_Compteur_2[[#This Row],[Quantité]])/Tab_Compteur_2[[#This Row],[Delta Jour]],""))</f>
        <v/>
      </c>
      <c r="H138" s="186" t="str">
        <f>IFERROR(Tab_Compteur_2[[#This Row],[Colonne1]]/Tab_Compteur_2[[#This Row],[Delta Jour]],"")</f>
        <v/>
      </c>
      <c r="I138" s="208" t="str">
        <f t="shared" si="4"/>
        <v/>
      </c>
      <c r="J138" s="501"/>
      <c r="K138" s="73"/>
      <c r="L138" s="73"/>
      <c r="M138" s="73"/>
    </row>
    <row r="139" spans="1:13">
      <c r="A139" s="3">
        <f t="shared" si="5"/>
        <v>1</v>
      </c>
      <c r="C139" s="192"/>
      <c r="D139" s="195"/>
      <c r="E139" s="196"/>
      <c r="F139" s="186" t="str">
        <f>IF(Tab_Compteur_2[[#This Row],[Fin de période]]&gt;0,IFERROR(B139-A139+1,""),"")</f>
        <v/>
      </c>
      <c r="G139" t="str">
        <f>IF(IFERROR(IF(Str_TypeDonneesCpt2=Cpt_Index,Tab_Compteur_2[[#This Row],[Index]]-E138,Tab_Compteur_2[[#This Row],[Quantité]])/Tab_Compteur_2[[#This Row],[Delta Jour]],"")&lt;0,"",IFERROR(IF(Str_TypeDonneesCpt2=Cpt_Index,Tab_Compteur_2[[#This Row],[Index]]-E138,Tab_Compteur_2[[#This Row],[Quantité]])/Tab_Compteur_2[[#This Row],[Delta Jour]],""))</f>
        <v/>
      </c>
      <c r="H139" s="186" t="str">
        <f>IFERROR(Tab_Compteur_2[[#This Row],[Colonne1]]/Tab_Compteur_2[[#This Row],[Delta Jour]],"")</f>
        <v/>
      </c>
      <c r="I139" s="208" t="str">
        <f t="shared" si="4"/>
        <v/>
      </c>
      <c r="J139" s="501"/>
      <c r="K139" s="73"/>
      <c r="L139" s="73"/>
      <c r="M139" s="73"/>
    </row>
    <row r="140" spans="1:13">
      <c r="A140" s="3">
        <f t="shared" si="5"/>
        <v>1</v>
      </c>
      <c r="C140" s="192"/>
      <c r="D140" s="195"/>
      <c r="E140" s="196"/>
      <c r="F140" s="186" t="str">
        <f>IF(Tab_Compteur_2[[#This Row],[Fin de période]]&gt;0,IFERROR(B140-A140+1,""),"")</f>
        <v/>
      </c>
      <c r="G140" t="str">
        <f>IF(IFERROR(IF(Str_TypeDonneesCpt2=Cpt_Index,Tab_Compteur_2[[#This Row],[Index]]-E139,Tab_Compteur_2[[#This Row],[Quantité]])/Tab_Compteur_2[[#This Row],[Delta Jour]],"")&lt;0,"",IFERROR(IF(Str_TypeDonneesCpt2=Cpt_Index,Tab_Compteur_2[[#This Row],[Index]]-E139,Tab_Compteur_2[[#This Row],[Quantité]])/Tab_Compteur_2[[#This Row],[Delta Jour]],""))</f>
        <v/>
      </c>
      <c r="H140" s="186" t="str">
        <f>IFERROR(Tab_Compteur_2[[#This Row],[Colonne1]]/Tab_Compteur_2[[#This Row],[Delta Jour]],"")</f>
        <v/>
      </c>
      <c r="I140" s="208" t="str">
        <f t="shared" si="4"/>
        <v/>
      </c>
      <c r="J140" s="501"/>
      <c r="K140" s="73"/>
      <c r="L140" s="73"/>
      <c r="M140" s="73"/>
    </row>
    <row r="141" spans="1:13">
      <c r="A141" s="3">
        <f t="shared" si="5"/>
        <v>1</v>
      </c>
      <c r="C141" s="192"/>
      <c r="D141" s="195"/>
      <c r="E141" s="196"/>
      <c r="F141" s="186" t="str">
        <f>IF(Tab_Compteur_2[[#This Row],[Fin de période]]&gt;0,IFERROR(B141-A141+1,""),"")</f>
        <v/>
      </c>
      <c r="G141" t="str">
        <f>IF(IFERROR(IF(Str_TypeDonneesCpt2=Cpt_Index,Tab_Compteur_2[[#This Row],[Index]]-E140,Tab_Compteur_2[[#This Row],[Quantité]])/Tab_Compteur_2[[#This Row],[Delta Jour]],"")&lt;0,"",IFERROR(IF(Str_TypeDonneesCpt2=Cpt_Index,Tab_Compteur_2[[#This Row],[Index]]-E140,Tab_Compteur_2[[#This Row],[Quantité]])/Tab_Compteur_2[[#This Row],[Delta Jour]],""))</f>
        <v/>
      </c>
      <c r="H141" s="186" t="str">
        <f>IFERROR(Tab_Compteur_2[[#This Row],[Colonne1]]/Tab_Compteur_2[[#This Row],[Delta Jour]],"")</f>
        <v/>
      </c>
      <c r="I141" s="208" t="str">
        <f t="shared" si="4"/>
        <v/>
      </c>
      <c r="J141" s="501"/>
      <c r="K141" s="73"/>
      <c r="L141" s="73"/>
      <c r="M141" s="73"/>
    </row>
    <row r="142" spans="1:13">
      <c r="A142" s="3">
        <f t="shared" si="5"/>
        <v>1</v>
      </c>
      <c r="C142" s="192"/>
      <c r="D142" s="195"/>
      <c r="E142" s="196"/>
      <c r="F142" s="186" t="str">
        <f>IF(Tab_Compteur_2[[#This Row],[Fin de période]]&gt;0,IFERROR(B142-A142+1,""),"")</f>
        <v/>
      </c>
      <c r="G142" t="str">
        <f>IF(IFERROR(IF(Str_TypeDonneesCpt2=Cpt_Index,Tab_Compteur_2[[#This Row],[Index]]-E141,Tab_Compteur_2[[#This Row],[Quantité]])/Tab_Compteur_2[[#This Row],[Delta Jour]],"")&lt;0,"",IFERROR(IF(Str_TypeDonneesCpt2=Cpt_Index,Tab_Compteur_2[[#This Row],[Index]]-E141,Tab_Compteur_2[[#This Row],[Quantité]])/Tab_Compteur_2[[#This Row],[Delta Jour]],""))</f>
        <v/>
      </c>
      <c r="H142" s="186" t="str">
        <f>IFERROR(Tab_Compteur_2[[#This Row],[Colonne1]]/Tab_Compteur_2[[#This Row],[Delta Jour]],"")</f>
        <v/>
      </c>
      <c r="I142" s="208" t="str">
        <f t="shared" si="4"/>
        <v/>
      </c>
      <c r="J142" s="501"/>
      <c r="K142" s="73"/>
      <c r="L142" s="73"/>
      <c r="M142" s="73"/>
    </row>
    <row r="143" spans="1:13">
      <c r="A143" s="3">
        <f t="shared" si="5"/>
        <v>1</v>
      </c>
      <c r="C143" s="192"/>
      <c r="D143" s="195"/>
      <c r="E143" s="196"/>
      <c r="F143" s="186" t="str">
        <f>IF(Tab_Compteur_2[[#This Row],[Fin de période]]&gt;0,IFERROR(B143-A143+1,""),"")</f>
        <v/>
      </c>
      <c r="G143" t="str">
        <f>IF(IFERROR(IF(Str_TypeDonneesCpt2=Cpt_Index,Tab_Compteur_2[[#This Row],[Index]]-E142,Tab_Compteur_2[[#This Row],[Quantité]])/Tab_Compteur_2[[#This Row],[Delta Jour]],"")&lt;0,"",IFERROR(IF(Str_TypeDonneesCpt2=Cpt_Index,Tab_Compteur_2[[#This Row],[Index]]-E142,Tab_Compteur_2[[#This Row],[Quantité]])/Tab_Compteur_2[[#This Row],[Delta Jour]],""))</f>
        <v/>
      </c>
      <c r="H143" s="186" t="str">
        <f>IFERROR(Tab_Compteur_2[[#This Row],[Colonne1]]/Tab_Compteur_2[[#This Row],[Delta Jour]],"")</f>
        <v/>
      </c>
      <c r="I143" s="208" t="str">
        <f t="shared" si="4"/>
        <v/>
      </c>
      <c r="J143" s="501"/>
      <c r="K143" s="73"/>
      <c r="L143" s="73"/>
      <c r="M143" s="73"/>
    </row>
    <row r="144" spans="1:13">
      <c r="A144" s="3">
        <f t="shared" si="5"/>
        <v>1</v>
      </c>
      <c r="C144" s="192"/>
      <c r="D144" s="195"/>
      <c r="E144" s="196"/>
      <c r="F144" s="186" t="str">
        <f>IF(Tab_Compteur_2[[#This Row],[Fin de période]]&gt;0,IFERROR(B144-A144+1,""),"")</f>
        <v/>
      </c>
      <c r="G144" t="str">
        <f>IF(IFERROR(IF(Str_TypeDonneesCpt2=Cpt_Index,Tab_Compteur_2[[#This Row],[Index]]-E143,Tab_Compteur_2[[#This Row],[Quantité]])/Tab_Compteur_2[[#This Row],[Delta Jour]],"")&lt;0,"",IFERROR(IF(Str_TypeDonneesCpt2=Cpt_Index,Tab_Compteur_2[[#This Row],[Index]]-E143,Tab_Compteur_2[[#This Row],[Quantité]])/Tab_Compteur_2[[#This Row],[Delta Jour]],""))</f>
        <v/>
      </c>
      <c r="H144" s="186" t="str">
        <f>IFERROR(Tab_Compteur_2[[#This Row],[Colonne1]]/Tab_Compteur_2[[#This Row],[Delta Jour]],"")</f>
        <v/>
      </c>
      <c r="I144" s="208" t="str">
        <f t="shared" si="4"/>
        <v/>
      </c>
      <c r="J144" s="501"/>
      <c r="K144" s="73"/>
      <c r="L144" s="73"/>
      <c r="M144" s="73"/>
    </row>
    <row r="145" spans="1:13">
      <c r="A145" s="3">
        <f t="shared" si="5"/>
        <v>1</v>
      </c>
      <c r="C145" s="192"/>
      <c r="D145" s="195"/>
      <c r="E145" s="196"/>
      <c r="F145" s="186" t="str">
        <f>IF(Tab_Compteur_2[[#This Row],[Fin de période]]&gt;0,IFERROR(B145-A145+1,""),"")</f>
        <v/>
      </c>
      <c r="G145" t="str">
        <f>IF(IFERROR(IF(Str_TypeDonneesCpt2=Cpt_Index,Tab_Compteur_2[[#This Row],[Index]]-E144,Tab_Compteur_2[[#This Row],[Quantité]])/Tab_Compteur_2[[#This Row],[Delta Jour]],"")&lt;0,"",IFERROR(IF(Str_TypeDonneesCpt2=Cpt_Index,Tab_Compteur_2[[#This Row],[Index]]-E144,Tab_Compteur_2[[#This Row],[Quantité]])/Tab_Compteur_2[[#This Row],[Delta Jour]],""))</f>
        <v/>
      </c>
      <c r="H145" s="186" t="str">
        <f>IFERROR(Tab_Compteur_2[[#This Row],[Colonne1]]/Tab_Compteur_2[[#This Row],[Delta Jour]],"")</f>
        <v/>
      </c>
      <c r="I145" s="208" t="str">
        <f t="shared" si="4"/>
        <v/>
      </c>
      <c r="J145" s="501"/>
      <c r="K145" s="73"/>
      <c r="L145" s="73"/>
      <c r="M145" s="73"/>
    </row>
    <row r="146" spans="1:13">
      <c r="A146" s="3">
        <f t="shared" si="5"/>
        <v>1</v>
      </c>
      <c r="C146" s="192"/>
      <c r="D146" s="195"/>
      <c r="E146" s="196"/>
      <c r="F146" s="186" t="str">
        <f>IF(Tab_Compteur_2[[#This Row],[Fin de période]]&gt;0,IFERROR(B146-A146+1,""),"")</f>
        <v/>
      </c>
      <c r="G146" t="str">
        <f>IF(IFERROR(IF(Str_TypeDonneesCpt2=Cpt_Index,Tab_Compteur_2[[#This Row],[Index]]-E145,Tab_Compteur_2[[#This Row],[Quantité]])/Tab_Compteur_2[[#This Row],[Delta Jour]],"")&lt;0,"",IFERROR(IF(Str_TypeDonneesCpt2=Cpt_Index,Tab_Compteur_2[[#This Row],[Index]]-E145,Tab_Compteur_2[[#This Row],[Quantité]])/Tab_Compteur_2[[#This Row],[Delta Jour]],""))</f>
        <v/>
      </c>
      <c r="H146" s="186" t="str">
        <f>IFERROR(Tab_Compteur_2[[#This Row],[Colonne1]]/Tab_Compteur_2[[#This Row],[Delta Jour]],"")</f>
        <v/>
      </c>
      <c r="I146" s="208" t="str">
        <f t="shared" si="4"/>
        <v/>
      </c>
      <c r="J146" s="501"/>
      <c r="K146" s="73"/>
      <c r="L146" s="73"/>
      <c r="M146" s="73"/>
    </row>
    <row r="147" spans="1:13">
      <c r="A147" s="3">
        <f t="shared" si="5"/>
        <v>1</v>
      </c>
      <c r="C147" s="192"/>
      <c r="D147" s="195"/>
      <c r="E147" s="196"/>
      <c r="F147" s="186" t="str">
        <f>IF(Tab_Compteur_2[[#This Row],[Fin de période]]&gt;0,IFERROR(B147-A147+1,""),"")</f>
        <v/>
      </c>
      <c r="G147" t="str">
        <f>IF(IFERROR(IF(Str_TypeDonneesCpt2=Cpt_Index,Tab_Compteur_2[[#This Row],[Index]]-E146,Tab_Compteur_2[[#This Row],[Quantité]])/Tab_Compteur_2[[#This Row],[Delta Jour]],"")&lt;0,"",IFERROR(IF(Str_TypeDonneesCpt2=Cpt_Index,Tab_Compteur_2[[#This Row],[Index]]-E146,Tab_Compteur_2[[#This Row],[Quantité]])/Tab_Compteur_2[[#This Row],[Delta Jour]],""))</f>
        <v/>
      </c>
      <c r="H147" s="186" t="str">
        <f>IFERROR(Tab_Compteur_2[[#This Row],[Colonne1]]/Tab_Compteur_2[[#This Row],[Delta Jour]],"")</f>
        <v/>
      </c>
      <c r="I147" s="208" t="str">
        <f t="shared" si="4"/>
        <v/>
      </c>
      <c r="J147" s="501"/>
      <c r="K147" s="73"/>
      <c r="L147" s="73"/>
      <c r="M147" s="73"/>
    </row>
    <row r="148" spans="1:13">
      <c r="A148" s="3">
        <f t="shared" si="5"/>
        <v>1</v>
      </c>
      <c r="C148" s="189"/>
      <c r="D148" s="195"/>
      <c r="E148" s="196"/>
      <c r="F148" s="186" t="str">
        <f>IF(Tab_Compteur_2[[#This Row],[Fin de période]]&gt;0,IFERROR(B148-A148+1,""),"")</f>
        <v/>
      </c>
      <c r="G148" t="str">
        <f>IF(IFERROR(IF(Str_TypeDonneesCpt2=Cpt_Index,Tab_Compteur_2[[#This Row],[Index]]-E147,Tab_Compteur_2[[#This Row],[Quantité]])/Tab_Compteur_2[[#This Row],[Delta Jour]],"")&lt;0,"",IFERROR(IF(Str_TypeDonneesCpt2=Cpt_Index,Tab_Compteur_2[[#This Row],[Index]]-E147,Tab_Compteur_2[[#This Row],[Quantité]])/Tab_Compteur_2[[#This Row],[Delta Jour]],""))</f>
        <v/>
      </c>
      <c r="H148" s="186" t="str">
        <f>IFERROR(Tab_Compteur_2[[#This Row],[Colonne1]]/Tab_Compteur_2[[#This Row],[Delta Jour]],"")</f>
        <v/>
      </c>
      <c r="I148" s="208" t="str">
        <f t="shared" si="4"/>
        <v/>
      </c>
      <c r="J148" s="501"/>
      <c r="K148" s="73"/>
      <c r="L148" s="73"/>
      <c r="M148" s="73"/>
    </row>
    <row r="149" spans="1:13">
      <c r="A149" s="3">
        <f t="shared" si="5"/>
        <v>1</v>
      </c>
      <c r="C149" s="189"/>
      <c r="D149" s="195"/>
      <c r="E149" s="196"/>
      <c r="F149" s="186" t="str">
        <f>IF(Tab_Compteur_2[[#This Row],[Fin de période]]&gt;0,IFERROR(B149-A149+1,""),"")</f>
        <v/>
      </c>
      <c r="G149" t="str">
        <f>IF(IFERROR(IF(Str_TypeDonneesCpt2=Cpt_Index,Tab_Compteur_2[[#This Row],[Index]]-E148,Tab_Compteur_2[[#This Row],[Quantité]])/Tab_Compteur_2[[#This Row],[Delta Jour]],"")&lt;0,"",IFERROR(IF(Str_TypeDonneesCpt2=Cpt_Index,Tab_Compteur_2[[#This Row],[Index]]-E148,Tab_Compteur_2[[#This Row],[Quantité]])/Tab_Compteur_2[[#This Row],[Delta Jour]],""))</f>
        <v/>
      </c>
      <c r="H149" s="186" t="str">
        <f>IFERROR(Tab_Compteur_2[[#This Row],[Colonne1]]/Tab_Compteur_2[[#This Row],[Delta Jour]],"")</f>
        <v/>
      </c>
      <c r="I149" s="208" t="str">
        <f t="shared" si="4"/>
        <v/>
      </c>
      <c r="J149" s="501"/>
      <c r="K149" s="73"/>
      <c r="L149" s="73"/>
      <c r="M149" s="73"/>
    </row>
    <row r="150" spans="1:13">
      <c r="A150" s="3">
        <f t="shared" si="5"/>
        <v>1</v>
      </c>
      <c r="C150" s="189"/>
      <c r="D150" s="195"/>
      <c r="E150" s="196"/>
      <c r="F150" s="186" t="str">
        <f>IF(Tab_Compteur_2[[#This Row],[Fin de période]]&gt;0,IFERROR(B150-A150+1,""),"")</f>
        <v/>
      </c>
      <c r="G150" t="str">
        <f>IF(IFERROR(IF(Str_TypeDonneesCpt2=Cpt_Index,Tab_Compteur_2[[#This Row],[Index]]-E149,Tab_Compteur_2[[#This Row],[Quantité]])/Tab_Compteur_2[[#This Row],[Delta Jour]],"")&lt;0,"",IFERROR(IF(Str_TypeDonneesCpt2=Cpt_Index,Tab_Compteur_2[[#This Row],[Index]]-E149,Tab_Compteur_2[[#This Row],[Quantité]])/Tab_Compteur_2[[#This Row],[Delta Jour]],""))</f>
        <v/>
      </c>
      <c r="H150" s="186" t="str">
        <f>IFERROR(Tab_Compteur_2[[#This Row],[Colonne1]]/Tab_Compteur_2[[#This Row],[Delta Jour]],"")</f>
        <v/>
      </c>
      <c r="I150" s="208" t="str">
        <f t="shared" si="4"/>
        <v/>
      </c>
      <c r="J150" s="501"/>
      <c r="K150" s="73"/>
      <c r="L150" s="73"/>
      <c r="M150" s="73"/>
    </row>
    <row r="151" spans="1:13">
      <c r="A151" s="3">
        <f t="shared" si="5"/>
        <v>1</v>
      </c>
      <c r="C151" s="189"/>
      <c r="D151" s="195"/>
      <c r="E151" s="196"/>
      <c r="F151" s="186" t="str">
        <f>IF(Tab_Compteur_2[[#This Row],[Fin de période]]&gt;0,IFERROR(B151-A151+1,""),"")</f>
        <v/>
      </c>
      <c r="G151" t="str">
        <f>IF(IFERROR(IF(Str_TypeDonneesCpt2=Cpt_Index,Tab_Compteur_2[[#This Row],[Index]]-E150,Tab_Compteur_2[[#This Row],[Quantité]])/Tab_Compteur_2[[#This Row],[Delta Jour]],"")&lt;0,"",IFERROR(IF(Str_TypeDonneesCpt2=Cpt_Index,Tab_Compteur_2[[#This Row],[Index]]-E150,Tab_Compteur_2[[#This Row],[Quantité]])/Tab_Compteur_2[[#This Row],[Delta Jour]],""))</f>
        <v/>
      </c>
      <c r="H151" s="186" t="str">
        <f>IFERROR(Tab_Compteur_2[[#This Row],[Colonne1]]/Tab_Compteur_2[[#This Row],[Delta Jour]],"")</f>
        <v/>
      </c>
      <c r="I151" s="208" t="str">
        <f t="shared" si="4"/>
        <v/>
      </c>
      <c r="J151" s="501"/>
      <c r="K151" s="73"/>
      <c r="L151" s="73"/>
      <c r="M151" s="73"/>
    </row>
    <row r="152" spans="1:13">
      <c r="A152" s="3">
        <f t="shared" si="5"/>
        <v>1</v>
      </c>
      <c r="C152" s="189"/>
      <c r="D152" s="195"/>
      <c r="E152" s="196"/>
      <c r="F152" s="186" t="str">
        <f>IF(Tab_Compteur_2[[#This Row],[Fin de période]]&gt;0,IFERROR(B152-A152+1,""),"")</f>
        <v/>
      </c>
      <c r="G152" t="str">
        <f>IF(IFERROR(IF(Str_TypeDonneesCpt2=Cpt_Index,Tab_Compteur_2[[#This Row],[Index]]-E151,Tab_Compteur_2[[#This Row],[Quantité]])/Tab_Compteur_2[[#This Row],[Delta Jour]],"")&lt;0,"",IFERROR(IF(Str_TypeDonneesCpt2=Cpt_Index,Tab_Compteur_2[[#This Row],[Index]]-E151,Tab_Compteur_2[[#This Row],[Quantité]])/Tab_Compteur_2[[#This Row],[Delta Jour]],""))</f>
        <v/>
      </c>
      <c r="H152" s="186" t="str">
        <f>IFERROR(Tab_Compteur_2[[#This Row],[Colonne1]]/Tab_Compteur_2[[#This Row],[Delta Jour]],"")</f>
        <v/>
      </c>
      <c r="I152" s="208" t="str">
        <f t="shared" si="4"/>
        <v/>
      </c>
      <c r="J152" s="501"/>
      <c r="K152" s="73"/>
      <c r="L152" s="73"/>
      <c r="M152" s="73"/>
    </row>
    <row r="153" spans="1:13">
      <c r="A153" s="3">
        <f t="shared" si="5"/>
        <v>1</v>
      </c>
      <c r="C153" s="189"/>
      <c r="D153" s="195"/>
      <c r="E153" s="196"/>
      <c r="F153" s="186" t="str">
        <f>IF(Tab_Compteur_2[[#This Row],[Fin de période]]&gt;0,IFERROR(B153-A153+1,""),"")</f>
        <v/>
      </c>
      <c r="G153" t="str">
        <f>IF(IFERROR(IF(Str_TypeDonneesCpt2=Cpt_Index,Tab_Compteur_2[[#This Row],[Index]]-E152,Tab_Compteur_2[[#This Row],[Quantité]])/Tab_Compteur_2[[#This Row],[Delta Jour]],"")&lt;0,"",IFERROR(IF(Str_TypeDonneesCpt2=Cpt_Index,Tab_Compteur_2[[#This Row],[Index]]-E152,Tab_Compteur_2[[#This Row],[Quantité]])/Tab_Compteur_2[[#This Row],[Delta Jour]],""))</f>
        <v/>
      </c>
      <c r="H153" s="186" t="str">
        <f>IFERROR(Tab_Compteur_2[[#This Row],[Colonne1]]/Tab_Compteur_2[[#This Row],[Delta Jour]],"")</f>
        <v/>
      </c>
      <c r="I153" s="208" t="str">
        <f t="shared" si="4"/>
        <v/>
      </c>
      <c r="J153" s="501"/>
      <c r="K153" s="73"/>
      <c r="L153" s="73"/>
      <c r="M153" s="73"/>
    </row>
    <row r="154" spans="1:13">
      <c r="A154" s="3">
        <f t="shared" si="5"/>
        <v>1</v>
      </c>
      <c r="C154" s="189"/>
      <c r="D154" s="195"/>
      <c r="E154" s="196"/>
      <c r="F154" s="186" t="str">
        <f>IF(Tab_Compteur_2[[#This Row],[Fin de période]]&gt;0,IFERROR(B154-A154+1,""),"")</f>
        <v/>
      </c>
      <c r="G154" t="str">
        <f>IF(IFERROR(IF(Str_TypeDonneesCpt2=Cpt_Index,Tab_Compteur_2[[#This Row],[Index]]-E153,Tab_Compteur_2[[#This Row],[Quantité]])/Tab_Compteur_2[[#This Row],[Delta Jour]],"")&lt;0,"",IFERROR(IF(Str_TypeDonneesCpt2=Cpt_Index,Tab_Compteur_2[[#This Row],[Index]]-E153,Tab_Compteur_2[[#This Row],[Quantité]])/Tab_Compteur_2[[#This Row],[Delta Jour]],""))</f>
        <v/>
      </c>
      <c r="H154" s="186" t="str">
        <f>IFERROR(Tab_Compteur_2[[#This Row],[Colonne1]]/Tab_Compteur_2[[#This Row],[Delta Jour]],"")</f>
        <v/>
      </c>
      <c r="I154" s="208" t="str">
        <f t="shared" si="4"/>
        <v/>
      </c>
      <c r="J154" s="501"/>
      <c r="K154" s="73"/>
      <c r="L154" s="73"/>
      <c r="M154" s="73"/>
    </row>
    <row r="155" spans="1:13">
      <c r="A155" s="3">
        <f t="shared" si="5"/>
        <v>1</v>
      </c>
      <c r="C155" s="189"/>
      <c r="D155" s="195"/>
      <c r="E155" s="196"/>
      <c r="F155" s="186" t="str">
        <f>IF(Tab_Compteur_2[[#This Row],[Fin de période]]&gt;0,IFERROR(B155-A155+1,""),"")</f>
        <v/>
      </c>
      <c r="G155" t="str">
        <f>IF(IFERROR(IF(Str_TypeDonneesCpt2=Cpt_Index,Tab_Compteur_2[[#This Row],[Index]]-E154,Tab_Compteur_2[[#This Row],[Quantité]])/Tab_Compteur_2[[#This Row],[Delta Jour]],"")&lt;0,"",IFERROR(IF(Str_TypeDonneesCpt2=Cpt_Index,Tab_Compteur_2[[#This Row],[Index]]-E154,Tab_Compteur_2[[#This Row],[Quantité]])/Tab_Compteur_2[[#This Row],[Delta Jour]],""))</f>
        <v/>
      </c>
      <c r="H155" s="186" t="str">
        <f>IFERROR(Tab_Compteur_2[[#This Row],[Colonne1]]/Tab_Compteur_2[[#This Row],[Delta Jour]],"")</f>
        <v/>
      </c>
      <c r="I155" s="208" t="str">
        <f t="shared" si="4"/>
        <v/>
      </c>
      <c r="J155" s="501"/>
      <c r="K155" s="73"/>
      <c r="L155" s="73"/>
      <c r="M155" s="73"/>
    </row>
    <row r="156" spans="1:13">
      <c r="A156" s="3">
        <f t="shared" si="5"/>
        <v>1</v>
      </c>
      <c r="C156" s="189"/>
      <c r="D156" s="195"/>
      <c r="E156" s="196"/>
      <c r="F156" s="186" t="str">
        <f>IF(Tab_Compteur_2[[#This Row],[Fin de période]]&gt;0,IFERROR(B156-A156+1,""),"")</f>
        <v/>
      </c>
      <c r="G156" t="str">
        <f>IF(IFERROR(IF(Str_TypeDonneesCpt2=Cpt_Index,Tab_Compteur_2[[#This Row],[Index]]-E155,Tab_Compteur_2[[#This Row],[Quantité]])/Tab_Compteur_2[[#This Row],[Delta Jour]],"")&lt;0,"",IFERROR(IF(Str_TypeDonneesCpt2=Cpt_Index,Tab_Compteur_2[[#This Row],[Index]]-E155,Tab_Compteur_2[[#This Row],[Quantité]])/Tab_Compteur_2[[#This Row],[Delta Jour]],""))</f>
        <v/>
      </c>
      <c r="H156" s="186" t="str">
        <f>IFERROR(Tab_Compteur_2[[#This Row],[Colonne1]]/Tab_Compteur_2[[#This Row],[Delta Jour]],"")</f>
        <v/>
      </c>
      <c r="I156" s="208" t="str">
        <f t="shared" si="4"/>
        <v/>
      </c>
      <c r="J156" s="501"/>
      <c r="K156" s="73"/>
      <c r="L156" s="73"/>
      <c r="M156" s="73"/>
    </row>
    <row r="157" spans="1:13">
      <c r="A157" s="3">
        <f t="shared" si="5"/>
        <v>1</v>
      </c>
      <c r="C157" s="189"/>
      <c r="D157" s="195"/>
      <c r="E157" s="196"/>
      <c r="F157" s="186" t="str">
        <f>IF(Tab_Compteur_2[[#This Row],[Fin de période]]&gt;0,IFERROR(B157-A157+1,""),"")</f>
        <v/>
      </c>
      <c r="G157" t="str">
        <f>IF(IFERROR(IF(Str_TypeDonneesCpt2=Cpt_Index,Tab_Compteur_2[[#This Row],[Index]]-E156,Tab_Compteur_2[[#This Row],[Quantité]])/Tab_Compteur_2[[#This Row],[Delta Jour]],"")&lt;0,"",IFERROR(IF(Str_TypeDonneesCpt2=Cpt_Index,Tab_Compteur_2[[#This Row],[Index]]-E156,Tab_Compteur_2[[#This Row],[Quantité]])/Tab_Compteur_2[[#This Row],[Delta Jour]],""))</f>
        <v/>
      </c>
      <c r="H157" s="186" t="str">
        <f>IFERROR(Tab_Compteur_2[[#This Row],[Colonne1]]/Tab_Compteur_2[[#This Row],[Delta Jour]],"")</f>
        <v/>
      </c>
      <c r="I157" s="208" t="str">
        <f t="shared" si="4"/>
        <v/>
      </c>
      <c r="J157" s="501"/>
      <c r="K157" s="73"/>
      <c r="L157" s="73"/>
      <c r="M157" s="73"/>
    </row>
    <row r="158" spans="1:13">
      <c r="A158" s="3">
        <f t="shared" si="5"/>
        <v>1</v>
      </c>
      <c r="C158" s="189"/>
      <c r="D158" s="195"/>
      <c r="E158" s="196"/>
      <c r="F158" s="186" t="str">
        <f>IF(Tab_Compteur_2[[#This Row],[Fin de période]]&gt;0,IFERROR(B158-A158+1,""),"")</f>
        <v/>
      </c>
      <c r="G158" t="str">
        <f>IF(IFERROR(IF(Str_TypeDonneesCpt2=Cpt_Index,Tab_Compteur_2[[#This Row],[Index]]-E157,Tab_Compteur_2[[#This Row],[Quantité]])/Tab_Compteur_2[[#This Row],[Delta Jour]],"")&lt;0,"",IFERROR(IF(Str_TypeDonneesCpt2=Cpt_Index,Tab_Compteur_2[[#This Row],[Index]]-E157,Tab_Compteur_2[[#This Row],[Quantité]])/Tab_Compteur_2[[#This Row],[Delta Jour]],""))</f>
        <v/>
      </c>
      <c r="H158" s="186" t="str">
        <f>IFERROR(Tab_Compteur_2[[#This Row],[Colonne1]]/Tab_Compteur_2[[#This Row],[Delta Jour]],"")</f>
        <v/>
      </c>
      <c r="I158" s="208" t="str">
        <f t="shared" si="4"/>
        <v/>
      </c>
      <c r="J158" s="501"/>
      <c r="K158" s="73"/>
      <c r="L158" s="73"/>
      <c r="M158" s="73"/>
    </row>
    <row r="159" spans="1:13">
      <c r="A159" s="3">
        <f t="shared" si="5"/>
        <v>1</v>
      </c>
      <c r="C159" s="192"/>
      <c r="D159" s="195"/>
      <c r="E159" s="196"/>
      <c r="F159" s="186" t="str">
        <f>IF(Tab_Compteur_2[[#This Row],[Fin de période]]&gt;0,IFERROR(B159-A159+1,""),"")</f>
        <v/>
      </c>
      <c r="G159" t="str">
        <f>IF(IFERROR(IF(Str_TypeDonneesCpt2=Cpt_Index,Tab_Compteur_2[[#This Row],[Index]]-E158,Tab_Compteur_2[[#This Row],[Quantité]])/Tab_Compteur_2[[#This Row],[Delta Jour]],"")&lt;0,"",IFERROR(IF(Str_TypeDonneesCpt2=Cpt_Index,Tab_Compteur_2[[#This Row],[Index]]-E158,Tab_Compteur_2[[#This Row],[Quantité]])/Tab_Compteur_2[[#This Row],[Delta Jour]],""))</f>
        <v/>
      </c>
      <c r="H159" s="186" t="str">
        <f>IFERROR(Tab_Compteur_2[[#This Row],[Colonne1]]/Tab_Compteur_2[[#This Row],[Delta Jour]],"")</f>
        <v/>
      </c>
      <c r="I159" s="208" t="str">
        <f t="shared" si="4"/>
        <v/>
      </c>
      <c r="J159" s="501"/>
      <c r="K159" s="73"/>
      <c r="L159" s="73"/>
      <c r="M159" s="73"/>
    </row>
    <row r="160" spans="1:13">
      <c r="A160" s="3">
        <f t="shared" si="5"/>
        <v>1</v>
      </c>
      <c r="C160" s="192"/>
      <c r="D160" s="195"/>
      <c r="E160" s="196"/>
      <c r="F160" s="186" t="str">
        <f>IF(Tab_Compteur_2[[#This Row],[Fin de période]]&gt;0,IFERROR(B160-A160+1,""),"")</f>
        <v/>
      </c>
      <c r="G160" t="str">
        <f>IF(IFERROR(IF(Str_TypeDonneesCpt2=Cpt_Index,Tab_Compteur_2[[#This Row],[Index]]-E159,Tab_Compteur_2[[#This Row],[Quantité]])/Tab_Compteur_2[[#This Row],[Delta Jour]],"")&lt;0,"",IFERROR(IF(Str_TypeDonneesCpt2=Cpt_Index,Tab_Compteur_2[[#This Row],[Index]]-E159,Tab_Compteur_2[[#This Row],[Quantité]])/Tab_Compteur_2[[#This Row],[Delta Jour]],""))</f>
        <v/>
      </c>
      <c r="H160" s="186" t="str">
        <f>IFERROR(Tab_Compteur_2[[#This Row],[Colonne1]]/Tab_Compteur_2[[#This Row],[Delta Jour]],"")</f>
        <v/>
      </c>
      <c r="I160" s="208" t="str">
        <f t="shared" si="4"/>
        <v/>
      </c>
      <c r="J160" s="501"/>
      <c r="K160" s="73"/>
      <c r="L160" s="73"/>
      <c r="M160" s="73"/>
    </row>
    <row r="161" spans="1:13">
      <c r="A161" s="3">
        <f t="shared" si="5"/>
        <v>1</v>
      </c>
      <c r="C161" s="192"/>
      <c r="D161" s="195"/>
      <c r="E161" s="196"/>
      <c r="F161" s="186" t="str">
        <f>IF(Tab_Compteur_2[[#This Row],[Fin de période]]&gt;0,IFERROR(B161-A161+1,""),"")</f>
        <v/>
      </c>
      <c r="G161" t="str">
        <f>IF(IFERROR(IF(Str_TypeDonneesCpt2=Cpt_Index,Tab_Compteur_2[[#This Row],[Index]]-E160,Tab_Compteur_2[[#This Row],[Quantité]])/Tab_Compteur_2[[#This Row],[Delta Jour]],"")&lt;0,"",IFERROR(IF(Str_TypeDonneesCpt2=Cpt_Index,Tab_Compteur_2[[#This Row],[Index]]-E160,Tab_Compteur_2[[#This Row],[Quantité]])/Tab_Compteur_2[[#This Row],[Delta Jour]],""))</f>
        <v/>
      </c>
      <c r="H161" s="186" t="str">
        <f>IFERROR(Tab_Compteur_2[[#This Row],[Colonne1]]/Tab_Compteur_2[[#This Row],[Delta Jour]],"")</f>
        <v/>
      </c>
      <c r="I161" s="208" t="str">
        <f t="shared" si="4"/>
        <v/>
      </c>
      <c r="J161" s="501"/>
      <c r="K161" s="73"/>
      <c r="L161" s="73"/>
      <c r="M161" s="73"/>
    </row>
    <row r="162" spans="1:13">
      <c r="A162" s="3">
        <f t="shared" si="5"/>
        <v>1</v>
      </c>
      <c r="C162" s="192"/>
      <c r="D162" s="195"/>
      <c r="E162" s="196"/>
      <c r="F162" s="186" t="str">
        <f>IF(Tab_Compteur_2[[#This Row],[Fin de période]]&gt;0,IFERROR(B162-A162+1,""),"")</f>
        <v/>
      </c>
      <c r="G162" t="str">
        <f>IF(IFERROR(IF(Str_TypeDonneesCpt2=Cpt_Index,Tab_Compteur_2[[#This Row],[Index]]-E161,Tab_Compteur_2[[#This Row],[Quantité]])/Tab_Compteur_2[[#This Row],[Delta Jour]],"")&lt;0,"",IFERROR(IF(Str_TypeDonneesCpt2=Cpt_Index,Tab_Compteur_2[[#This Row],[Index]]-E161,Tab_Compteur_2[[#This Row],[Quantité]])/Tab_Compteur_2[[#This Row],[Delta Jour]],""))</f>
        <v/>
      </c>
      <c r="H162" s="186" t="str">
        <f>IFERROR(Tab_Compteur_2[[#This Row],[Colonne1]]/Tab_Compteur_2[[#This Row],[Delta Jour]],"")</f>
        <v/>
      </c>
      <c r="I162" s="208" t="str">
        <f t="shared" si="4"/>
        <v/>
      </c>
      <c r="J162" s="501"/>
      <c r="K162" s="73"/>
      <c r="L162" s="73"/>
      <c r="M162" s="73"/>
    </row>
    <row r="163" spans="1:13">
      <c r="A163" s="3">
        <f t="shared" si="5"/>
        <v>1</v>
      </c>
      <c r="C163" s="192"/>
      <c r="D163" s="195"/>
      <c r="E163" s="196"/>
      <c r="F163" s="186" t="str">
        <f>IF(Tab_Compteur_2[[#This Row],[Fin de période]]&gt;0,IFERROR(B163-A163+1,""),"")</f>
        <v/>
      </c>
      <c r="G163" t="str">
        <f>IF(IFERROR(IF(Str_TypeDonneesCpt2=Cpt_Index,Tab_Compteur_2[[#This Row],[Index]]-E162,Tab_Compteur_2[[#This Row],[Quantité]])/Tab_Compteur_2[[#This Row],[Delta Jour]],"")&lt;0,"",IFERROR(IF(Str_TypeDonneesCpt2=Cpt_Index,Tab_Compteur_2[[#This Row],[Index]]-E162,Tab_Compteur_2[[#This Row],[Quantité]])/Tab_Compteur_2[[#This Row],[Delta Jour]],""))</f>
        <v/>
      </c>
      <c r="H163" s="186" t="str">
        <f>IFERROR(Tab_Compteur_2[[#This Row],[Colonne1]]/Tab_Compteur_2[[#This Row],[Delta Jour]],"")</f>
        <v/>
      </c>
      <c r="I163" s="208" t="str">
        <f t="shared" si="4"/>
        <v/>
      </c>
      <c r="J163" s="501"/>
      <c r="K163" s="73"/>
      <c r="L163" s="73"/>
      <c r="M163" s="73"/>
    </row>
    <row r="164" spans="1:13">
      <c r="A164" s="3">
        <f t="shared" si="5"/>
        <v>1</v>
      </c>
      <c r="C164" s="192"/>
      <c r="D164" s="195"/>
      <c r="E164" s="196"/>
      <c r="F164" s="186" t="str">
        <f>IF(Tab_Compteur_2[[#This Row],[Fin de période]]&gt;0,IFERROR(B164-A164+1,""),"")</f>
        <v/>
      </c>
      <c r="G164" t="str">
        <f>IF(IFERROR(IF(Str_TypeDonneesCpt2=Cpt_Index,Tab_Compteur_2[[#This Row],[Index]]-E163,Tab_Compteur_2[[#This Row],[Quantité]])/Tab_Compteur_2[[#This Row],[Delta Jour]],"")&lt;0,"",IFERROR(IF(Str_TypeDonneesCpt2=Cpt_Index,Tab_Compteur_2[[#This Row],[Index]]-E163,Tab_Compteur_2[[#This Row],[Quantité]])/Tab_Compteur_2[[#This Row],[Delta Jour]],""))</f>
        <v/>
      </c>
      <c r="H164" s="186" t="str">
        <f>IFERROR(Tab_Compteur_2[[#This Row],[Colonne1]]/Tab_Compteur_2[[#This Row],[Delta Jour]],"")</f>
        <v/>
      </c>
      <c r="I164" s="208" t="str">
        <f t="shared" si="4"/>
        <v/>
      </c>
      <c r="J164" s="501"/>
      <c r="K164" s="73"/>
      <c r="L164" s="73"/>
      <c r="M164" s="73"/>
    </row>
    <row r="165" spans="1:13">
      <c r="A165" s="3">
        <f t="shared" si="5"/>
        <v>1</v>
      </c>
      <c r="C165" s="192"/>
      <c r="D165" s="195"/>
      <c r="E165" s="196"/>
      <c r="F165" s="186" t="str">
        <f>IF(Tab_Compteur_2[[#This Row],[Fin de période]]&gt;0,IFERROR(B165-A165+1,""),"")</f>
        <v/>
      </c>
      <c r="G165" t="str">
        <f>IF(IFERROR(IF(Str_TypeDonneesCpt2=Cpt_Index,Tab_Compteur_2[[#This Row],[Index]]-E164,Tab_Compteur_2[[#This Row],[Quantité]])/Tab_Compteur_2[[#This Row],[Delta Jour]],"")&lt;0,"",IFERROR(IF(Str_TypeDonneesCpt2=Cpt_Index,Tab_Compteur_2[[#This Row],[Index]]-E164,Tab_Compteur_2[[#This Row],[Quantité]])/Tab_Compteur_2[[#This Row],[Delta Jour]],""))</f>
        <v/>
      </c>
      <c r="H165" s="186" t="str">
        <f>IFERROR(Tab_Compteur_2[[#This Row],[Colonne1]]/Tab_Compteur_2[[#This Row],[Delta Jour]],"")</f>
        <v/>
      </c>
      <c r="I165" s="208" t="str">
        <f t="shared" si="4"/>
        <v/>
      </c>
      <c r="J165" s="504"/>
      <c r="K165" s="73"/>
      <c r="L165" s="73"/>
      <c r="M165" s="73"/>
    </row>
    <row r="166" spans="1:13">
      <c r="A166" s="3">
        <f t="shared" si="5"/>
        <v>1</v>
      </c>
      <c r="C166" s="192"/>
      <c r="D166" s="195"/>
      <c r="E166" s="196"/>
      <c r="F166" s="186" t="str">
        <f>IF(Tab_Compteur_2[[#This Row],[Fin de période]]&gt;0,IFERROR(B166-A166+1,""),"")</f>
        <v/>
      </c>
      <c r="G166" t="str">
        <f>IF(IFERROR(IF(Str_TypeDonneesCpt2=Cpt_Index,Tab_Compteur_2[[#This Row],[Index]]-E165,Tab_Compteur_2[[#This Row],[Quantité]])/Tab_Compteur_2[[#This Row],[Delta Jour]],"")&lt;0,"",IFERROR(IF(Str_TypeDonneesCpt2=Cpt_Index,Tab_Compteur_2[[#This Row],[Index]]-E165,Tab_Compteur_2[[#This Row],[Quantité]])/Tab_Compteur_2[[#This Row],[Delta Jour]],""))</f>
        <v/>
      </c>
      <c r="H166" s="186" t="str">
        <f>IFERROR(Tab_Compteur_2[[#This Row],[Colonne1]]/Tab_Compteur_2[[#This Row],[Delta Jour]],"")</f>
        <v/>
      </c>
      <c r="I166" s="208" t="str">
        <f t="shared" si="4"/>
        <v/>
      </c>
      <c r="J166" s="501"/>
      <c r="K166" s="73"/>
      <c r="L166" s="73"/>
      <c r="M166" s="73"/>
    </row>
    <row r="167" spans="1:13">
      <c r="A167" s="3">
        <f t="shared" si="5"/>
        <v>1</v>
      </c>
      <c r="C167" s="192"/>
      <c r="D167" s="195"/>
      <c r="E167" s="196"/>
      <c r="F167" s="186" t="str">
        <f>IF(Tab_Compteur_2[[#This Row],[Fin de période]]&gt;0,IFERROR(B167-A167+1,""),"")</f>
        <v/>
      </c>
      <c r="G167" t="str">
        <f>IF(IFERROR(IF(Str_TypeDonneesCpt2=Cpt_Index,Tab_Compteur_2[[#This Row],[Index]]-E166,Tab_Compteur_2[[#This Row],[Quantité]])/Tab_Compteur_2[[#This Row],[Delta Jour]],"")&lt;0,"",IFERROR(IF(Str_TypeDonneesCpt2=Cpt_Index,Tab_Compteur_2[[#This Row],[Index]]-E166,Tab_Compteur_2[[#This Row],[Quantité]])/Tab_Compteur_2[[#This Row],[Delta Jour]],""))</f>
        <v/>
      </c>
      <c r="H167" s="186" t="str">
        <f>IFERROR(Tab_Compteur_2[[#This Row],[Colonne1]]/Tab_Compteur_2[[#This Row],[Delta Jour]],"")</f>
        <v/>
      </c>
      <c r="I167" s="208" t="str">
        <f t="shared" si="4"/>
        <v/>
      </c>
      <c r="J167" s="501"/>
      <c r="K167" s="73"/>
      <c r="L167" s="73"/>
      <c r="M167" s="73"/>
    </row>
    <row r="168" spans="1:13">
      <c r="A168" s="3">
        <f t="shared" si="5"/>
        <v>1</v>
      </c>
      <c r="C168" s="192"/>
      <c r="D168" s="195"/>
      <c r="E168" s="196"/>
      <c r="F168" s="186" t="str">
        <f>IF(Tab_Compteur_2[[#This Row],[Fin de période]]&gt;0,IFERROR(B168-A168+1,""),"")</f>
        <v/>
      </c>
      <c r="G168" t="str">
        <f>IF(IFERROR(IF(Str_TypeDonneesCpt2=Cpt_Index,Tab_Compteur_2[[#This Row],[Index]]-E167,Tab_Compteur_2[[#This Row],[Quantité]])/Tab_Compteur_2[[#This Row],[Delta Jour]],"")&lt;0,"",IFERROR(IF(Str_TypeDonneesCpt2=Cpt_Index,Tab_Compteur_2[[#This Row],[Index]]-E167,Tab_Compteur_2[[#This Row],[Quantité]])/Tab_Compteur_2[[#This Row],[Delta Jour]],""))</f>
        <v/>
      </c>
      <c r="H168" s="186" t="str">
        <f>IFERROR(Tab_Compteur_2[[#This Row],[Colonne1]]/Tab_Compteur_2[[#This Row],[Delta Jour]],"")</f>
        <v/>
      </c>
      <c r="I168" s="208" t="str">
        <f t="shared" si="4"/>
        <v/>
      </c>
      <c r="J168" s="501"/>
      <c r="K168" s="73"/>
      <c r="L168" s="73"/>
      <c r="M168" s="73"/>
    </row>
    <row r="169" spans="1:13">
      <c r="A169" s="3">
        <f t="shared" si="5"/>
        <v>1</v>
      </c>
      <c r="C169" s="192"/>
      <c r="D169" s="195"/>
      <c r="E169" s="196"/>
      <c r="F169" s="186" t="str">
        <f>IF(Tab_Compteur_2[[#This Row],[Fin de période]]&gt;0,IFERROR(B169-A169+1,""),"")</f>
        <v/>
      </c>
      <c r="G169" t="str">
        <f>IF(IFERROR(IF(Str_TypeDonneesCpt2=Cpt_Index,Tab_Compteur_2[[#This Row],[Index]]-E168,Tab_Compteur_2[[#This Row],[Quantité]])/Tab_Compteur_2[[#This Row],[Delta Jour]],"")&lt;0,"",IFERROR(IF(Str_TypeDonneesCpt2=Cpt_Index,Tab_Compteur_2[[#This Row],[Index]]-E168,Tab_Compteur_2[[#This Row],[Quantité]])/Tab_Compteur_2[[#This Row],[Delta Jour]],""))</f>
        <v/>
      </c>
      <c r="H169" s="186" t="str">
        <f>IFERROR(Tab_Compteur_2[[#This Row],[Colonne1]]/Tab_Compteur_2[[#This Row],[Delta Jour]],"")</f>
        <v/>
      </c>
      <c r="I169" s="208" t="str">
        <f t="shared" si="4"/>
        <v/>
      </c>
      <c r="J169" s="501"/>
      <c r="K169" s="73"/>
      <c r="L169" s="73"/>
      <c r="M169" s="73"/>
    </row>
    <row r="170" spans="1:13">
      <c r="A170" s="3">
        <f t="shared" si="5"/>
        <v>1</v>
      </c>
      <c r="C170" s="192"/>
      <c r="D170" s="195"/>
      <c r="E170" s="196"/>
      <c r="F170" s="186" t="str">
        <f>IF(Tab_Compteur_2[[#This Row],[Fin de période]]&gt;0,IFERROR(B170-A170+1,""),"")</f>
        <v/>
      </c>
      <c r="G170" t="str">
        <f>IF(IFERROR(IF(Str_TypeDonneesCpt2=Cpt_Index,Tab_Compteur_2[[#This Row],[Index]]-E169,Tab_Compteur_2[[#This Row],[Quantité]])/Tab_Compteur_2[[#This Row],[Delta Jour]],"")&lt;0,"",IFERROR(IF(Str_TypeDonneesCpt2=Cpt_Index,Tab_Compteur_2[[#This Row],[Index]]-E169,Tab_Compteur_2[[#This Row],[Quantité]])/Tab_Compteur_2[[#This Row],[Delta Jour]],""))</f>
        <v/>
      </c>
      <c r="H170" s="186" t="str">
        <f>IFERROR(Tab_Compteur_2[[#This Row],[Colonne1]]/Tab_Compteur_2[[#This Row],[Delta Jour]],"")</f>
        <v/>
      </c>
      <c r="I170" s="208" t="str">
        <f t="shared" si="4"/>
        <v/>
      </c>
      <c r="J170" s="501"/>
      <c r="K170" s="73"/>
      <c r="L170" s="73"/>
      <c r="M170" s="73"/>
    </row>
    <row r="171" spans="1:13">
      <c r="A171" s="3">
        <f t="shared" si="5"/>
        <v>1</v>
      </c>
      <c r="C171" s="192"/>
      <c r="D171" s="195"/>
      <c r="E171" s="196"/>
      <c r="F171" s="186" t="str">
        <f>IF(Tab_Compteur_2[[#This Row],[Fin de période]]&gt;0,IFERROR(B171-A171+1,""),"")</f>
        <v/>
      </c>
      <c r="G171" t="str">
        <f>IF(IFERROR(IF(Str_TypeDonneesCpt2=Cpt_Index,Tab_Compteur_2[[#This Row],[Index]]-E170,Tab_Compteur_2[[#This Row],[Quantité]])/Tab_Compteur_2[[#This Row],[Delta Jour]],"")&lt;0,"",IFERROR(IF(Str_TypeDonneesCpt2=Cpt_Index,Tab_Compteur_2[[#This Row],[Index]]-E170,Tab_Compteur_2[[#This Row],[Quantité]])/Tab_Compteur_2[[#This Row],[Delta Jour]],""))</f>
        <v/>
      </c>
      <c r="H171" s="186" t="str">
        <f>IFERROR(Tab_Compteur_2[[#This Row],[Colonne1]]/Tab_Compteur_2[[#This Row],[Delta Jour]],"")</f>
        <v/>
      </c>
      <c r="I171" s="208" t="str">
        <f t="shared" si="4"/>
        <v/>
      </c>
      <c r="J171" s="501"/>
      <c r="K171" s="73"/>
      <c r="L171" s="73"/>
      <c r="M171" s="73"/>
    </row>
    <row r="172" spans="1:13">
      <c r="A172" s="3">
        <f t="shared" si="5"/>
        <v>1</v>
      </c>
      <c r="C172" s="192"/>
      <c r="D172" s="195"/>
      <c r="E172" s="196"/>
      <c r="F172" s="186" t="str">
        <f>IF(Tab_Compteur_2[[#This Row],[Fin de période]]&gt;0,IFERROR(B172-A172+1,""),"")</f>
        <v/>
      </c>
      <c r="G172" t="str">
        <f>IF(IFERROR(IF(Str_TypeDonneesCpt2=Cpt_Index,Tab_Compteur_2[[#This Row],[Index]]-E171,Tab_Compteur_2[[#This Row],[Quantité]])/Tab_Compteur_2[[#This Row],[Delta Jour]],"")&lt;0,"",IFERROR(IF(Str_TypeDonneesCpt2=Cpt_Index,Tab_Compteur_2[[#This Row],[Index]]-E171,Tab_Compteur_2[[#This Row],[Quantité]])/Tab_Compteur_2[[#This Row],[Delta Jour]],""))</f>
        <v/>
      </c>
      <c r="H172" s="186" t="str">
        <f>IFERROR(Tab_Compteur_2[[#This Row],[Colonne1]]/Tab_Compteur_2[[#This Row],[Delta Jour]],"")</f>
        <v/>
      </c>
      <c r="I172" s="208" t="str">
        <f t="shared" si="4"/>
        <v/>
      </c>
      <c r="J172" s="501"/>
      <c r="K172" s="73"/>
      <c r="L172" s="73"/>
      <c r="M172" s="73"/>
    </row>
    <row r="173" spans="1:13">
      <c r="A173" s="3">
        <f t="shared" si="5"/>
        <v>1</v>
      </c>
      <c r="C173" s="192"/>
      <c r="D173" s="195"/>
      <c r="E173" s="196"/>
      <c r="F173" s="186" t="str">
        <f>IF(Tab_Compteur_2[[#This Row],[Fin de période]]&gt;0,IFERROR(B173-A173+1,""),"")</f>
        <v/>
      </c>
      <c r="G173" t="str">
        <f>IF(IFERROR(IF(Str_TypeDonneesCpt2=Cpt_Index,Tab_Compteur_2[[#This Row],[Index]]-E172,Tab_Compteur_2[[#This Row],[Quantité]])/Tab_Compteur_2[[#This Row],[Delta Jour]],"")&lt;0,"",IFERROR(IF(Str_TypeDonneesCpt2=Cpt_Index,Tab_Compteur_2[[#This Row],[Index]]-E172,Tab_Compteur_2[[#This Row],[Quantité]])/Tab_Compteur_2[[#This Row],[Delta Jour]],""))</f>
        <v/>
      </c>
      <c r="H173" s="186" t="str">
        <f>IFERROR(Tab_Compteur_2[[#This Row],[Colonne1]]/Tab_Compteur_2[[#This Row],[Delta Jour]],"")</f>
        <v/>
      </c>
      <c r="I173" s="208" t="str">
        <f t="shared" si="4"/>
        <v/>
      </c>
      <c r="J173" s="501"/>
      <c r="K173" s="73"/>
      <c r="L173" s="73"/>
      <c r="M173" s="73"/>
    </row>
    <row r="174" spans="1:13">
      <c r="A174" s="3">
        <f t="shared" si="5"/>
        <v>1</v>
      </c>
      <c r="C174" s="192"/>
      <c r="D174" s="195"/>
      <c r="E174" s="196"/>
      <c r="F174" s="186" t="str">
        <f>IF(Tab_Compteur_2[[#This Row],[Fin de période]]&gt;0,IFERROR(B174-A174+1,""),"")</f>
        <v/>
      </c>
      <c r="G174" t="str">
        <f>IF(IFERROR(IF(Str_TypeDonneesCpt2=Cpt_Index,Tab_Compteur_2[[#This Row],[Index]]-E173,Tab_Compteur_2[[#This Row],[Quantité]])/Tab_Compteur_2[[#This Row],[Delta Jour]],"")&lt;0,"",IFERROR(IF(Str_TypeDonneesCpt2=Cpt_Index,Tab_Compteur_2[[#This Row],[Index]]-E173,Tab_Compteur_2[[#This Row],[Quantité]])/Tab_Compteur_2[[#This Row],[Delta Jour]],""))</f>
        <v/>
      </c>
      <c r="H174" s="186" t="str">
        <f>IFERROR(Tab_Compteur_2[[#This Row],[Colonne1]]/Tab_Compteur_2[[#This Row],[Delta Jour]],"")</f>
        <v/>
      </c>
      <c r="I174" s="208" t="str">
        <f t="shared" si="4"/>
        <v/>
      </c>
      <c r="J174" s="501"/>
      <c r="K174" s="73"/>
      <c r="L174" s="73"/>
      <c r="M174" s="73"/>
    </row>
    <row r="175" spans="1:13">
      <c r="A175" s="3">
        <f t="shared" si="5"/>
        <v>1</v>
      </c>
      <c r="C175" s="192"/>
      <c r="D175" s="195"/>
      <c r="E175" s="196"/>
      <c r="F175" s="186" t="str">
        <f>IF(Tab_Compteur_2[[#This Row],[Fin de période]]&gt;0,IFERROR(B175-A175+1,""),"")</f>
        <v/>
      </c>
      <c r="G175" t="str">
        <f>IF(IFERROR(IF(Str_TypeDonneesCpt2=Cpt_Index,Tab_Compteur_2[[#This Row],[Index]]-E174,Tab_Compteur_2[[#This Row],[Quantité]])/Tab_Compteur_2[[#This Row],[Delta Jour]],"")&lt;0,"",IFERROR(IF(Str_TypeDonneesCpt2=Cpt_Index,Tab_Compteur_2[[#This Row],[Index]]-E174,Tab_Compteur_2[[#This Row],[Quantité]])/Tab_Compteur_2[[#This Row],[Delta Jour]],""))</f>
        <v/>
      </c>
      <c r="H175" s="186" t="str">
        <f>IFERROR(Tab_Compteur_2[[#This Row],[Colonne1]]/Tab_Compteur_2[[#This Row],[Delta Jour]],"")</f>
        <v/>
      </c>
      <c r="I175" s="208" t="str">
        <f t="shared" si="4"/>
        <v/>
      </c>
      <c r="J175" s="501"/>
      <c r="K175" s="73"/>
      <c r="L175" s="73"/>
      <c r="M175" s="73"/>
    </row>
    <row r="176" spans="1:13">
      <c r="A176" s="3">
        <f t="shared" si="5"/>
        <v>1</v>
      </c>
      <c r="C176" s="192"/>
      <c r="D176" s="195"/>
      <c r="E176" s="196"/>
      <c r="F176" s="186" t="str">
        <f>IF(Tab_Compteur_2[[#This Row],[Fin de période]]&gt;0,IFERROR(B176-A176+1,""),"")</f>
        <v/>
      </c>
      <c r="G176" t="str">
        <f>IF(IFERROR(IF(Str_TypeDonneesCpt2=Cpt_Index,Tab_Compteur_2[[#This Row],[Index]]-E175,Tab_Compteur_2[[#This Row],[Quantité]])/Tab_Compteur_2[[#This Row],[Delta Jour]],"")&lt;0,"",IFERROR(IF(Str_TypeDonneesCpt2=Cpt_Index,Tab_Compteur_2[[#This Row],[Index]]-E175,Tab_Compteur_2[[#This Row],[Quantité]])/Tab_Compteur_2[[#This Row],[Delta Jour]],""))</f>
        <v/>
      </c>
      <c r="H176" s="186" t="str">
        <f>IFERROR(Tab_Compteur_2[[#This Row],[Colonne1]]/Tab_Compteur_2[[#This Row],[Delta Jour]],"")</f>
        <v/>
      </c>
      <c r="I176" s="208" t="str">
        <f t="shared" si="4"/>
        <v/>
      </c>
      <c r="J176" s="501"/>
      <c r="K176" s="73"/>
      <c r="L176" s="73"/>
      <c r="M176" s="73"/>
    </row>
    <row r="177" spans="1:13">
      <c r="A177" s="3">
        <f t="shared" si="5"/>
        <v>1</v>
      </c>
      <c r="C177" s="192"/>
      <c r="D177" s="195"/>
      <c r="E177" s="196"/>
      <c r="F177" s="186" t="str">
        <f>IF(Tab_Compteur_2[[#This Row],[Fin de période]]&gt;0,IFERROR(B177-A177+1,""),"")</f>
        <v/>
      </c>
      <c r="G177" t="str">
        <f>IF(IFERROR(IF(Str_TypeDonneesCpt2=Cpt_Index,Tab_Compteur_2[[#This Row],[Index]]-E176,Tab_Compteur_2[[#This Row],[Quantité]])/Tab_Compteur_2[[#This Row],[Delta Jour]],"")&lt;0,"",IFERROR(IF(Str_TypeDonneesCpt2=Cpt_Index,Tab_Compteur_2[[#This Row],[Index]]-E176,Tab_Compteur_2[[#This Row],[Quantité]])/Tab_Compteur_2[[#This Row],[Delta Jour]],""))</f>
        <v/>
      </c>
      <c r="H177" s="186" t="str">
        <f>IFERROR(Tab_Compteur_2[[#This Row],[Colonne1]]/Tab_Compteur_2[[#This Row],[Delta Jour]],"")</f>
        <v/>
      </c>
      <c r="I177" s="208" t="str">
        <f t="shared" si="4"/>
        <v/>
      </c>
      <c r="J177" s="501"/>
      <c r="K177" s="73"/>
      <c r="L177" s="73"/>
      <c r="M177" s="73"/>
    </row>
    <row r="178" spans="1:13">
      <c r="A178" s="3">
        <f t="shared" si="5"/>
        <v>1</v>
      </c>
      <c r="C178" s="192"/>
      <c r="D178" s="195"/>
      <c r="E178" s="196"/>
      <c r="F178" s="186" t="str">
        <f>IF(Tab_Compteur_2[[#This Row],[Fin de période]]&gt;0,IFERROR(B178-A178+1,""),"")</f>
        <v/>
      </c>
      <c r="G178" t="str">
        <f>IF(IFERROR(IF(Str_TypeDonneesCpt2=Cpt_Index,Tab_Compteur_2[[#This Row],[Index]]-E177,Tab_Compteur_2[[#This Row],[Quantité]])/Tab_Compteur_2[[#This Row],[Delta Jour]],"")&lt;0,"",IFERROR(IF(Str_TypeDonneesCpt2=Cpt_Index,Tab_Compteur_2[[#This Row],[Index]]-E177,Tab_Compteur_2[[#This Row],[Quantité]])/Tab_Compteur_2[[#This Row],[Delta Jour]],""))</f>
        <v/>
      </c>
      <c r="H178" s="186" t="str">
        <f>IFERROR(Tab_Compteur_2[[#This Row],[Colonne1]]/Tab_Compteur_2[[#This Row],[Delta Jour]],"")</f>
        <v/>
      </c>
      <c r="I178" s="208" t="str">
        <f t="shared" si="4"/>
        <v/>
      </c>
      <c r="J178" s="501"/>
      <c r="K178" s="73"/>
      <c r="L178" s="73"/>
      <c r="M178" s="73"/>
    </row>
    <row r="179" spans="1:13">
      <c r="A179" s="3">
        <f t="shared" si="5"/>
        <v>1</v>
      </c>
      <c r="C179" s="192"/>
      <c r="D179" s="195"/>
      <c r="E179" s="196"/>
      <c r="F179" s="186" t="str">
        <f>IF(Tab_Compteur_2[[#This Row],[Fin de période]]&gt;0,IFERROR(B179-A179+1,""),"")</f>
        <v/>
      </c>
      <c r="G179" t="str">
        <f>IF(IFERROR(IF(Str_TypeDonneesCpt2=Cpt_Index,Tab_Compteur_2[[#This Row],[Index]]-E178,Tab_Compteur_2[[#This Row],[Quantité]])/Tab_Compteur_2[[#This Row],[Delta Jour]],"")&lt;0,"",IFERROR(IF(Str_TypeDonneesCpt2=Cpt_Index,Tab_Compteur_2[[#This Row],[Index]]-E178,Tab_Compteur_2[[#This Row],[Quantité]])/Tab_Compteur_2[[#This Row],[Delta Jour]],""))</f>
        <v/>
      </c>
      <c r="H179" s="186" t="str">
        <f>IFERROR(Tab_Compteur_2[[#This Row],[Colonne1]]/Tab_Compteur_2[[#This Row],[Delta Jour]],"")</f>
        <v/>
      </c>
      <c r="I179" s="208" t="str">
        <f t="shared" si="4"/>
        <v/>
      </c>
      <c r="J179" s="501"/>
      <c r="K179" s="73"/>
      <c r="L179" s="73"/>
      <c r="M179" s="73"/>
    </row>
    <row r="180" spans="1:13">
      <c r="A180" s="3">
        <f t="shared" si="5"/>
        <v>1</v>
      </c>
      <c r="C180" s="192"/>
      <c r="D180" s="195"/>
      <c r="E180" s="196"/>
      <c r="F180" s="186" t="str">
        <f>IF(Tab_Compteur_2[[#This Row],[Fin de période]]&gt;0,IFERROR(B180-A180+1,""),"")</f>
        <v/>
      </c>
      <c r="G180" t="str">
        <f>IF(IFERROR(IF(Str_TypeDonneesCpt2=Cpt_Index,Tab_Compteur_2[[#This Row],[Index]]-E179,Tab_Compteur_2[[#This Row],[Quantité]])/Tab_Compteur_2[[#This Row],[Delta Jour]],"")&lt;0,"",IFERROR(IF(Str_TypeDonneesCpt2=Cpt_Index,Tab_Compteur_2[[#This Row],[Index]]-E179,Tab_Compteur_2[[#This Row],[Quantité]])/Tab_Compteur_2[[#This Row],[Delta Jour]],""))</f>
        <v/>
      </c>
      <c r="H180" s="186" t="str">
        <f>IFERROR(Tab_Compteur_2[[#This Row],[Colonne1]]/Tab_Compteur_2[[#This Row],[Delta Jour]],"")</f>
        <v/>
      </c>
      <c r="I180" s="208" t="str">
        <f t="shared" si="4"/>
        <v/>
      </c>
      <c r="J180" s="501"/>
      <c r="K180" s="73"/>
      <c r="L180" s="73"/>
      <c r="M180" s="73"/>
    </row>
    <row r="181" spans="1:13">
      <c r="A181" s="3">
        <f t="shared" si="5"/>
        <v>1</v>
      </c>
      <c r="C181" s="192"/>
      <c r="D181" s="195"/>
      <c r="E181" s="196"/>
      <c r="F181" s="186" t="str">
        <f>IF(Tab_Compteur_2[[#This Row],[Fin de période]]&gt;0,IFERROR(B181-A181+1,""),"")</f>
        <v/>
      </c>
      <c r="G181" t="str">
        <f>IF(IFERROR(IF(Str_TypeDonneesCpt2=Cpt_Index,Tab_Compteur_2[[#This Row],[Index]]-E180,Tab_Compteur_2[[#This Row],[Quantité]])/Tab_Compteur_2[[#This Row],[Delta Jour]],"")&lt;0,"",IFERROR(IF(Str_TypeDonneesCpt2=Cpt_Index,Tab_Compteur_2[[#This Row],[Index]]-E180,Tab_Compteur_2[[#This Row],[Quantité]])/Tab_Compteur_2[[#This Row],[Delta Jour]],""))</f>
        <v/>
      </c>
      <c r="H181" s="186" t="str">
        <f>IFERROR(Tab_Compteur_2[[#This Row],[Colonne1]]/Tab_Compteur_2[[#This Row],[Delta Jour]],"")</f>
        <v/>
      </c>
      <c r="I181" s="208" t="str">
        <f t="shared" si="4"/>
        <v/>
      </c>
      <c r="J181" s="501"/>
      <c r="K181" s="73"/>
      <c r="L181" s="73"/>
      <c r="M181" s="73"/>
    </row>
    <row r="182" spans="1:13">
      <c r="A182" s="3">
        <f t="shared" si="5"/>
        <v>1</v>
      </c>
      <c r="C182" s="192"/>
      <c r="D182" s="195"/>
      <c r="E182" s="196"/>
      <c r="F182" s="186" t="str">
        <f>IF(Tab_Compteur_2[[#This Row],[Fin de période]]&gt;0,IFERROR(B182-A182+1,""),"")</f>
        <v/>
      </c>
      <c r="G182" t="str">
        <f>IF(IFERROR(IF(Str_TypeDonneesCpt2=Cpt_Index,Tab_Compteur_2[[#This Row],[Index]]-E181,Tab_Compteur_2[[#This Row],[Quantité]])/Tab_Compteur_2[[#This Row],[Delta Jour]],"")&lt;0,"",IFERROR(IF(Str_TypeDonneesCpt2=Cpt_Index,Tab_Compteur_2[[#This Row],[Index]]-E181,Tab_Compteur_2[[#This Row],[Quantité]])/Tab_Compteur_2[[#This Row],[Delta Jour]],""))</f>
        <v/>
      </c>
      <c r="H182" s="186" t="str">
        <f>IFERROR(Tab_Compteur_2[[#This Row],[Colonne1]]/Tab_Compteur_2[[#This Row],[Delta Jour]],"")</f>
        <v/>
      </c>
      <c r="I182" s="208" t="str">
        <f t="shared" si="4"/>
        <v/>
      </c>
      <c r="J182" s="501"/>
      <c r="K182" s="73"/>
      <c r="L182" s="73"/>
      <c r="M182" s="73"/>
    </row>
    <row r="183" spans="1:13">
      <c r="A183" s="3">
        <f t="shared" si="5"/>
        <v>1</v>
      </c>
      <c r="C183" s="192"/>
      <c r="D183" s="195"/>
      <c r="E183" s="196"/>
      <c r="F183" s="186" t="str">
        <f>IF(Tab_Compteur_2[[#This Row],[Fin de période]]&gt;0,IFERROR(B183-A183+1,""),"")</f>
        <v/>
      </c>
      <c r="G183" t="str">
        <f>IF(IFERROR(IF(Str_TypeDonneesCpt2=Cpt_Index,Tab_Compteur_2[[#This Row],[Index]]-E182,Tab_Compteur_2[[#This Row],[Quantité]])/Tab_Compteur_2[[#This Row],[Delta Jour]],"")&lt;0,"",IFERROR(IF(Str_TypeDonneesCpt2=Cpt_Index,Tab_Compteur_2[[#This Row],[Index]]-E182,Tab_Compteur_2[[#This Row],[Quantité]])/Tab_Compteur_2[[#This Row],[Delta Jour]],""))</f>
        <v/>
      </c>
      <c r="H183" s="186" t="str">
        <f>IFERROR(Tab_Compteur_2[[#This Row],[Colonne1]]/Tab_Compteur_2[[#This Row],[Delta Jour]],"")</f>
        <v/>
      </c>
      <c r="I183" s="208" t="str">
        <f t="shared" si="4"/>
        <v/>
      </c>
      <c r="J183" s="501"/>
      <c r="K183" s="73"/>
      <c r="L183" s="73"/>
      <c r="M183" s="73"/>
    </row>
    <row r="184" spans="1:13">
      <c r="A184" s="3">
        <f t="shared" si="5"/>
        <v>1</v>
      </c>
      <c r="C184" s="192"/>
      <c r="D184" s="195"/>
      <c r="E184" s="196"/>
      <c r="F184" s="186" t="str">
        <f>IF(Tab_Compteur_2[[#This Row],[Fin de période]]&gt;0,IFERROR(B184-A184+1,""),"")</f>
        <v/>
      </c>
      <c r="G184" t="str">
        <f>IF(IFERROR(IF(Str_TypeDonneesCpt2=Cpt_Index,Tab_Compteur_2[[#This Row],[Index]]-E183,Tab_Compteur_2[[#This Row],[Quantité]])/Tab_Compteur_2[[#This Row],[Delta Jour]],"")&lt;0,"",IFERROR(IF(Str_TypeDonneesCpt2=Cpt_Index,Tab_Compteur_2[[#This Row],[Index]]-E183,Tab_Compteur_2[[#This Row],[Quantité]])/Tab_Compteur_2[[#This Row],[Delta Jour]],""))</f>
        <v/>
      </c>
      <c r="H184" s="186" t="str">
        <f>IFERROR(Tab_Compteur_2[[#This Row],[Colonne1]]/Tab_Compteur_2[[#This Row],[Delta Jour]],"")</f>
        <v/>
      </c>
      <c r="I184" s="208" t="str">
        <f t="shared" si="4"/>
        <v/>
      </c>
      <c r="J184" s="501"/>
      <c r="K184" s="73"/>
      <c r="L184" s="73"/>
      <c r="M184" s="73"/>
    </row>
    <row r="185" spans="1:13">
      <c r="A185" s="3">
        <f t="shared" si="5"/>
        <v>1</v>
      </c>
      <c r="C185" s="192"/>
      <c r="D185" s="195"/>
      <c r="E185" s="196"/>
      <c r="F185" s="186" t="str">
        <f>IF(Tab_Compteur_2[[#This Row],[Fin de période]]&gt;0,IFERROR(B185-A185+1,""),"")</f>
        <v/>
      </c>
      <c r="G185" t="str">
        <f>IF(IFERROR(IF(Str_TypeDonneesCpt2=Cpt_Index,Tab_Compteur_2[[#This Row],[Index]]-E184,Tab_Compteur_2[[#This Row],[Quantité]])/Tab_Compteur_2[[#This Row],[Delta Jour]],"")&lt;0,"",IFERROR(IF(Str_TypeDonneesCpt2=Cpt_Index,Tab_Compteur_2[[#This Row],[Index]]-E184,Tab_Compteur_2[[#This Row],[Quantité]])/Tab_Compteur_2[[#This Row],[Delta Jour]],""))</f>
        <v/>
      </c>
      <c r="H185" s="186" t="str">
        <f>IFERROR(Tab_Compteur_2[[#This Row],[Colonne1]]/Tab_Compteur_2[[#This Row],[Delta Jour]],"")</f>
        <v/>
      </c>
      <c r="I185" s="208" t="str">
        <f t="shared" si="4"/>
        <v/>
      </c>
      <c r="J185" s="501"/>
      <c r="K185" s="73"/>
      <c r="L185" s="73"/>
      <c r="M185" s="73"/>
    </row>
    <row r="186" spans="1:13">
      <c r="A186" s="3">
        <f t="shared" si="5"/>
        <v>1</v>
      </c>
      <c r="C186" s="192"/>
      <c r="D186" s="195"/>
      <c r="E186" s="196"/>
      <c r="F186" s="186" t="str">
        <f>IF(Tab_Compteur_2[[#This Row],[Fin de période]]&gt;0,IFERROR(B186-A186+1,""),"")</f>
        <v/>
      </c>
      <c r="G186" t="str">
        <f>IF(IFERROR(IF(Str_TypeDonneesCpt2=Cpt_Index,Tab_Compteur_2[[#This Row],[Index]]-E185,Tab_Compteur_2[[#This Row],[Quantité]])/Tab_Compteur_2[[#This Row],[Delta Jour]],"")&lt;0,"",IFERROR(IF(Str_TypeDonneesCpt2=Cpt_Index,Tab_Compteur_2[[#This Row],[Index]]-E185,Tab_Compteur_2[[#This Row],[Quantité]])/Tab_Compteur_2[[#This Row],[Delta Jour]],""))</f>
        <v/>
      </c>
      <c r="H186" s="186" t="str">
        <f>IFERROR(Tab_Compteur_2[[#This Row],[Colonne1]]/Tab_Compteur_2[[#This Row],[Delta Jour]],"")</f>
        <v/>
      </c>
      <c r="I186" s="208" t="str">
        <f t="shared" si="4"/>
        <v/>
      </c>
      <c r="J186" s="501"/>
      <c r="K186" s="73"/>
      <c r="L186" s="73"/>
      <c r="M186" s="73"/>
    </row>
    <row r="187" spans="1:13">
      <c r="A187" s="3">
        <f t="shared" si="5"/>
        <v>1</v>
      </c>
      <c r="C187" s="192"/>
      <c r="D187" s="195"/>
      <c r="E187" s="196"/>
      <c r="F187" s="186" t="str">
        <f>IF(Tab_Compteur_2[[#This Row],[Fin de période]]&gt;0,IFERROR(B187-A187+1,""),"")</f>
        <v/>
      </c>
      <c r="G187" t="str">
        <f>IF(IFERROR(IF(Str_TypeDonneesCpt2=Cpt_Index,Tab_Compteur_2[[#This Row],[Index]]-E186,Tab_Compteur_2[[#This Row],[Quantité]])/Tab_Compteur_2[[#This Row],[Delta Jour]],"")&lt;0,"",IFERROR(IF(Str_TypeDonneesCpt2=Cpt_Index,Tab_Compteur_2[[#This Row],[Index]]-E186,Tab_Compteur_2[[#This Row],[Quantité]])/Tab_Compteur_2[[#This Row],[Delta Jour]],""))</f>
        <v/>
      </c>
      <c r="H187" s="186" t="str">
        <f>IFERROR(Tab_Compteur_2[[#This Row],[Colonne1]]/Tab_Compteur_2[[#This Row],[Delta Jour]],"")</f>
        <v/>
      </c>
      <c r="I187" s="208" t="str">
        <f t="shared" si="4"/>
        <v/>
      </c>
      <c r="J187" s="501"/>
      <c r="K187" s="73"/>
      <c r="L187" s="73"/>
      <c r="M187" s="73"/>
    </row>
    <row r="188" spans="1:13">
      <c r="A188" s="3">
        <f t="shared" si="5"/>
        <v>1</v>
      </c>
      <c r="C188" s="192"/>
      <c r="D188" s="195"/>
      <c r="E188" s="196"/>
      <c r="F188" s="186" t="str">
        <f>IF(Tab_Compteur_2[[#This Row],[Fin de période]]&gt;0,IFERROR(B188-A188+1,""),"")</f>
        <v/>
      </c>
      <c r="G188" t="str">
        <f>IF(IFERROR(IF(Str_TypeDonneesCpt2=Cpt_Index,Tab_Compteur_2[[#This Row],[Index]]-E187,Tab_Compteur_2[[#This Row],[Quantité]])/Tab_Compteur_2[[#This Row],[Delta Jour]],"")&lt;0,"",IFERROR(IF(Str_TypeDonneesCpt2=Cpt_Index,Tab_Compteur_2[[#This Row],[Index]]-E187,Tab_Compteur_2[[#This Row],[Quantité]])/Tab_Compteur_2[[#This Row],[Delta Jour]],""))</f>
        <v/>
      </c>
      <c r="H188" s="186" t="str">
        <f>IFERROR(Tab_Compteur_2[[#This Row],[Colonne1]]/Tab_Compteur_2[[#This Row],[Delta Jour]],"")</f>
        <v/>
      </c>
      <c r="I188" s="208" t="str">
        <f t="shared" si="4"/>
        <v/>
      </c>
      <c r="J188" s="501"/>
      <c r="K188" s="73"/>
      <c r="L188" s="73"/>
      <c r="M188" s="73"/>
    </row>
    <row r="189" spans="1:13">
      <c r="A189" s="3">
        <f t="shared" si="5"/>
        <v>1</v>
      </c>
      <c r="C189" s="192"/>
      <c r="D189" s="195"/>
      <c r="E189" s="196"/>
      <c r="F189" s="186" t="str">
        <f>IF(Tab_Compteur_2[[#This Row],[Fin de période]]&gt;0,IFERROR(B189-A189+1,""),"")</f>
        <v/>
      </c>
      <c r="G189" t="str">
        <f>IF(IFERROR(IF(Str_TypeDonneesCpt2=Cpt_Index,Tab_Compteur_2[[#This Row],[Index]]-E188,Tab_Compteur_2[[#This Row],[Quantité]])/Tab_Compteur_2[[#This Row],[Delta Jour]],"")&lt;0,"",IFERROR(IF(Str_TypeDonneesCpt2=Cpt_Index,Tab_Compteur_2[[#This Row],[Index]]-E188,Tab_Compteur_2[[#This Row],[Quantité]])/Tab_Compteur_2[[#This Row],[Delta Jour]],""))</f>
        <v/>
      </c>
      <c r="H189" s="186" t="str">
        <f>IFERROR(Tab_Compteur_2[[#This Row],[Colonne1]]/Tab_Compteur_2[[#This Row],[Delta Jour]],"")</f>
        <v/>
      </c>
      <c r="I189" s="208" t="str">
        <f t="shared" si="4"/>
        <v/>
      </c>
      <c r="J189" s="501"/>
      <c r="K189" s="73"/>
      <c r="L189" s="73"/>
      <c r="M189" s="73"/>
    </row>
    <row r="190" spans="1:13">
      <c r="A190" s="3">
        <f t="shared" si="5"/>
        <v>1</v>
      </c>
      <c r="C190" s="192"/>
      <c r="D190" s="195"/>
      <c r="E190" s="196"/>
      <c r="F190" s="186" t="str">
        <f>IF(Tab_Compteur_2[[#This Row],[Fin de période]]&gt;0,IFERROR(B190-A190+1,""),"")</f>
        <v/>
      </c>
      <c r="G190" t="str">
        <f>IF(IFERROR(IF(Str_TypeDonneesCpt2=Cpt_Index,Tab_Compteur_2[[#This Row],[Index]]-E189,Tab_Compteur_2[[#This Row],[Quantité]])/Tab_Compteur_2[[#This Row],[Delta Jour]],"")&lt;0,"",IFERROR(IF(Str_TypeDonneesCpt2=Cpt_Index,Tab_Compteur_2[[#This Row],[Index]]-E189,Tab_Compteur_2[[#This Row],[Quantité]])/Tab_Compteur_2[[#This Row],[Delta Jour]],""))</f>
        <v/>
      </c>
      <c r="H190" s="186" t="str">
        <f>IFERROR(Tab_Compteur_2[[#This Row],[Colonne1]]/Tab_Compteur_2[[#This Row],[Delta Jour]],"")</f>
        <v/>
      </c>
      <c r="I190" s="208" t="str">
        <f t="shared" si="4"/>
        <v/>
      </c>
      <c r="J190" s="501"/>
      <c r="K190" s="73"/>
      <c r="L190" s="73"/>
      <c r="M190" s="73"/>
    </row>
    <row r="191" spans="1:13">
      <c r="A191" s="3">
        <f t="shared" si="5"/>
        <v>1</v>
      </c>
      <c r="C191" s="192"/>
      <c r="D191" s="195"/>
      <c r="E191" s="196"/>
      <c r="F191" s="186" t="str">
        <f>IF(Tab_Compteur_2[[#This Row],[Fin de période]]&gt;0,IFERROR(B191-A191+1,""),"")</f>
        <v/>
      </c>
      <c r="G191" t="str">
        <f>IF(IFERROR(IF(Str_TypeDonneesCpt2=Cpt_Index,Tab_Compteur_2[[#This Row],[Index]]-E190,Tab_Compteur_2[[#This Row],[Quantité]])/Tab_Compteur_2[[#This Row],[Delta Jour]],"")&lt;0,"",IFERROR(IF(Str_TypeDonneesCpt2=Cpt_Index,Tab_Compteur_2[[#This Row],[Index]]-E190,Tab_Compteur_2[[#This Row],[Quantité]])/Tab_Compteur_2[[#This Row],[Delta Jour]],""))</f>
        <v/>
      </c>
      <c r="H191" s="186" t="str">
        <f>IFERROR(Tab_Compteur_2[[#This Row],[Colonne1]]/Tab_Compteur_2[[#This Row],[Delta Jour]],"")</f>
        <v/>
      </c>
      <c r="I191" s="208" t="str">
        <f t="shared" si="4"/>
        <v/>
      </c>
      <c r="J191" s="501"/>
      <c r="K191" s="73"/>
      <c r="L191" s="73"/>
      <c r="M191" s="73"/>
    </row>
    <row r="192" spans="1:13">
      <c r="A192" s="3">
        <f t="shared" si="5"/>
        <v>1</v>
      </c>
      <c r="C192" s="192"/>
      <c r="D192" s="195"/>
      <c r="E192" s="196"/>
      <c r="F192" s="186" t="str">
        <f>IF(Tab_Compteur_2[[#This Row],[Fin de période]]&gt;0,IFERROR(B192-A192+1,""),"")</f>
        <v/>
      </c>
      <c r="G192" t="str">
        <f>IF(IFERROR(IF(Str_TypeDonneesCpt2=Cpt_Index,Tab_Compteur_2[[#This Row],[Index]]-E191,Tab_Compteur_2[[#This Row],[Quantité]])/Tab_Compteur_2[[#This Row],[Delta Jour]],"")&lt;0,"",IFERROR(IF(Str_TypeDonneesCpt2=Cpt_Index,Tab_Compteur_2[[#This Row],[Index]]-E191,Tab_Compteur_2[[#This Row],[Quantité]])/Tab_Compteur_2[[#This Row],[Delta Jour]],""))</f>
        <v/>
      </c>
      <c r="H192" s="186" t="str">
        <f>IFERROR(Tab_Compteur_2[[#This Row],[Colonne1]]/Tab_Compteur_2[[#This Row],[Delta Jour]],"")</f>
        <v/>
      </c>
      <c r="I192" s="208" t="str">
        <f t="shared" si="4"/>
        <v/>
      </c>
      <c r="J192" s="501"/>
      <c r="K192" s="73"/>
      <c r="L192" s="73"/>
      <c r="M192" s="73"/>
    </row>
    <row r="193" spans="1:13">
      <c r="A193" s="3">
        <f t="shared" si="5"/>
        <v>1</v>
      </c>
      <c r="C193" s="192"/>
      <c r="D193" s="195"/>
      <c r="E193" s="196"/>
      <c r="F193" s="186" t="str">
        <f>IF(Tab_Compteur_2[[#This Row],[Fin de période]]&gt;0,IFERROR(B193-A193+1,""),"")</f>
        <v/>
      </c>
      <c r="G193" t="str">
        <f>IF(IFERROR(IF(Str_TypeDonneesCpt2=Cpt_Index,Tab_Compteur_2[[#This Row],[Index]]-E192,Tab_Compteur_2[[#This Row],[Quantité]])/Tab_Compteur_2[[#This Row],[Delta Jour]],"")&lt;0,"",IFERROR(IF(Str_TypeDonneesCpt2=Cpt_Index,Tab_Compteur_2[[#This Row],[Index]]-E192,Tab_Compteur_2[[#This Row],[Quantité]])/Tab_Compteur_2[[#This Row],[Delta Jour]],""))</f>
        <v/>
      </c>
      <c r="H193" s="186" t="str">
        <f>IFERROR(Tab_Compteur_2[[#This Row],[Colonne1]]/Tab_Compteur_2[[#This Row],[Delta Jour]],"")</f>
        <v/>
      </c>
      <c r="I193" s="208" t="str">
        <f t="shared" si="4"/>
        <v/>
      </c>
      <c r="J193" s="501"/>
      <c r="K193" s="73"/>
      <c r="L193" s="73"/>
      <c r="M193" s="73"/>
    </row>
    <row r="194" spans="1:13">
      <c r="A194" s="3">
        <f t="shared" si="5"/>
        <v>1</v>
      </c>
      <c r="C194" s="192"/>
      <c r="D194" s="195"/>
      <c r="E194" s="196"/>
      <c r="F194" s="186" t="str">
        <f>IF(Tab_Compteur_2[[#This Row],[Fin de période]]&gt;0,IFERROR(B194-A194+1,""),"")</f>
        <v/>
      </c>
      <c r="G194" t="str">
        <f>IF(IFERROR(IF(Str_TypeDonneesCpt2=Cpt_Index,Tab_Compteur_2[[#This Row],[Index]]-E193,Tab_Compteur_2[[#This Row],[Quantité]])/Tab_Compteur_2[[#This Row],[Delta Jour]],"")&lt;0,"",IFERROR(IF(Str_TypeDonneesCpt2=Cpt_Index,Tab_Compteur_2[[#This Row],[Index]]-E193,Tab_Compteur_2[[#This Row],[Quantité]])/Tab_Compteur_2[[#This Row],[Delta Jour]],""))</f>
        <v/>
      </c>
      <c r="H194" s="186" t="str">
        <f>IFERROR(Tab_Compteur_2[[#This Row],[Colonne1]]/Tab_Compteur_2[[#This Row],[Delta Jour]],"")</f>
        <v/>
      </c>
      <c r="I194" s="208" t="str">
        <f t="shared" si="4"/>
        <v/>
      </c>
      <c r="J194" s="501"/>
      <c r="K194" s="73"/>
      <c r="L194" s="73"/>
      <c r="M194" s="73"/>
    </row>
    <row r="195" spans="1:13">
      <c r="A195" s="3">
        <f t="shared" si="5"/>
        <v>1</v>
      </c>
      <c r="C195" s="192"/>
      <c r="D195" s="195"/>
      <c r="E195" s="196"/>
      <c r="F195" s="186" t="str">
        <f>IF(Tab_Compteur_2[[#This Row],[Fin de période]]&gt;0,IFERROR(B195-A195+1,""),"")</f>
        <v/>
      </c>
      <c r="G195" t="str">
        <f>IF(IFERROR(IF(Str_TypeDonneesCpt2=Cpt_Index,Tab_Compteur_2[[#This Row],[Index]]-E194,Tab_Compteur_2[[#This Row],[Quantité]])/Tab_Compteur_2[[#This Row],[Delta Jour]],"")&lt;0,"",IFERROR(IF(Str_TypeDonneesCpt2=Cpt_Index,Tab_Compteur_2[[#This Row],[Index]]-E194,Tab_Compteur_2[[#This Row],[Quantité]])/Tab_Compteur_2[[#This Row],[Delta Jour]],""))</f>
        <v/>
      </c>
      <c r="H195" s="186" t="str">
        <f>IFERROR(Tab_Compteur_2[[#This Row],[Colonne1]]/Tab_Compteur_2[[#This Row],[Delta Jour]],"")</f>
        <v/>
      </c>
      <c r="I195" s="208" t="str">
        <f t="shared" ref="I195:I243" si="6">G195</f>
        <v/>
      </c>
      <c r="J195" s="501"/>
      <c r="K195" s="73"/>
      <c r="L195" s="73"/>
      <c r="M195" s="73"/>
    </row>
    <row r="196" spans="1:13">
      <c r="A196" s="3">
        <f t="shared" si="5"/>
        <v>1</v>
      </c>
      <c r="C196" s="192"/>
      <c r="D196" s="195"/>
      <c r="E196" s="196"/>
      <c r="F196" s="186" t="str">
        <f>IF(Tab_Compteur_2[[#This Row],[Fin de période]]&gt;0,IFERROR(B196-A196+1,""),"")</f>
        <v/>
      </c>
      <c r="G196" t="str">
        <f>IF(IFERROR(IF(Str_TypeDonneesCpt2=Cpt_Index,Tab_Compteur_2[[#This Row],[Index]]-E195,Tab_Compteur_2[[#This Row],[Quantité]])/Tab_Compteur_2[[#This Row],[Delta Jour]],"")&lt;0,"",IFERROR(IF(Str_TypeDonneesCpt2=Cpt_Index,Tab_Compteur_2[[#This Row],[Index]]-E195,Tab_Compteur_2[[#This Row],[Quantité]])/Tab_Compteur_2[[#This Row],[Delta Jour]],""))</f>
        <v/>
      </c>
      <c r="H196" s="186" t="str">
        <f>IFERROR(Tab_Compteur_2[[#This Row],[Colonne1]]/Tab_Compteur_2[[#This Row],[Delta Jour]],"")</f>
        <v/>
      </c>
      <c r="I196" s="208" t="str">
        <f t="shared" si="6"/>
        <v/>
      </c>
      <c r="J196" s="501"/>
      <c r="K196" s="73"/>
      <c r="L196" s="73"/>
      <c r="M196" s="73"/>
    </row>
    <row r="197" spans="1:13">
      <c r="A197" s="3">
        <f t="shared" si="5"/>
        <v>1</v>
      </c>
      <c r="C197" s="192"/>
      <c r="D197" s="195"/>
      <c r="E197" s="196"/>
      <c r="F197" s="186" t="str">
        <f>IF(Tab_Compteur_2[[#This Row],[Fin de période]]&gt;0,IFERROR(B197-A197+1,""),"")</f>
        <v/>
      </c>
      <c r="G197" t="str">
        <f>IF(IFERROR(IF(Str_TypeDonneesCpt2=Cpt_Index,Tab_Compteur_2[[#This Row],[Index]]-E196,Tab_Compteur_2[[#This Row],[Quantité]])/Tab_Compteur_2[[#This Row],[Delta Jour]],"")&lt;0,"",IFERROR(IF(Str_TypeDonneesCpt2=Cpt_Index,Tab_Compteur_2[[#This Row],[Index]]-E196,Tab_Compteur_2[[#This Row],[Quantité]])/Tab_Compteur_2[[#This Row],[Delta Jour]],""))</f>
        <v/>
      </c>
      <c r="H197" s="186" t="str">
        <f>IFERROR(Tab_Compteur_2[[#This Row],[Colonne1]]/Tab_Compteur_2[[#This Row],[Delta Jour]],"")</f>
        <v/>
      </c>
      <c r="I197" s="208" t="str">
        <f t="shared" si="6"/>
        <v/>
      </c>
      <c r="J197" s="501"/>
      <c r="K197" s="73"/>
      <c r="L197" s="73"/>
      <c r="M197" s="73"/>
    </row>
    <row r="198" spans="1:13">
      <c r="A198" s="3">
        <f t="shared" ref="A198:A243" si="7">IFERROR(B197+1,0)</f>
        <v>1</v>
      </c>
      <c r="C198" s="192"/>
      <c r="D198" s="195"/>
      <c r="E198" s="196"/>
      <c r="F198" s="186" t="str">
        <f>IF(Tab_Compteur_2[[#This Row],[Fin de période]]&gt;0,IFERROR(B198-A198+1,""),"")</f>
        <v/>
      </c>
      <c r="G198" t="str">
        <f>IF(IFERROR(IF(Str_TypeDonneesCpt2=Cpt_Index,Tab_Compteur_2[[#This Row],[Index]]-E197,Tab_Compteur_2[[#This Row],[Quantité]])/Tab_Compteur_2[[#This Row],[Delta Jour]],"")&lt;0,"",IFERROR(IF(Str_TypeDonneesCpt2=Cpt_Index,Tab_Compteur_2[[#This Row],[Index]]-E197,Tab_Compteur_2[[#This Row],[Quantité]])/Tab_Compteur_2[[#This Row],[Delta Jour]],""))</f>
        <v/>
      </c>
      <c r="H198" s="186" t="str">
        <f>IFERROR(Tab_Compteur_2[[#This Row],[Colonne1]]/Tab_Compteur_2[[#This Row],[Delta Jour]],"")</f>
        <v/>
      </c>
      <c r="I198" s="208" t="str">
        <f t="shared" si="6"/>
        <v/>
      </c>
      <c r="J198" s="501"/>
      <c r="K198" s="73"/>
      <c r="L198" s="73"/>
      <c r="M198" s="73"/>
    </row>
    <row r="199" spans="1:13">
      <c r="A199" s="3">
        <f t="shared" si="7"/>
        <v>1</v>
      </c>
      <c r="C199" s="192"/>
      <c r="D199" s="195"/>
      <c r="E199" s="196"/>
      <c r="F199" s="186" t="str">
        <f>IF(Tab_Compteur_2[[#This Row],[Fin de période]]&gt;0,IFERROR(B199-A199+1,""),"")</f>
        <v/>
      </c>
      <c r="G199" t="str">
        <f>IF(IFERROR(IF(Str_TypeDonneesCpt2=Cpt_Index,Tab_Compteur_2[[#This Row],[Index]]-E198,Tab_Compteur_2[[#This Row],[Quantité]])/Tab_Compteur_2[[#This Row],[Delta Jour]],"")&lt;0,"",IFERROR(IF(Str_TypeDonneesCpt2=Cpt_Index,Tab_Compteur_2[[#This Row],[Index]]-E198,Tab_Compteur_2[[#This Row],[Quantité]])/Tab_Compteur_2[[#This Row],[Delta Jour]],""))</f>
        <v/>
      </c>
      <c r="H199" s="186" t="str">
        <f>IFERROR(Tab_Compteur_2[[#This Row],[Colonne1]]/Tab_Compteur_2[[#This Row],[Delta Jour]],"")</f>
        <v/>
      </c>
      <c r="I199" s="208" t="str">
        <f t="shared" si="6"/>
        <v/>
      </c>
      <c r="J199" s="501"/>
      <c r="K199" s="73"/>
      <c r="L199" s="73"/>
      <c r="M199" s="73"/>
    </row>
    <row r="200" spans="1:13">
      <c r="A200" s="3">
        <f t="shared" si="7"/>
        <v>1</v>
      </c>
      <c r="C200" s="192"/>
      <c r="D200" s="195"/>
      <c r="E200" s="196"/>
      <c r="F200" s="186" t="str">
        <f>IF(Tab_Compteur_2[[#This Row],[Fin de période]]&gt;0,IFERROR(B200-A200+1,""),"")</f>
        <v/>
      </c>
      <c r="G200" t="str">
        <f>IF(IFERROR(IF(Str_TypeDonneesCpt2=Cpt_Index,Tab_Compteur_2[[#This Row],[Index]]-E199,Tab_Compteur_2[[#This Row],[Quantité]])/Tab_Compteur_2[[#This Row],[Delta Jour]],"")&lt;0,"",IFERROR(IF(Str_TypeDonneesCpt2=Cpt_Index,Tab_Compteur_2[[#This Row],[Index]]-E199,Tab_Compteur_2[[#This Row],[Quantité]])/Tab_Compteur_2[[#This Row],[Delta Jour]],""))</f>
        <v/>
      </c>
      <c r="H200" s="186" t="str">
        <f>IFERROR(Tab_Compteur_2[[#This Row],[Colonne1]]/Tab_Compteur_2[[#This Row],[Delta Jour]],"")</f>
        <v/>
      </c>
      <c r="I200" s="208" t="str">
        <f t="shared" si="6"/>
        <v/>
      </c>
      <c r="J200" s="501"/>
      <c r="K200" s="73"/>
      <c r="L200" s="73"/>
      <c r="M200" s="73"/>
    </row>
    <row r="201" spans="1:13">
      <c r="A201" s="3">
        <f t="shared" si="7"/>
        <v>1</v>
      </c>
      <c r="C201" s="192"/>
      <c r="D201" s="195"/>
      <c r="E201" s="196"/>
      <c r="F201" s="186" t="str">
        <f>IF(Tab_Compteur_2[[#This Row],[Fin de période]]&gt;0,IFERROR(B201-A201+1,""),"")</f>
        <v/>
      </c>
      <c r="G201" t="str">
        <f>IF(IFERROR(IF(Str_TypeDonneesCpt2=Cpt_Index,Tab_Compteur_2[[#This Row],[Index]]-E200,Tab_Compteur_2[[#This Row],[Quantité]])/Tab_Compteur_2[[#This Row],[Delta Jour]],"")&lt;0,"",IFERROR(IF(Str_TypeDonneesCpt2=Cpt_Index,Tab_Compteur_2[[#This Row],[Index]]-E200,Tab_Compteur_2[[#This Row],[Quantité]])/Tab_Compteur_2[[#This Row],[Delta Jour]],""))</f>
        <v/>
      </c>
      <c r="H201" s="186" t="str">
        <f>IFERROR(Tab_Compteur_2[[#This Row],[Colonne1]]/Tab_Compteur_2[[#This Row],[Delta Jour]],"")</f>
        <v/>
      </c>
      <c r="I201" s="208" t="str">
        <f t="shared" si="6"/>
        <v/>
      </c>
      <c r="J201" s="501"/>
      <c r="K201" s="73"/>
      <c r="L201" s="73"/>
      <c r="M201" s="73"/>
    </row>
    <row r="202" spans="1:13">
      <c r="A202" s="3">
        <f t="shared" si="7"/>
        <v>1</v>
      </c>
      <c r="C202" s="192"/>
      <c r="D202" s="195"/>
      <c r="E202" s="196"/>
      <c r="F202" s="186" t="str">
        <f>IF(Tab_Compteur_2[[#This Row],[Fin de période]]&gt;0,IFERROR(B202-A202+1,""),"")</f>
        <v/>
      </c>
      <c r="G202" t="str">
        <f>IF(IFERROR(IF(Str_TypeDonneesCpt2=Cpt_Index,Tab_Compteur_2[[#This Row],[Index]]-E201,Tab_Compteur_2[[#This Row],[Quantité]])/Tab_Compteur_2[[#This Row],[Delta Jour]],"")&lt;0,"",IFERROR(IF(Str_TypeDonneesCpt2=Cpt_Index,Tab_Compteur_2[[#This Row],[Index]]-E201,Tab_Compteur_2[[#This Row],[Quantité]])/Tab_Compteur_2[[#This Row],[Delta Jour]],""))</f>
        <v/>
      </c>
      <c r="H202" s="186" t="str">
        <f>IFERROR(Tab_Compteur_2[[#This Row],[Colonne1]]/Tab_Compteur_2[[#This Row],[Delta Jour]],"")</f>
        <v/>
      </c>
      <c r="I202" s="208" t="str">
        <f t="shared" si="6"/>
        <v/>
      </c>
      <c r="J202" s="501"/>
      <c r="K202" s="73"/>
      <c r="L202" s="73"/>
      <c r="M202" s="73"/>
    </row>
    <row r="203" spans="1:13">
      <c r="A203" s="3">
        <f t="shared" si="7"/>
        <v>1</v>
      </c>
      <c r="C203" s="192"/>
      <c r="D203" s="195"/>
      <c r="E203" s="196"/>
      <c r="F203" s="186" t="str">
        <f>IF(Tab_Compteur_2[[#This Row],[Fin de période]]&gt;0,IFERROR(B203-A203+1,""),"")</f>
        <v/>
      </c>
      <c r="G203" t="str">
        <f>IF(IFERROR(IF(Str_TypeDonneesCpt2=Cpt_Index,Tab_Compteur_2[[#This Row],[Index]]-E202,Tab_Compteur_2[[#This Row],[Quantité]])/Tab_Compteur_2[[#This Row],[Delta Jour]],"")&lt;0,"",IFERROR(IF(Str_TypeDonneesCpt2=Cpt_Index,Tab_Compteur_2[[#This Row],[Index]]-E202,Tab_Compteur_2[[#This Row],[Quantité]])/Tab_Compteur_2[[#This Row],[Delta Jour]],""))</f>
        <v/>
      </c>
      <c r="H203" s="186" t="str">
        <f>IFERROR(Tab_Compteur_2[[#This Row],[Colonne1]]/Tab_Compteur_2[[#This Row],[Delta Jour]],"")</f>
        <v/>
      </c>
      <c r="I203" s="208" t="str">
        <f t="shared" si="6"/>
        <v/>
      </c>
      <c r="J203" s="501"/>
      <c r="K203" s="73"/>
      <c r="L203" s="73"/>
      <c r="M203" s="73"/>
    </row>
    <row r="204" spans="1:13">
      <c r="A204" s="3">
        <f t="shared" si="7"/>
        <v>1</v>
      </c>
      <c r="C204" s="192"/>
      <c r="D204" s="195"/>
      <c r="E204" s="196"/>
      <c r="F204" s="186" t="str">
        <f>IF(Tab_Compteur_2[[#This Row],[Fin de période]]&gt;0,IFERROR(B204-A204+1,""),"")</f>
        <v/>
      </c>
      <c r="G204" t="str">
        <f>IF(IFERROR(IF(Str_TypeDonneesCpt2=Cpt_Index,Tab_Compteur_2[[#This Row],[Index]]-E203,Tab_Compteur_2[[#This Row],[Quantité]])/Tab_Compteur_2[[#This Row],[Delta Jour]],"")&lt;0,"",IFERROR(IF(Str_TypeDonneesCpt2=Cpt_Index,Tab_Compteur_2[[#This Row],[Index]]-E203,Tab_Compteur_2[[#This Row],[Quantité]])/Tab_Compteur_2[[#This Row],[Delta Jour]],""))</f>
        <v/>
      </c>
      <c r="H204" s="186" t="str">
        <f>IFERROR(Tab_Compteur_2[[#This Row],[Colonne1]]/Tab_Compteur_2[[#This Row],[Delta Jour]],"")</f>
        <v/>
      </c>
      <c r="I204" s="208" t="str">
        <f t="shared" si="6"/>
        <v/>
      </c>
      <c r="J204" s="501"/>
      <c r="K204" s="73"/>
      <c r="L204" s="73"/>
      <c r="M204" s="73"/>
    </row>
    <row r="205" spans="1:13">
      <c r="A205" s="3">
        <f t="shared" si="7"/>
        <v>1</v>
      </c>
      <c r="C205" s="192"/>
      <c r="D205" s="195"/>
      <c r="E205" s="196"/>
      <c r="F205" s="186" t="str">
        <f>IF(Tab_Compteur_2[[#This Row],[Fin de période]]&gt;0,IFERROR(B205-A205+1,""),"")</f>
        <v/>
      </c>
      <c r="G205" t="str">
        <f>IF(IFERROR(IF(Str_TypeDonneesCpt2=Cpt_Index,Tab_Compteur_2[[#This Row],[Index]]-E204,Tab_Compteur_2[[#This Row],[Quantité]])/Tab_Compteur_2[[#This Row],[Delta Jour]],"")&lt;0,"",IFERROR(IF(Str_TypeDonneesCpt2=Cpt_Index,Tab_Compteur_2[[#This Row],[Index]]-E204,Tab_Compteur_2[[#This Row],[Quantité]])/Tab_Compteur_2[[#This Row],[Delta Jour]],""))</f>
        <v/>
      </c>
      <c r="H205" s="186" t="str">
        <f>IFERROR(Tab_Compteur_2[[#This Row],[Colonne1]]/Tab_Compteur_2[[#This Row],[Delta Jour]],"")</f>
        <v/>
      </c>
      <c r="I205" s="208" t="str">
        <f t="shared" si="6"/>
        <v/>
      </c>
      <c r="J205" s="501"/>
      <c r="K205" s="73"/>
      <c r="L205" s="73"/>
      <c r="M205" s="73"/>
    </row>
    <row r="206" spans="1:13">
      <c r="A206" s="3">
        <f t="shared" si="7"/>
        <v>1</v>
      </c>
      <c r="C206" s="192"/>
      <c r="D206" s="195"/>
      <c r="E206" s="196"/>
      <c r="F206" s="186" t="str">
        <f>IF(Tab_Compteur_2[[#This Row],[Fin de période]]&gt;0,IFERROR(B206-A206+1,""),"")</f>
        <v/>
      </c>
      <c r="G206" t="str">
        <f>IF(IFERROR(IF(Str_TypeDonneesCpt2=Cpt_Index,Tab_Compteur_2[[#This Row],[Index]]-E205,Tab_Compteur_2[[#This Row],[Quantité]])/Tab_Compteur_2[[#This Row],[Delta Jour]],"")&lt;0,"",IFERROR(IF(Str_TypeDonneesCpt2=Cpt_Index,Tab_Compteur_2[[#This Row],[Index]]-E205,Tab_Compteur_2[[#This Row],[Quantité]])/Tab_Compteur_2[[#This Row],[Delta Jour]],""))</f>
        <v/>
      </c>
      <c r="H206" s="186" t="str">
        <f>IFERROR(Tab_Compteur_2[[#This Row],[Colonne1]]/Tab_Compteur_2[[#This Row],[Delta Jour]],"")</f>
        <v/>
      </c>
      <c r="I206" s="208" t="str">
        <f t="shared" si="6"/>
        <v/>
      </c>
      <c r="J206" s="501"/>
      <c r="K206" s="73"/>
      <c r="L206" s="73"/>
      <c r="M206" s="73"/>
    </row>
    <row r="207" spans="1:13">
      <c r="A207" s="3">
        <f t="shared" si="7"/>
        <v>1</v>
      </c>
      <c r="C207" s="192"/>
      <c r="D207" s="195"/>
      <c r="E207" s="196"/>
      <c r="F207" s="186" t="str">
        <f>IF(Tab_Compteur_2[[#This Row],[Fin de période]]&gt;0,IFERROR(B207-A207+1,""),"")</f>
        <v/>
      </c>
      <c r="G207" t="str">
        <f>IF(IFERROR(IF(Str_TypeDonneesCpt2=Cpt_Index,Tab_Compteur_2[[#This Row],[Index]]-E206,Tab_Compteur_2[[#This Row],[Quantité]])/Tab_Compteur_2[[#This Row],[Delta Jour]],"")&lt;0,"",IFERROR(IF(Str_TypeDonneesCpt2=Cpt_Index,Tab_Compteur_2[[#This Row],[Index]]-E206,Tab_Compteur_2[[#This Row],[Quantité]])/Tab_Compteur_2[[#This Row],[Delta Jour]],""))</f>
        <v/>
      </c>
      <c r="H207" s="186" t="str">
        <f>IFERROR(Tab_Compteur_2[[#This Row],[Colonne1]]/Tab_Compteur_2[[#This Row],[Delta Jour]],"")</f>
        <v/>
      </c>
      <c r="I207" s="208" t="str">
        <f t="shared" si="6"/>
        <v/>
      </c>
      <c r="J207" s="501"/>
      <c r="K207" s="73"/>
      <c r="L207" s="73"/>
      <c r="M207" s="73"/>
    </row>
    <row r="208" spans="1:13">
      <c r="A208" s="3">
        <f t="shared" si="7"/>
        <v>1</v>
      </c>
      <c r="C208" s="192"/>
      <c r="D208" s="195"/>
      <c r="E208" s="196"/>
      <c r="F208" s="186" t="str">
        <f>IF(Tab_Compteur_2[[#This Row],[Fin de période]]&gt;0,IFERROR(B208-A208+1,""),"")</f>
        <v/>
      </c>
      <c r="G208" t="str">
        <f>IF(IFERROR(IF(Str_TypeDonneesCpt2=Cpt_Index,Tab_Compteur_2[[#This Row],[Index]]-E207,Tab_Compteur_2[[#This Row],[Quantité]])/Tab_Compteur_2[[#This Row],[Delta Jour]],"")&lt;0,"",IFERROR(IF(Str_TypeDonneesCpt2=Cpt_Index,Tab_Compteur_2[[#This Row],[Index]]-E207,Tab_Compteur_2[[#This Row],[Quantité]])/Tab_Compteur_2[[#This Row],[Delta Jour]],""))</f>
        <v/>
      </c>
      <c r="H208" s="186" t="str">
        <f>IFERROR(Tab_Compteur_2[[#This Row],[Colonne1]]/Tab_Compteur_2[[#This Row],[Delta Jour]],"")</f>
        <v/>
      </c>
      <c r="I208" s="208" t="str">
        <f t="shared" si="6"/>
        <v/>
      </c>
      <c r="J208" s="501"/>
      <c r="K208" s="73"/>
      <c r="L208" s="73"/>
      <c r="M208" s="73"/>
    </row>
    <row r="209" spans="1:13">
      <c r="A209" s="3">
        <f t="shared" si="7"/>
        <v>1</v>
      </c>
      <c r="C209" s="192"/>
      <c r="D209" s="195"/>
      <c r="E209" s="196"/>
      <c r="F209" s="186" t="str">
        <f>IF(Tab_Compteur_2[[#This Row],[Fin de période]]&gt;0,IFERROR(B209-A209+1,""),"")</f>
        <v/>
      </c>
      <c r="G209" t="str">
        <f>IF(IFERROR(IF(Str_TypeDonneesCpt2=Cpt_Index,Tab_Compteur_2[[#This Row],[Index]]-E208,Tab_Compteur_2[[#This Row],[Quantité]])/Tab_Compteur_2[[#This Row],[Delta Jour]],"")&lt;0,"",IFERROR(IF(Str_TypeDonneesCpt2=Cpt_Index,Tab_Compteur_2[[#This Row],[Index]]-E208,Tab_Compteur_2[[#This Row],[Quantité]])/Tab_Compteur_2[[#This Row],[Delta Jour]],""))</f>
        <v/>
      </c>
      <c r="H209" s="186" t="str">
        <f>IFERROR(Tab_Compteur_2[[#This Row],[Colonne1]]/Tab_Compteur_2[[#This Row],[Delta Jour]],"")</f>
        <v/>
      </c>
      <c r="I209" s="208" t="str">
        <f t="shared" si="6"/>
        <v/>
      </c>
      <c r="J209" s="501"/>
      <c r="K209" s="73"/>
      <c r="L209" s="73"/>
      <c r="M209" s="73"/>
    </row>
    <row r="210" spans="1:13">
      <c r="A210" s="3">
        <f t="shared" si="7"/>
        <v>1</v>
      </c>
      <c r="C210" s="192"/>
      <c r="D210" s="195"/>
      <c r="E210" s="196"/>
      <c r="F210" s="186" t="str">
        <f>IF(Tab_Compteur_2[[#This Row],[Fin de période]]&gt;0,IFERROR(B210-A210+1,""),"")</f>
        <v/>
      </c>
      <c r="G210" t="str">
        <f>IF(IFERROR(IF(Str_TypeDonneesCpt2=Cpt_Index,Tab_Compteur_2[[#This Row],[Index]]-E209,Tab_Compteur_2[[#This Row],[Quantité]])/Tab_Compteur_2[[#This Row],[Delta Jour]],"")&lt;0,"",IFERROR(IF(Str_TypeDonneesCpt2=Cpt_Index,Tab_Compteur_2[[#This Row],[Index]]-E209,Tab_Compteur_2[[#This Row],[Quantité]])/Tab_Compteur_2[[#This Row],[Delta Jour]],""))</f>
        <v/>
      </c>
      <c r="H210" s="186" t="str">
        <f>IFERROR(Tab_Compteur_2[[#This Row],[Colonne1]]/Tab_Compteur_2[[#This Row],[Delta Jour]],"")</f>
        <v/>
      </c>
      <c r="I210" s="208" t="str">
        <f t="shared" si="6"/>
        <v/>
      </c>
      <c r="J210" s="501"/>
      <c r="K210" s="73"/>
      <c r="L210" s="73"/>
      <c r="M210" s="73"/>
    </row>
    <row r="211" spans="1:13">
      <c r="A211" s="3">
        <f t="shared" si="7"/>
        <v>1</v>
      </c>
      <c r="C211" s="192"/>
      <c r="D211" s="195"/>
      <c r="E211" s="196"/>
      <c r="F211" s="186" t="str">
        <f>IF(Tab_Compteur_2[[#This Row],[Fin de période]]&gt;0,IFERROR(B211-A211+1,""),"")</f>
        <v/>
      </c>
      <c r="G211" t="str">
        <f>IF(IFERROR(IF(Str_TypeDonneesCpt2=Cpt_Index,Tab_Compteur_2[[#This Row],[Index]]-E210,Tab_Compteur_2[[#This Row],[Quantité]])/Tab_Compteur_2[[#This Row],[Delta Jour]],"")&lt;0,"",IFERROR(IF(Str_TypeDonneesCpt2=Cpt_Index,Tab_Compteur_2[[#This Row],[Index]]-E210,Tab_Compteur_2[[#This Row],[Quantité]])/Tab_Compteur_2[[#This Row],[Delta Jour]],""))</f>
        <v/>
      </c>
      <c r="H211" s="186" t="str">
        <f>IFERROR(Tab_Compteur_2[[#This Row],[Colonne1]]/Tab_Compteur_2[[#This Row],[Delta Jour]],"")</f>
        <v/>
      </c>
      <c r="I211" s="208" t="str">
        <f t="shared" si="6"/>
        <v/>
      </c>
      <c r="J211" s="501"/>
      <c r="K211" s="73"/>
      <c r="L211" s="73"/>
      <c r="M211" s="73"/>
    </row>
    <row r="212" spans="1:13">
      <c r="A212" s="3">
        <f t="shared" si="7"/>
        <v>1</v>
      </c>
      <c r="C212" s="192"/>
      <c r="D212" s="195"/>
      <c r="E212" s="196"/>
      <c r="F212" s="186" t="str">
        <f>IF(Tab_Compteur_2[[#This Row],[Fin de période]]&gt;0,IFERROR(B212-A212+1,""),"")</f>
        <v/>
      </c>
      <c r="G212" t="str">
        <f>IF(IFERROR(IF(Str_TypeDonneesCpt2=Cpt_Index,Tab_Compteur_2[[#This Row],[Index]]-E211,Tab_Compteur_2[[#This Row],[Quantité]])/Tab_Compteur_2[[#This Row],[Delta Jour]],"")&lt;0,"",IFERROR(IF(Str_TypeDonneesCpt2=Cpt_Index,Tab_Compteur_2[[#This Row],[Index]]-E211,Tab_Compteur_2[[#This Row],[Quantité]])/Tab_Compteur_2[[#This Row],[Delta Jour]],""))</f>
        <v/>
      </c>
      <c r="H212" s="186" t="str">
        <f>IFERROR(Tab_Compteur_2[[#This Row],[Colonne1]]/Tab_Compteur_2[[#This Row],[Delta Jour]],"")</f>
        <v/>
      </c>
      <c r="I212" s="208" t="str">
        <f t="shared" si="6"/>
        <v/>
      </c>
      <c r="J212" s="501"/>
      <c r="K212" s="73"/>
      <c r="L212" s="73"/>
      <c r="M212" s="73"/>
    </row>
    <row r="213" spans="1:13">
      <c r="A213" s="3">
        <f t="shared" si="7"/>
        <v>1</v>
      </c>
      <c r="C213" s="192"/>
      <c r="D213" s="195"/>
      <c r="E213" s="196"/>
      <c r="F213" s="186" t="str">
        <f>IF(Tab_Compteur_2[[#This Row],[Fin de période]]&gt;0,IFERROR(B213-A213+1,""),"")</f>
        <v/>
      </c>
      <c r="G213" t="str">
        <f>IF(IFERROR(IF(Str_TypeDonneesCpt2=Cpt_Index,Tab_Compteur_2[[#This Row],[Index]]-E212,Tab_Compteur_2[[#This Row],[Quantité]])/Tab_Compteur_2[[#This Row],[Delta Jour]],"")&lt;0,"",IFERROR(IF(Str_TypeDonneesCpt2=Cpt_Index,Tab_Compteur_2[[#This Row],[Index]]-E212,Tab_Compteur_2[[#This Row],[Quantité]])/Tab_Compteur_2[[#This Row],[Delta Jour]],""))</f>
        <v/>
      </c>
      <c r="H213" s="186" t="str">
        <f>IFERROR(Tab_Compteur_2[[#This Row],[Colonne1]]/Tab_Compteur_2[[#This Row],[Delta Jour]],"")</f>
        <v/>
      </c>
      <c r="I213" s="208" t="str">
        <f t="shared" si="6"/>
        <v/>
      </c>
      <c r="J213" s="501"/>
      <c r="K213" s="73"/>
      <c r="L213" s="73"/>
      <c r="M213" s="73"/>
    </row>
    <row r="214" spans="1:13">
      <c r="A214" s="3">
        <f t="shared" si="7"/>
        <v>1</v>
      </c>
      <c r="C214" s="192"/>
      <c r="D214" s="195"/>
      <c r="E214" s="196"/>
      <c r="F214" s="186" t="str">
        <f>IF(Tab_Compteur_2[[#This Row],[Fin de période]]&gt;0,IFERROR(B214-A214+1,""),"")</f>
        <v/>
      </c>
      <c r="G214" t="str">
        <f>IF(IFERROR(IF(Str_TypeDonneesCpt2=Cpt_Index,Tab_Compteur_2[[#This Row],[Index]]-E213,Tab_Compteur_2[[#This Row],[Quantité]])/Tab_Compteur_2[[#This Row],[Delta Jour]],"")&lt;0,"",IFERROR(IF(Str_TypeDonneesCpt2=Cpt_Index,Tab_Compteur_2[[#This Row],[Index]]-E213,Tab_Compteur_2[[#This Row],[Quantité]])/Tab_Compteur_2[[#This Row],[Delta Jour]],""))</f>
        <v/>
      </c>
      <c r="H214" s="186" t="str">
        <f>IFERROR(Tab_Compteur_2[[#This Row],[Colonne1]]/Tab_Compteur_2[[#This Row],[Delta Jour]],"")</f>
        <v/>
      </c>
      <c r="I214" s="208" t="str">
        <f t="shared" si="6"/>
        <v/>
      </c>
      <c r="J214" s="501"/>
      <c r="K214" s="73"/>
      <c r="L214" s="73"/>
      <c r="M214" s="73"/>
    </row>
    <row r="215" spans="1:13">
      <c r="A215" s="3">
        <f t="shared" si="7"/>
        <v>1</v>
      </c>
      <c r="C215" s="192"/>
      <c r="D215" s="195"/>
      <c r="E215" s="196"/>
      <c r="F215" s="186" t="str">
        <f>IF(Tab_Compteur_2[[#This Row],[Fin de période]]&gt;0,IFERROR(B215-A215+1,""),"")</f>
        <v/>
      </c>
      <c r="G215" t="str">
        <f>IF(IFERROR(IF(Str_TypeDonneesCpt2=Cpt_Index,Tab_Compteur_2[[#This Row],[Index]]-E214,Tab_Compteur_2[[#This Row],[Quantité]])/Tab_Compteur_2[[#This Row],[Delta Jour]],"")&lt;0,"",IFERROR(IF(Str_TypeDonneesCpt2=Cpt_Index,Tab_Compteur_2[[#This Row],[Index]]-E214,Tab_Compteur_2[[#This Row],[Quantité]])/Tab_Compteur_2[[#This Row],[Delta Jour]],""))</f>
        <v/>
      </c>
      <c r="H215" s="186" t="str">
        <f>IFERROR(Tab_Compteur_2[[#This Row],[Colonne1]]/Tab_Compteur_2[[#This Row],[Delta Jour]],"")</f>
        <v/>
      </c>
      <c r="I215" s="208" t="str">
        <f t="shared" si="6"/>
        <v/>
      </c>
      <c r="J215" s="501"/>
      <c r="K215" s="73"/>
      <c r="L215" s="73"/>
      <c r="M215" s="73"/>
    </row>
    <row r="216" spans="1:13">
      <c r="A216" s="3">
        <f t="shared" si="7"/>
        <v>1</v>
      </c>
      <c r="C216" s="192"/>
      <c r="D216" s="195"/>
      <c r="E216" s="196"/>
      <c r="F216" s="186" t="str">
        <f>IF(Tab_Compteur_2[[#This Row],[Fin de période]]&gt;0,IFERROR(B216-A216+1,""),"")</f>
        <v/>
      </c>
      <c r="G216" t="str">
        <f>IF(IFERROR(IF(Str_TypeDonneesCpt2=Cpt_Index,Tab_Compteur_2[[#This Row],[Index]]-E215,Tab_Compteur_2[[#This Row],[Quantité]])/Tab_Compteur_2[[#This Row],[Delta Jour]],"")&lt;0,"",IFERROR(IF(Str_TypeDonneesCpt2=Cpt_Index,Tab_Compteur_2[[#This Row],[Index]]-E215,Tab_Compteur_2[[#This Row],[Quantité]])/Tab_Compteur_2[[#This Row],[Delta Jour]],""))</f>
        <v/>
      </c>
      <c r="H216" s="186" t="str">
        <f>IFERROR(Tab_Compteur_2[[#This Row],[Colonne1]]/Tab_Compteur_2[[#This Row],[Delta Jour]],"")</f>
        <v/>
      </c>
      <c r="I216" s="208" t="str">
        <f t="shared" si="6"/>
        <v/>
      </c>
      <c r="J216" s="501"/>
      <c r="K216" s="73"/>
      <c r="L216" s="73"/>
      <c r="M216" s="73"/>
    </row>
    <row r="217" spans="1:13">
      <c r="A217" s="3">
        <f t="shared" si="7"/>
        <v>1</v>
      </c>
      <c r="C217" s="192"/>
      <c r="D217" s="195"/>
      <c r="E217" s="196"/>
      <c r="F217" s="186" t="str">
        <f>IF(Tab_Compteur_2[[#This Row],[Fin de période]]&gt;0,IFERROR(B217-A217+1,""),"")</f>
        <v/>
      </c>
      <c r="G217" t="str">
        <f>IF(IFERROR(IF(Str_TypeDonneesCpt2=Cpt_Index,Tab_Compteur_2[[#This Row],[Index]]-E216,Tab_Compteur_2[[#This Row],[Quantité]])/Tab_Compteur_2[[#This Row],[Delta Jour]],"")&lt;0,"",IFERROR(IF(Str_TypeDonneesCpt2=Cpt_Index,Tab_Compteur_2[[#This Row],[Index]]-E216,Tab_Compteur_2[[#This Row],[Quantité]])/Tab_Compteur_2[[#This Row],[Delta Jour]],""))</f>
        <v/>
      </c>
      <c r="H217" s="186" t="str">
        <f>IFERROR(Tab_Compteur_2[[#This Row],[Colonne1]]/Tab_Compteur_2[[#This Row],[Delta Jour]],"")</f>
        <v/>
      </c>
      <c r="I217" s="208" t="str">
        <f t="shared" si="6"/>
        <v/>
      </c>
      <c r="J217" s="501"/>
      <c r="K217" s="73"/>
      <c r="L217" s="73"/>
      <c r="M217" s="73"/>
    </row>
    <row r="218" spans="1:13">
      <c r="A218" s="3">
        <f t="shared" si="7"/>
        <v>1</v>
      </c>
      <c r="C218" s="192"/>
      <c r="D218" s="195"/>
      <c r="E218" s="196"/>
      <c r="F218" s="186" t="str">
        <f>IF(Tab_Compteur_2[[#This Row],[Fin de période]]&gt;0,IFERROR(B218-A218+1,""),"")</f>
        <v/>
      </c>
      <c r="G218" t="str">
        <f>IF(IFERROR(IF(Str_TypeDonneesCpt2=Cpt_Index,Tab_Compteur_2[[#This Row],[Index]]-E217,Tab_Compteur_2[[#This Row],[Quantité]])/Tab_Compteur_2[[#This Row],[Delta Jour]],"")&lt;0,"",IFERROR(IF(Str_TypeDonneesCpt2=Cpt_Index,Tab_Compteur_2[[#This Row],[Index]]-E217,Tab_Compteur_2[[#This Row],[Quantité]])/Tab_Compteur_2[[#This Row],[Delta Jour]],""))</f>
        <v/>
      </c>
      <c r="H218" s="186" t="str">
        <f>IFERROR(Tab_Compteur_2[[#This Row],[Colonne1]]/Tab_Compteur_2[[#This Row],[Delta Jour]],"")</f>
        <v/>
      </c>
      <c r="I218" s="208" t="str">
        <f t="shared" si="6"/>
        <v/>
      </c>
      <c r="J218" s="501"/>
      <c r="K218" s="73"/>
      <c r="L218" s="73"/>
      <c r="M218" s="73"/>
    </row>
    <row r="219" spans="1:13">
      <c r="A219" s="3">
        <f t="shared" si="7"/>
        <v>1</v>
      </c>
      <c r="C219" s="192"/>
      <c r="D219" s="195"/>
      <c r="E219" s="196"/>
      <c r="F219" s="186" t="str">
        <f>IF(Tab_Compteur_2[[#This Row],[Fin de période]]&gt;0,IFERROR(B219-A219+1,""),"")</f>
        <v/>
      </c>
      <c r="G219" t="str">
        <f>IF(IFERROR(IF(Str_TypeDonneesCpt2=Cpt_Index,Tab_Compteur_2[[#This Row],[Index]]-E218,Tab_Compteur_2[[#This Row],[Quantité]])/Tab_Compteur_2[[#This Row],[Delta Jour]],"")&lt;0,"",IFERROR(IF(Str_TypeDonneesCpt2=Cpt_Index,Tab_Compteur_2[[#This Row],[Index]]-E218,Tab_Compteur_2[[#This Row],[Quantité]])/Tab_Compteur_2[[#This Row],[Delta Jour]],""))</f>
        <v/>
      </c>
      <c r="H219" s="186" t="str">
        <f>IFERROR(Tab_Compteur_2[[#This Row],[Colonne1]]/Tab_Compteur_2[[#This Row],[Delta Jour]],"")</f>
        <v/>
      </c>
      <c r="I219" s="208" t="str">
        <f t="shared" si="6"/>
        <v/>
      </c>
      <c r="J219" s="501"/>
      <c r="K219" s="73"/>
      <c r="L219" s="73"/>
      <c r="M219" s="73"/>
    </row>
    <row r="220" spans="1:13">
      <c r="A220" s="3">
        <f t="shared" si="7"/>
        <v>1</v>
      </c>
      <c r="C220" s="192"/>
      <c r="D220" s="195"/>
      <c r="E220" s="196"/>
      <c r="F220" s="186" t="str">
        <f>IF(Tab_Compteur_2[[#This Row],[Fin de période]]&gt;0,IFERROR(B220-A220+1,""),"")</f>
        <v/>
      </c>
      <c r="G220" t="str">
        <f>IF(IFERROR(IF(Str_TypeDonneesCpt2=Cpt_Index,Tab_Compteur_2[[#This Row],[Index]]-E219,Tab_Compteur_2[[#This Row],[Quantité]])/Tab_Compteur_2[[#This Row],[Delta Jour]],"")&lt;0,"",IFERROR(IF(Str_TypeDonneesCpt2=Cpt_Index,Tab_Compteur_2[[#This Row],[Index]]-E219,Tab_Compteur_2[[#This Row],[Quantité]])/Tab_Compteur_2[[#This Row],[Delta Jour]],""))</f>
        <v/>
      </c>
      <c r="H220" s="186" t="str">
        <f>IFERROR(Tab_Compteur_2[[#This Row],[Colonne1]]/Tab_Compteur_2[[#This Row],[Delta Jour]],"")</f>
        <v/>
      </c>
      <c r="I220" s="208" t="str">
        <f t="shared" si="6"/>
        <v/>
      </c>
      <c r="J220" s="501"/>
      <c r="K220" s="73"/>
      <c r="L220" s="73"/>
      <c r="M220" s="73"/>
    </row>
    <row r="221" spans="1:13">
      <c r="A221" s="3">
        <f t="shared" si="7"/>
        <v>1</v>
      </c>
      <c r="C221" s="192"/>
      <c r="D221" s="195"/>
      <c r="E221" s="196"/>
      <c r="F221" s="186" t="str">
        <f>IF(Tab_Compteur_2[[#This Row],[Fin de période]]&gt;0,IFERROR(B221-A221+1,""),"")</f>
        <v/>
      </c>
      <c r="G221" t="str">
        <f>IF(IFERROR(IF(Str_TypeDonneesCpt2=Cpt_Index,Tab_Compteur_2[[#This Row],[Index]]-E220,Tab_Compteur_2[[#This Row],[Quantité]])/Tab_Compteur_2[[#This Row],[Delta Jour]],"")&lt;0,"",IFERROR(IF(Str_TypeDonneesCpt2=Cpt_Index,Tab_Compteur_2[[#This Row],[Index]]-E220,Tab_Compteur_2[[#This Row],[Quantité]])/Tab_Compteur_2[[#This Row],[Delta Jour]],""))</f>
        <v/>
      </c>
      <c r="H221" s="186" t="str">
        <f>IFERROR(Tab_Compteur_2[[#This Row],[Colonne1]]/Tab_Compteur_2[[#This Row],[Delta Jour]],"")</f>
        <v/>
      </c>
      <c r="I221" s="208" t="str">
        <f t="shared" si="6"/>
        <v/>
      </c>
      <c r="J221" s="501"/>
      <c r="K221" s="73"/>
      <c r="L221" s="73"/>
      <c r="M221" s="73"/>
    </row>
    <row r="222" spans="1:13">
      <c r="A222" s="3">
        <f t="shared" si="7"/>
        <v>1</v>
      </c>
      <c r="C222" s="192"/>
      <c r="D222" s="195"/>
      <c r="E222" s="196"/>
      <c r="F222" s="186" t="str">
        <f>IF(Tab_Compteur_2[[#This Row],[Fin de période]]&gt;0,IFERROR(B222-A222+1,""),"")</f>
        <v/>
      </c>
      <c r="G222" t="str">
        <f>IF(IFERROR(IF(Str_TypeDonneesCpt2=Cpt_Index,Tab_Compteur_2[[#This Row],[Index]]-E221,Tab_Compteur_2[[#This Row],[Quantité]])/Tab_Compteur_2[[#This Row],[Delta Jour]],"")&lt;0,"",IFERROR(IF(Str_TypeDonneesCpt2=Cpt_Index,Tab_Compteur_2[[#This Row],[Index]]-E221,Tab_Compteur_2[[#This Row],[Quantité]])/Tab_Compteur_2[[#This Row],[Delta Jour]],""))</f>
        <v/>
      </c>
      <c r="H222" s="186" t="str">
        <f>IFERROR(Tab_Compteur_2[[#This Row],[Colonne1]]/Tab_Compteur_2[[#This Row],[Delta Jour]],"")</f>
        <v/>
      </c>
      <c r="I222" s="208" t="str">
        <f t="shared" si="6"/>
        <v/>
      </c>
      <c r="J222" s="501"/>
      <c r="K222" s="73"/>
      <c r="L222" s="73"/>
      <c r="M222" s="73"/>
    </row>
    <row r="223" spans="1:13">
      <c r="A223" s="3">
        <f t="shared" si="7"/>
        <v>1</v>
      </c>
      <c r="C223" s="192"/>
      <c r="D223" s="195"/>
      <c r="E223" s="196"/>
      <c r="F223" s="186" t="str">
        <f>IF(Tab_Compteur_2[[#This Row],[Fin de période]]&gt;0,IFERROR(B223-A223+1,""),"")</f>
        <v/>
      </c>
      <c r="G223" t="str">
        <f>IF(IFERROR(IF(Str_TypeDonneesCpt2=Cpt_Index,Tab_Compteur_2[[#This Row],[Index]]-E222,Tab_Compteur_2[[#This Row],[Quantité]])/Tab_Compteur_2[[#This Row],[Delta Jour]],"")&lt;0,"",IFERROR(IF(Str_TypeDonneesCpt2=Cpt_Index,Tab_Compteur_2[[#This Row],[Index]]-E222,Tab_Compteur_2[[#This Row],[Quantité]])/Tab_Compteur_2[[#This Row],[Delta Jour]],""))</f>
        <v/>
      </c>
      <c r="H223" s="186" t="str">
        <f>IFERROR(Tab_Compteur_2[[#This Row],[Colonne1]]/Tab_Compteur_2[[#This Row],[Delta Jour]],"")</f>
        <v/>
      </c>
      <c r="I223" s="208" t="str">
        <f t="shared" si="6"/>
        <v/>
      </c>
      <c r="J223" s="501"/>
      <c r="K223" s="73"/>
      <c r="L223" s="73"/>
      <c r="M223" s="73"/>
    </row>
    <row r="224" spans="1:13">
      <c r="A224" s="3">
        <f t="shared" si="7"/>
        <v>1</v>
      </c>
      <c r="C224" s="192"/>
      <c r="D224" s="195"/>
      <c r="E224" s="196"/>
      <c r="F224" s="186" t="str">
        <f>IF(Tab_Compteur_2[[#This Row],[Fin de période]]&gt;0,IFERROR(B224-A224+1,""),"")</f>
        <v/>
      </c>
      <c r="G224" t="str">
        <f>IF(IFERROR(IF(Str_TypeDonneesCpt2=Cpt_Index,Tab_Compteur_2[[#This Row],[Index]]-E223,Tab_Compteur_2[[#This Row],[Quantité]])/Tab_Compteur_2[[#This Row],[Delta Jour]],"")&lt;0,"",IFERROR(IF(Str_TypeDonneesCpt2=Cpt_Index,Tab_Compteur_2[[#This Row],[Index]]-E223,Tab_Compteur_2[[#This Row],[Quantité]])/Tab_Compteur_2[[#This Row],[Delta Jour]],""))</f>
        <v/>
      </c>
      <c r="H224" s="186" t="str">
        <f>IFERROR(Tab_Compteur_2[[#This Row],[Colonne1]]/Tab_Compteur_2[[#This Row],[Delta Jour]],"")</f>
        <v/>
      </c>
      <c r="I224" s="208" t="str">
        <f t="shared" si="6"/>
        <v/>
      </c>
      <c r="J224" s="501"/>
      <c r="K224" s="73"/>
      <c r="L224" s="73"/>
      <c r="M224" s="73"/>
    </row>
    <row r="225" spans="1:13">
      <c r="A225" s="3">
        <f t="shared" si="7"/>
        <v>1</v>
      </c>
      <c r="C225" s="192"/>
      <c r="D225" s="195"/>
      <c r="E225" s="196"/>
      <c r="F225" s="186" t="str">
        <f>IF(Tab_Compteur_2[[#This Row],[Fin de période]]&gt;0,IFERROR(B225-A225+1,""),"")</f>
        <v/>
      </c>
      <c r="G225" t="str">
        <f>IF(IFERROR(IF(Str_TypeDonneesCpt2=Cpt_Index,Tab_Compteur_2[[#This Row],[Index]]-E224,Tab_Compteur_2[[#This Row],[Quantité]])/Tab_Compteur_2[[#This Row],[Delta Jour]],"")&lt;0,"",IFERROR(IF(Str_TypeDonneesCpt2=Cpt_Index,Tab_Compteur_2[[#This Row],[Index]]-E224,Tab_Compteur_2[[#This Row],[Quantité]])/Tab_Compteur_2[[#This Row],[Delta Jour]],""))</f>
        <v/>
      </c>
      <c r="H225" s="186" t="str">
        <f>IFERROR(Tab_Compteur_2[[#This Row],[Colonne1]]/Tab_Compteur_2[[#This Row],[Delta Jour]],"")</f>
        <v/>
      </c>
      <c r="I225" s="208" t="str">
        <f t="shared" si="6"/>
        <v/>
      </c>
      <c r="J225" s="501"/>
      <c r="K225" s="73"/>
      <c r="L225" s="73"/>
      <c r="M225" s="73"/>
    </row>
    <row r="226" spans="1:13">
      <c r="A226" s="3">
        <f t="shared" si="7"/>
        <v>1</v>
      </c>
      <c r="C226" s="192"/>
      <c r="D226" s="195"/>
      <c r="E226" s="196"/>
      <c r="F226" s="186" t="str">
        <f>IF(Tab_Compteur_2[[#This Row],[Fin de période]]&gt;0,IFERROR(B226-A226+1,""),"")</f>
        <v/>
      </c>
      <c r="G226" t="str">
        <f>IF(IFERROR(IF(Str_TypeDonneesCpt2=Cpt_Index,Tab_Compteur_2[[#This Row],[Index]]-E225,Tab_Compteur_2[[#This Row],[Quantité]])/Tab_Compteur_2[[#This Row],[Delta Jour]],"")&lt;0,"",IFERROR(IF(Str_TypeDonneesCpt2=Cpt_Index,Tab_Compteur_2[[#This Row],[Index]]-E225,Tab_Compteur_2[[#This Row],[Quantité]])/Tab_Compteur_2[[#This Row],[Delta Jour]],""))</f>
        <v/>
      </c>
      <c r="H226" s="186" t="str">
        <f>IFERROR(Tab_Compteur_2[[#This Row],[Colonne1]]/Tab_Compteur_2[[#This Row],[Delta Jour]],"")</f>
        <v/>
      </c>
      <c r="I226" s="208" t="str">
        <f t="shared" si="6"/>
        <v/>
      </c>
      <c r="J226" s="501"/>
      <c r="K226" s="73"/>
      <c r="L226" s="73"/>
      <c r="M226" s="73"/>
    </row>
    <row r="227" spans="1:13">
      <c r="A227" s="3">
        <f t="shared" si="7"/>
        <v>1</v>
      </c>
      <c r="C227" s="192"/>
      <c r="D227" s="195"/>
      <c r="E227" s="196"/>
      <c r="F227" s="186" t="str">
        <f>IF(Tab_Compteur_2[[#This Row],[Fin de période]]&gt;0,IFERROR(B227-A227+1,""),"")</f>
        <v/>
      </c>
      <c r="G227" t="str">
        <f>IF(IFERROR(IF(Str_TypeDonneesCpt2=Cpt_Index,Tab_Compteur_2[[#This Row],[Index]]-E226,Tab_Compteur_2[[#This Row],[Quantité]])/Tab_Compteur_2[[#This Row],[Delta Jour]],"")&lt;0,"",IFERROR(IF(Str_TypeDonneesCpt2=Cpt_Index,Tab_Compteur_2[[#This Row],[Index]]-E226,Tab_Compteur_2[[#This Row],[Quantité]])/Tab_Compteur_2[[#This Row],[Delta Jour]],""))</f>
        <v/>
      </c>
      <c r="H227" s="186" t="str">
        <f>IFERROR(Tab_Compteur_2[[#This Row],[Colonne1]]/Tab_Compteur_2[[#This Row],[Delta Jour]],"")</f>
        <v/>
      </c>
      <c r="I227" s="208" t="str">
        <f t="shared" si="6"/>
        <v/>
      </c>
      <c r="J227" s="501"/>
      <c r="K227" s="73"/>
      <c r="L227" s="73"/>
      <c r="M227" s="73"/>
    </row>
    <row r="228" spans="1:13">
      <c r="A228" s="3">
        <f t="shared" si="7"/>
        <v>1</v>
      </c>
      <c r="B228" s="87" t="str">
        <f>ConversionCuveQuantité!F90</f>
        <v/>
      </c>
      <c r="C228" s="192" t="str">
        <f>ConversionCuveQuantité!G90</f>
        <v/>
      </c>
      <c r="D228" s="195"/>
      <c r="E228" s="196"/>
      <c r="F228" s="186" t="str">
        <f>IF(Tab_Compteur_2[[#This Row],[Fin de période]]&gt;0,IFERROR(B228-A228+1,""),"")</f>
        <v/>
      </c>
      <c r="G228" t="str">
        <f>IF(IFERROR(IF(Str_TypeDonneesCpt2=Cpt_Index,Tab_Compteur_2[[#This Row],[Index]]-E227,Tab_Compteur_2[[#This Row],[Quantité]])/Tab_Compteur_2[[#This Row],[Delta Jour]],"")&lt;0,"",IFERROR(IF(Str_TypeDonneesCpt2=Cpt_Index,Tab_Compteur_2[[#This Row],[Index]]-E227,Tab_Compteur_2[[#This Row],[Quantité]])/Tab_Compteur_2[[#This Row],[Delta Jour]],""))</f>
        <v/>
      </c>
      <c r="H228" s="186" t="str">
        <f>IFERROR(Tab_Compteur_2[[#This Row],[Colonne1]]/Tab_Compteur_2[[#This Row],[Delta Jour]],"")</f>
        <v/>
      </c>
      <c r="I228" s="208" t="str">
        <f t="shared" si="6"/>
        <v/>
      </c>
      <c r="J228" s="501"/>
      <c r="K228" s="73"/>
      <c r="L228" s="73"/>
      <c r="M228" s="73"/>
    </row>
    <row r="229" spans="1:13">
      <c r="A229" s="3">
        <f t="shared" si="7"/>
        <v>0</v>
      </c>
      <c r="B229" s="87" t="str">
        <f>ConversionCuveQuantité!F91</f>
        <v/>
      </c>
      <c r="C229" s="192" t="str">
        <f>ConversionCuveQuantité!G91</f>
        <v/>
      </c>
      <c r="D229" s="195"/>
      <c r="E229" s="196"/>
      <c r="F229" s="186" t="str">
        <f>IF(Tab_Compteur_2[[#This Row],[Fin de période]]&gt;0,IFERROR(B229-A229+1,""),"")</f>
        <v/>
      </c>
      <c r="G229" t="str">
        <f>IF(IFERROR(IF(Str_TypeDonneesCpt2=Cpt_Index,Tab_Compteur_2[[#This Row],[Index]]-E228,Tab_Compteur_2[[#This Row],[Quantité]])/Tab_Compteur_2[[#This Row],[Delta Jour]],"")&lt;0,"",IFERROR(IF(Str_TypeDonneesCpt2=Cpt_Index,Tab_Compteur_2[[#This Row],[Index]]-E228,Tab_Compteur_2[[#This Row],[Quantité]])/Tab_Compteur_2[[#This Row],[Delta Jour]],""))</f>
        <v/>
      </c>
      <c r="H229" s="186" t="str">
        <f>IFERROR(Tab_Compteur_2[[#This Row],[Colonne1]]/Tab_Compteur_2[[#This Row],[Delta Jour]],"")</f>
        <v/>
      </c>
      <c r="I229" s="208" t="str">
        <f t="shared" si="6"/>
        <v/>
      </c>
      <c r="J229" s="501"/>
      <c r="K229" s="73"/>
      <c r="L229" s="73"/>
      <c r="M229" s="73"/>
    </row>
    <row r="230" spans="1:13">
      <c r="A230" s="3">
        <f t="shared" si="7"/>
        <v>0</v>
      </c>
      <c r="B230" s="87" t="str">
        <f>ConversionCuveQuantité!F92</f>
        <v/>
      </c>
      <c r="C230" s="192" t="str">
        <f>ConversionCuveQuantité!G92</f>
        <v/>
      </c>
      <c r="D230" s="195"/>
      <c r="E230" s="196"/>
      <c r="F230" s="186" t="str">
        <f>IF(Tab_Compteur_2[[#This Row],[Fin de période]]&gt;0,IFERROR(B230-A230+1,""),"")</f>
        <v/>
      </c>
      <c r="G230" t="str">
        <f>IF(IFERROR(IF(Str_TypeDonneesCpt2=Cpt_Index,Tab_Compteur_2[[#This Row],[Index]]-E229,Tab_Compteur_2[[#This Row],[Quantité]])/Tab_Compteur_2[[#This Row],[Delta Jour]],"")&lt;0,"",IFERROR(IF(Str_TypeDonneesCpt2=Cpt_Index,Tab_Compteur_2[[#This Row],[Index]]-E229,Tab_Compteur_2[[#This Row],[Quantité]])/Tab_Compteur_2[[#This Row],[Delta Jour]],""))</f>
        <v/>
      </c>
      <c r="H230" s="186" t="str">
        <f>IFERROR(Tab_Compteur_2[[#This Row],[Colonne1]]/Tab_Compteur_2[[#This Row],[Delta Jour]],"")</f>
        <v/>
      </c>
      <c r="I230" s="208" t="str">
        <f t="shared" si="6"/>
        <v/>
      </c>
      <c r="J230" s="501"/>
      <c r="K230" s="73"/>
      <c r="L230" s="73"/>
      <c r="M230" s="73"/>
    </row>
    <row r="231" spans="1:13">
      <c r="A231" s="3">
        <f t="shared" si="7"/>
        <v>0</v>
      </c>
      <c r="B231" s="87" t="str">
        <f>ConversionCuveQuantité!F93</f>
        <v/>
      </c>
      <c r="C231" s="192" t="str">
        <f>ConversionCuveQuantité!G93</f>
        <v/>
      </c>
      <c r="D231" s="195"/>
      <c r="E231" s="196"/>
      <c r="F231" s="186" t="str">
        <f>IF(Tab_Compteur_2[[#This Row],[Fin de période]]&gt;0,IFERROR(B231-A231+1,""),"")</f>
        <v/>
      </c>
      <c r="G231" t="str">
        <f>IF(IFERROR(IF(Str_TypeDonneesCpt2=Cpt_Index,Tab_Compteur_2[[#This Row],[Index]]-E230,Tab_Compteur_2[[#This Row],[Quantité]])/Tab_Compteur_2[[#This Row],[Delta Jour]],"")&lt;0,"",IFERROR(IF(Str_TypeDonneesCpt2=Cpt_Index,Tab_Compteur_2[[#This Row],[Index]]-E230,Tab_Compteur_2[[#This Row],[Quantité]])/Tab_Compteur_2[[#This Row],[Delta Jour]],""))</f>
        <v/>
      </c>
      <c r="H231" s="186" t="str">
        <f>IFERROR(Tab_Compteur_2[[#This Row],[Colonne1]]/Tab_Compteur_2[[#This Row],[Delta Jour]],"")</f>
        <v/>
      </c>
      <c r="I231" s="208" t="str">
        <f t="shared" si="6"/>
        <v/>
      </c>
      <c r="J231" s="501"/>
      <c r="K231" s="73"/>
      <c r="L231" s="73"/>
      <c r="M231" s="73"/>
    </row>
    <row r="232" spans="1:13">
      <c r="A232" s="3">
        <f t="shared" si="7"/>
        <v>0</v>
      </c>
      <c r="B232" s="87" t="str">
        <f>ConversionCuveQuantité!F94</f>
        <v/>
      </c>
      <c r="C232" s="192" t="str">
        <f>ConversionCuveQuantité!G94</f>
        <v/>
      </c>
      <c r="D232" s="195"/>
      <c r="E232" s="196"/>
      <c r="F232" s="186" t="str">
        <f>IF(Tab_Compteur_2[[#This Row],[Fin de période]]&gt;0,IFERROR(B232-A232+1,""),"")</f>
        <v/>
      </c>
      <c r="G232" t="str">
        <f>IF(IFERROR(IF(Str_TypeDonneesCpt2=Cpt_Index,Tab_Compteur_2[[#This Row],[Index]]-E231,Tab_Compteur_2[[#This Row],[Quantité]])/Tab_Compteur_2[[#This Row],[Delta Jour]],"")&lt;0,"",IFERROR(IF(Str_TypeDonneesCpt2=Cpt_Index,Tab_Compteur_2[[#This Row],[Index]]-E231,Tab_Compteur_2[[#This Row],[Quantité]])/Tab_Compteur_2[[#This Row],[Delta Jour]],""))</f>
        <v/>
      </c>
      <c r="H232" s="186" t="str">
        <f>IFERROR(Tab_Compteur_2[[#This Row],[Colonne1]]/Tab_Compteur_2[[#This Row],[Delta Jour]],"")</f>
        <v/>
      </c>
      <c r="I232" s="208" t="str">
        <f t="shared" si="6"/>
        <v/>
      </c>
      <c r="J232" s="501"/>
      <c r="K232" s="73"/>
      <c r="L232" s="73"/>
      <c r="M232" s="73"/>
    </row>
    <row r="233" spans="1:13">
      <c r="A233" s="3">
        <f t="shared" si="7"/>
        <v>0</v>
      </c>
      <c r="B233" s="87" t="str">
        <f>ConversionCuveQuantité!F95</f>
        <v/>
      </c>
      <c r="C233" s="192" t="str">
        <f>ConversionCuveQuantité!G95</f>
        <v/>
      </c>
      <c r="D233" s="195"/>
      <c r="E233" s="196"/>
      <c r="F233" s="186" t="str">
        <f>IF(Tab_Compteur_2[[#This Row],[Fin de période]]&gt;0,IFERROR(B233-A233+1,""),"")</f>
        <v/>
      </c>
      <c r="G233" t="str">
        <f>IF(IFERROR(IF(Str_TypeDonneesCpt2=Cpt_Index,Tab_Compteur_2[[#This Row],[Index]]-E232,Tab_Compteur_2[[#This Row],[Quantité]])/Tab_Compteur_2[[#This Row],[Delta Jour]],"")&lt;0,"",IFERROR(IF(Str_TypeDonneesCpt2=Cpt_Index,Tab_Compteur_2[[#This Row],[Index]]-E232,Tab_Compteur_2[[#This Row],[Quantité]])/Tab_Compteur_2[[#This Row],[Delta Jour]],""))</f>
        <v/>
      </c>
      <c r="H233" s="186" t="str">
        <f>IFERROR(Tab_Compteur_2[[#This Row],[Colonne1]]/Tab_Compteur_2[[#This Row],[Delta Jour]],"")</f>
        <v/>
      </c>
      <c r="I233" s="208" t="str">
        <f t="shared" si="6"/>
        <v/>
      </c>
      <c r="J233" s="501"/>
      <c r="K233" s="73"/>
      <c r="L233" s="73"/>
      <c r="M233" s="73"/>
    </row>
    <row r="234" spans="1:13">
      <c r="A234" s="3">
        <f t="shared" si="7"/>
        <v>0</v>
      </c>
      <c r="B234" s="87" t="str">
        <f>ConversionCuveQuantité!F96</f>
        <v/>
      </c>
      <c r="C234" s="192" t="str">
        <f>ConversionCuveQuantité!G96</f>
        <v/>
      </c>
      <c r="D234" s="195"/>
      <c r="E234" s="196"/>
      <c r="F234" s="186" t="str">
        <f>IF(Tab_Compteur_2[[#This Row],[Fin de période]]&gt;0,IFERROR(B234-A234+1,""),"")</f>
        <v/>
      </c>
      <c r="G234" t="str">
        <f>IF(IFERROR(IF(Str_TypeDonneesCpt2=Cpt_Index,Tab_Compteur_2[[#This Row],[Index]]-E233,Tab_Compteur_2[[#This Row],[Quantité]])/Tab_Compteur_2[[#This Row],[Delta Jour]],"")&lt;0,"",IFERROR(IF(Str_TypeDonneesCpt2=Cpt_Index,Tab_Compteur_2[[#This Row],[Index]]-E233,Tab_Compteur_2[[#This Row],[Quantité]])/Tab_Compteur_2[[#This Row],[Delta Jour]],""))</f>
        <v/>
      </c>
      <c r="H234" s="186" t="str">
        <f>IFERROR(Tab_Compteur_2[[#This Row],[Colonne1]]/Tab_Compteur_2[[#This Row],[Delta Jour]],"")</f>
        <v/>
      </c>
      <c r="I234" s="208" t="str">
        <f t="shared" si="6"/>
        <v/>
      </c>
      <c r="J234" s="501"/>
      <c r="K234" s="73"/>
      <c r="L234" s="73"/>
      <c r="M234" s="73"/>
    </row>
    <row r="235" spans="1:13">
      <c r="A235" s="3">
        <f t="shared" si="7"/>
        <v>0</v>
      </c>
      <c r="B235" s="87" t="str">
        <f>ConversionCuveQuantité!F97</f>
        <v/>
      </c>
      <c r="C235" s="192" t="str">
        <f>ConversionCuveQuantité!G97</f>
        <v/>
      </c>
      <c r="D235" s="195"/>
      <c r="E235" s="196"/>
      <c r="F235" s="186" t="str">
        <f>IF(Tab_Compteur_2[[#This Row],[Fin de période]]&gt;0,IFERROR(B235-A235+1,""),"")</f>
        <v/>
      </c>
      <c r="G235" t="str">
        <f>IF(IFERROR(IF(Str_TypeDonneesCpt2=Cpt_Index,Tab_Compteur_2[[#This Row],[Index]]-E234,Tab_Compteur_2[[#This Row],[Quantité]])/Tab_Compteur_2[[#This Row],[Delta Jour]],"")&lt;0,"",IFERROR(IF(Str_TypeDonneesCpt2=Cpt_Index,Tab_Compteur_2[[#This Row],[Index]]-E234,Tab_Compteur_2[[#This Row],[Quantité]])/Tab_Compteur_2[[#This Row],[Delta Jour]],""))</f>
        <v/>
      </c>
      <c r="H235" s="186" t="str">
        <f>IFERROR(Tab_Compteur_2[[#This Row],[Colonne1]]/Tab_Compteur_2[[#This Row],[Delta Jour]],"")</f>
        <v/>
      </c>
      <c r="I235" s="208" t="str">
        <f t="shared" si="6"/>
        <v/>
      </c>
      <c r="J235" s="501"/>
      <c r="K235" s="73"/>
      <c r="L235" s="73"/>
      <c r="M235" s="73"/>
    </row>
    <row r="236" spans="1:13">
      <c r="A236" s="3">
        <f t="shared" si="7"/>
        <v>0</v>
      </c>
      <c r="B236" s="87" t="str">
        <f>ConversionCuveQuantité!F98</f>
        <v/>
      </c>
      <c r="C236" s="192" t="str">
        <f>ConversionCuveQuantité!G98</f>
        <v/>
      </c>
      <c r="D236" s="195"/>
      <c r="E236" s="196"/>
      <c r="F236" s="186" t="str">
        <f>IF(Tab_Compteur_2[[#This Row],[Fin de période]]&gt;0,IFERROR(B236-A236+1,""),"")</f>
        <v/>
      </c>
      <c r="G236" t="str">
        <f>IF(IFERROR(IF(Str_TypeDonneesCpt2=Cpt_Index,Tab_Compteur_2[[#This Row],[Index]]-E235,Tab_Compteur_2[[#This Row],[Quantité]])/Tab_Compteur_2[[#This Row],[Delta Jour]],"")&lt;0,"",IFERROR(IF(Str_TypeDonneesCpt2=Cpt_Index,Tab_Compteur_2[[#This Row],[Index]]-E235,Tab_Compteur_2[[#This Row],[Quantité]])/Tab_Compteur_2[[#This Row],[Delta Jour]],""))</f>
        <v/>
      </c>
      <c r="H236" s="186" t="str">
        <f>IFERROR(Tab_Compteur_2[[#This Row],[Colonne1]]/Tab_Compteur_2[[#This Row],[Delta Jour]],"")</f>
        <v/>
      </c>
      <c r="I236" s="208" t="str">
        <f t="shared" si="6"/>
        <v/>
      </c>
      <c r="J236" s="501"/>
      <c r="K236" s="73"/>
      <c r="L236" s="73"/>
      <c r="M236" s="73"/>
    </row>
    <row r="237" spans="1:13">
      <c r="A237" s="3">
        <f t="shared" si="7"/>
        <v>0</v>
      </c>
      <c r="B237" s="87" t="str">
        <f>ConversionCuveQuantité!F99</f>
        <v/>
      </c>
      <c r="C237" s="192" t="str">
        <f>ConversionCuveQuantité!G99</f>
        <v/>
      </c>
      <c r="D237" s="195"/>
      <c r="E237" s="196"/>
      <c r="F237" s="186" t="str">
        <f>IF(Tab_Compteur_2[[#This Row],[Fin de période]]&gt;0,IFERROR(B237-A237+1,""),"")</f>
        <v/>
      </c>
      <c r="G237" t="str">
        <f>IF(IFERROR(IF(Str_TypeDonneesCpt2=Cpt_Index,Tab_Compteur_2[[#This Row],[Index]]-E236,Tab_Compteur_2[[#This Row],[Quantité]])/Tab_Compteur_2[[#This Row],[Delta Jour]],"")&lt;0,"",IFERROR(IF(Str_TypeDonneesCpt2=Cpt_Index,Tab_Compteur_2[[#This Row],[Index]]-E236,Tab_Compteur_2[[#This Row],[Quantité]])/Tab_Compteur_2[[#This Row],[Delta Jour]],""))</f>
        <v/>
      </c>
      <c r="H237" s="186" t="str">
        <f>IFERROR(Tab_Compteur_2[[#This Row],[Colonne1]]/Tab_Compteur_2[[#This Row],[Delta Jour]],"")</f>
        <v/>
      </c>
      <c r="I237" s="208" t="str">
        <f t="shared" si="6"/>
        <v/>
      </c>
      <c r="J237" s="501"/>
      <c r="K237" s="73"/>
      <c r="L237" s="73"/>
      <c r="M237" s="73"/>
    </row>
    <row r="238" spans="1:13">
      <c r="A238" s="3">
        <f t="shared" si="7"/>
        <v>0</v>
      </c>
      <c r="B238" s="87" t="str">
        <f>ConversionCuveQuantité!F100</f>
        <v/>
      </c>
      <c r="C238" s="192" t="str">
        <f>ConversionCuveQuantité!G100</f>
        <v/>
      </c>
      <c r="D238" s="195"/>
      <c r="E238" s="196"/>
      <c r="F238" s="186" t="str">
        <f>IF(Tab_Compteur_2[[#This Row],[Fin de période]]&gt;0,IFERROR(B238-A238+1,""),"")</f>
        <v/>
      </c>
      <c r="G238" t="str">
        <f>IF(IFERROR(IF(Str_TypeDonneesCpt2=Cpt_Index,Tab_Compteur_2[[#This Row],[Index]]-E237,Tab_Compteur_2[[#This Row],[Quantité]])/Tab_Compteur_2[[#This Row],[Delta Jour]],"")&lt;0,"",IFERROR(IF(Str_TypeDonneesCpt2=Cpt_Index,Tab_Compteur_2[[#This Row],[Index]]-E237,Tab_Compteur_2[[#This Row],[Quantité]])/Tab_Compteur_2[[#This Row],[Delta Jour]],""))</f>
        <v/>
      </c>
      <c r="H238" s="186" t="str">
        <f>IFERROR(Tab_Compteur_2[[#This Row],[Colonne1]]/Tab_Compteur_2[[#This Row],[Delta Jour]],"")</f>
        <v/>
      </c>
      <c r="I238" s="208" t="str">
        <f t="shared" si="6"/>
        <v/>
      </c>
      <c r="J238" s="501"/>
      <c r="K238" s="73"/>
      <c r="L238" s="73"/>
      <c r="M238" s="73"/>
    </row>
    <row r="239" spans="1:13">
      <c r="A239" s="3">
        <f t="shared" si="7"/>
        <v>0</v>
      </c>
      <c r="B239" s="87" t="str">
        <f>ConversionCuveQuantité!F101</f>
        <v/>
      </c>
      <c r="C239" s="192" t="str">
        <f>ConversionCuveQuantité!G101</f>
        <v/>
      </c>
      <c r="D239" s="195"/>
      <c r="E239" s="196"/>
      <c r="F239" s="186" t="str">
        <f>IF(Tab_Compteur_2[[#This Row],[Fin de période]]&gt;0,IFERROR(B239-A239+1,""),"")</f>
        <v/>
      </c>
      <c r="G239" t="str">
        <f>IF(IFERROR(IF(Str_TypeDonneesCpt2=Cpt_Index,Tab_Compteur_2[[#This Row],[Index]]-E238,Tab_Compteur_2[[#This Row],[Quantité]])/Tab_Compteur_2[[#This Row],[Delta Jour]],"")&lt;0,"",IFERROR(IF(Str_TypeDonneesCpt2=Cpt_Index,Tab_Compteur_2[[#This Row],[Index]]-E238,Tab_Compteur_2[[#This Row],[Quantité]])/Tab_Compteur_2[[#This Row],[Delta Jour]],""))</f>
        <v/>
      </c>
      <c r="H239" s="186" t="str">
        <f>IFERROR(Tab_Compteur_2[[#This Row],[Colonne1]]/Tab_Compteur_2[[#This Row],[Delta Jour]],"")</f>
        <v/>
      </c>
      <c r="I239" s="208" t="str">
        <f t="shared" si="6"/>
        <v/>
      </c>
      <c r="J239" s="501"/>
      <c r="K239" s="73"/>
      <c r="L239" s="73"/>
      <c r="M239" s="73"/>
    </row>
    <row r="240" spans="1:13">
      <c r="A240" s="3">
        <f t="shared" si="7"/>
        <v>0</v>
      </c>
      <c r="B240" s="87" t="str">
        <f>ConversionCuveQuantité!F102</f>
        <v/>
      </c>
      <c r="C240" s="192" t="str">
        <f>ConversionCuveQuantité!G102</f>
        <v/>
      </c>
      <c r="D240" s="195"/>
      <c r="E240" s="196"/>
      <c r="F240" s="186" t="str">
        <f>IF(Tab_Compteur_2[[#This Row],[Fin de période]]&gt;0,IFERROR(B240-A240+1,""),"")</f>
        <v/>
      </c>
      <c r="G240" t="str">
        <f>IF(IFERROR(IF(Str_TypeDonneesCpt2=Cpt_Index,Tab_Compteur_2[[#This Row],[Index]]-E239,Tab_Compteur_2[[#This Row],[Quantité]])/Tab_Compteur_2[[#This Row],[Delta Jour]],"")&lt;0,"",IFERROR(IF(Str_TypeDonneesCpt2=Cpt_Index,Tab_Compteur_2[[#This Row],[Index]]-E239,Tab_Compteur_2[[#This Row],[Quantité]])/Tab_Compteur_2[[#This Row],[Delta Jour]],""))</f>
        <v/>
      </c>
      <c r="H240" s="186" t="str">
        <f>IFERROR(Tab_Compteur_2[[#This Row],[Colonne1]]/Tab_Compteur_2[[#This Row],[Delta Jour]],"")</f>
        <v/>
      </c>
      <c r="I240" s="208" t="str">
        <f t="shared" si="6"/>
        <v/>
      </c>
      <c r="J240" s="501"/>
      <c r="K240" s="73"/>
      <c r="L240" s="73"/>
      <c r="M240" s="73"/>
    </row>
    <row r="241" spans="1:14">
      <c r="A241" s="3">
        <f t="shared" si="7"/>
        <v>0</v>
      </c>
      <c r="B241" s="87" t="str">
        <f>ConversionCuveQuantité!F103</f>
        <v/>
      </c>
      <c r="C241" s="192" t="str">
        <f>ConversionCuveQuantité!G103</f>
        <v/>
      </c>
      <c r="D241" s="195"/>
      <c r="E241" s="196"/>
      <c r="F241" s="186" t="str">
        <f>IF(Tab_Compteur_2[[#This Row],[Fin de période]]&gt;0,IFERROR(B241-A241+1,""),"")</f>
        <v/>
      </c>
      <c r="G241" t="str">
        <f>IF(IFERROR(IF(Str_TypeDonneesCpt2=Cpt_Index,Tab_Compteur_2[[#This Row],[Index]]-E240,Tab_Compteur_2[[#This Row],[Quantité]])/Tab_Compteur_2[[#This Row],[Delta Jour]],"")&lt;0,"",IFERROR(IF(Str_TypeDonneesCpt2=Cpt_Index,Tab_Compteur_2[[#This Row],[Index]]-E240,Tab_Compteur_2[[#This Row],[Quantité]])/Tab_Compteur_2[[#This Row],[Delta Jour]],""))</f>
        <v/>
      </c>
      <c r="H241" s="186" t="str">
        <f>IFERROR(Tab_Compteur_2[[#This Row],[Colonne1]]/Tab_Compteur_2[[#This Row],[Delta Jour]],"")</f>
        <v/>
      </c>
      <c r="I241" s="208" t="str">
        <f t="shared" si="6"/>
        <v/>
      </c>
      <c r="J241" s="501"/>
      <c r="K241" s="73"/>
      <c r="L241" s="73"/>
      <c r="M241" s="73"/>
    </row>
    <row r="242" spans="1:14">
      <c r="A242" s="3">
        <f t="shared" si="7"/>
        <v>0</v>
      </c>
      <c r="B242" s="87" t="str">
        <f>ConversionCuveQuantité!F104</f>
        <v/>
      </c>
      <c r="C242" s="192" t="str">
        <f>ConversionCuveQuantité!G104</f>
        <v/>
      </c>
      <c r="D242" s="195"/>
      <c r="E242" s="196"/>
      <c r="F242" s="186" t="str">
        <f>IF(Tab_Compteur_2[[#This Row],[Fin de période]]&gt;0,IFERROR(B242-A242+1,""),"")</f>
        <v/>
      </c>
      <c r="G242" t="str">
        <f>IF(IFERROR(IF(Str_TypeDonneesCpt2=Cpt_Index,Tab_Compteur_2[[#This Row],[Index]]-E241,Tab_Compteur_2[[#This Row],[Quantité]])/Tab_Compteur_2[[#This Row],[Delta Jour]],"")&lt;0,"",IFERROR(IF(Str_TypeDonneesCpt2=Cpt_Index,Tab_Compteur_2[[#This Row],[Index]]-E241,Tab_Compteur_2[[#This Row],[Quantité]])/Tab_Compteur_2[[#This Row],[Delta Jour]],""))</f>
        <v/>
      </c>
      <c r="H242" s="186" t="str">
        <f>IFERROR(Tab_Compteur_2[[#This Row],[Colonne1]]/Tab_Compteur_2[[#This Row],[Delta Jour]],"")</f>
        <v/>
      </c>
      <c r="I242" s="208" t="str">
        <f t="shared" si="6"/>
        <v/>
      </c>
      <c r="J242" s="501"/>
      <c r="K242" s="73"/>
      <c r="L242" s="73"/>
      <c r="M242" s="73"/>
    </row>
    <row r="243" spans="1:14" ht="21" customHeight="1">
      <c r="A243" s="3">
        <f t="shared" si="7"/>
        <v>0</v>
      </c>
      <c r="B243" s="87" t="str">
        <f>ConversionCuveQuantité!F105</f>
        <v/>
      </c>
      <c r="C243" s="192" t="str">
        <f>ConversionCuveQuantité!G105</f>
        <v/>
      </c>
      <c r="D243" s="195"/>
      <c r="E243" s="196"/>
      <c r="F243" s="186" t="str">
        <f>IF(Tab_Compteur_2[[#This Row],[Fin de période]]&gt;0,IFERROR(B243-A243+1,""),"")</f>
        <v/>
      </c>
      <c r="G243" t="str">
        <f>IF(IFERROR(IF(Str_TypeDonneesCpt2=Cpt_Index,Tab_Compteur_2[[#This Row],[Index]]-E242,Tab_Compteur_2[[#This Row],[Quantité]])/Tab_Compteur_2[[#This Row],[Delta Jour]],"")&lt;0,"",IFERROR(IF(Str_TypeDonneesCpt2=Cpt_Index,Tab_Compteur_2[[#This Row],[Index]]-E242,Tab_Compteur_2[[#This Row],[Quantité]])/Tab_Compteur_2[[#This Row],[Delta Jour]],""))</f>
        <v/>
      </c>
      <c r="H243" s="186" t="str">
        <f>IFERROR(Tab_Compteur_2[[#This Row],[Colonne1]]/Tab_Compteur_2[[#This Row],[Delta Jour]],"")</f>
        <v/>
      </c>
      <c r="I243" s="208" t="str">
        <f t="shared" si="6"/>
        <v/>
      </c>
      <c r="J243" s="501"/>
      <c r="K243" s="73"/>
      <c r="L243" s="73"/>
      <c r="M243" s="73"/>
    </row>
    <row r="244" spans="1:14" hidden="1">
      <c r="C244" s="192"/>
      <c r="D244" s="195"/>
      <c r="E244" s="196"/>
      <c r="F244" s="186"/>
      <c r="H244" s="186" t="str">
        <f>IFERROR(Tab_Compteur_2[[#This Row],[Colonne1]]/Tab_Compteur_2[[#This Row],[Delta Jour]],"")</f>
        <v/>
      </c>
      <c r="K244" s="196"/>
      <c r="L244" s="73"/>
      <c r="M244" s="73"/>
      <c r="N244" s="73"/>
    </row>
  </sheetData>
  <sheetProtection sheet="1" selectLockedCells="1"/>
  <protectedRanges>
    <protectedRange sqref="C4:D16" name="Données_compteur2_1_2_1_1"/>
    <protectedRange sqref="C17:C47 D17:D143" name="Données_compteur2_1_2"/>
    <protectedRange sqref="C48:C143" name="Données_compteur2_3"/>
    <protectedRange sqref="D144:D147" name="Données_compteur2_1_1"/>
    <protectedRange sqref="C144:C147" name="Données_compteur2_2"/>
    <protectedRange sqref="D148:D171" name="Données_compteur2_1_2_1"/>
    <protectedRange sqref="C148:C171" name="Données_compteur2_3_1"/>
    <protectedRange sqref="A4:B5 B6:B244 D172:D244 A6:A243" name="Données_compteur2_1"/>
    <protectedRange sqref="A244 C172:C244 L2:N2 K8:M10 K34:M243 E3:E1048576 J2:J243 K3:M3 K5:M6 K244:N1048576" name="Données_compteur2"/>
    <protectedRange sqref="K11:M33" name="Données_compteur3"/>
    <protectedRange sqref="E2" name="Compteur_1_1"/>
    <protectedRange sqref="I2:I243 J244:J1048576" name="Compteur_1"/>
    <protectedRange sqref="K4:L4" name="Compteur_1_2"/>
    <protectedRange sqref="L1 E1 I1" name="Compteur_1_3"/>
  </protectedRanges>
  <mergeCells count="1">
    <mergeCell ref="K11:M33"/>
  </mergeCells>
  <conditionalFormatting sqref="B4:B243">
    <cfRule type="expression" dxfId="13" priority="1">
      <formula>$B4&lt;$A4</formula>
    </cfRule>
  </conditionalFormatting>
  <pageMargins left="0.7" right="0.7" top="0.75" bottom="0.75" header="0.3" footer="0.3"/>
  <pageSetup paperSize="9" orientation="portrait" r:id="rId1"/>
  <ignoredErrors>
    <ignoredError sqref="F4 H4" unlockedFormula="1"/>
  </ignoredErrors>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6"/>
  <dimension ref="A1:N243"/>
  <sheetViews>
    <sheetView workbookViewId="0">
      <pane ySplit="3" topLeftCell="A4" activePane="bottomLeft" state="frozen"/>
      <selection pane="bottomLeft" activeCell="B9" sqref="B9"/>
    </sheetView>
  </sheetViews>
  <sheetFormatPr baseColWidth="10" defaultColWidth="0" defaultRowHeight="15" zeroHeight="1"/>
  <cols>
    <col min="1" max="1" width="14.28515625" customWidth="1"/>
    <col min="2" max="2" width="13.7109375" style="186" customWidth="1"/>
    <col min="3" max="3" width="13.7109375" customWidth="1"/>
    <col min="4" max="4" width="13.42578125" customWidth="1"/>
    <col min="5" max="5" width="11.42578125" customWidth="1"/>
    <col min="6" max="8" width="11.42578125" hidden="1" customWidth="1"/>
    <col min="9" max="9" width="10.85546875" customWidth="1"/>
    <col min="10" max="10" width="21.5703125" customWidth="1"/>
    <col min="11" max="11" width="21.7109375" customWidth="1"/>
    <col min="12" max="13" width="11.42578125" customWidth="1"/>
    <col min="14" max="14" width="21.7109375" customWidth="1"/>
    <col min="15" max="16384" width="11.42578125" hidden="1"/>
  </cols>
  <sheetData>
    <row r="1" spans="1:13" ht="32.65" customHeight="1">
      <c r="A1" s="57" t="s">
        <v>397</v>
      </c>
      <c r="B1" s="227" t="s">
        <v>398</v>
      </c>
      <c r="C1" s="129" t="s">
        <v>399</v>
      </c>
      <c r="D1" s="59" t="str">
        <f>CONCATENATE("Montant ",Controle_des_données!$A$40)</f>
        <v>Montant TTC</v>
      </c>
      <c r="E1" s="30" t="s">
        <v>215</v>
      </c>
      <c r="F1" s="29" t="s">
        <v>400</v>
      </c>
      <c r="G1" s="30" t="s">
        <v>401</v>
      </c>
      <c r="H1" s="30" t="s">
        <v>402</v>
      </c>
      <c r="I1" s="30" t="s">
        <v>403</v>
      </c>
      <c r="J1" s="181" t="s">
        <v>404</v>
      </c>
      <c r="K1" s="172" t="s">
        <v>19</v>
      </c>
      <c r="L1" s="179" t="str">
        <f>IF(Site!C40="", "Compteur 3",Site!C40)</f>
        <v>Eau Générale (factures)</v>
      </c>
    </row>
    <row r="2" spans="1:13" ht="20.25" hidden="1" customHeight="1">
      <c r="A2" s="28" t="s">
        <v>397</v>
      </c>
      <c r="B2" s="85" t="s">
        <v>398</v>
      </c>
      <c r="C2" s="1" t="s">
        <v>399</v>
      </c>
      <c r="D2" s="2" t="s">
        <v>433</v>
      </c>
      <c r="E2" s="30" t="s">
        <v>215</v>
      </c>
      <c r="F2" s="29" t="s">
        <v>400</v>
      </c>
      <c r="G2" s="30" t="s">
        <v>401</v>
      </c>
      <c r="H2" s="30" t="s">
        <v>402</v>
      </c>
      <c r="I2" s="29" t="s">
        <v>403</v>
      </c>
      <c r="J2" t="s">
        <v>404</v>
      </c>
      <c r="K2" s="172"/>
      <c r="L2" s="179"/>
      <c r="M2" s="180"/>
    </row>
    <row r="3" spans="1:13" hidden="1">
      <c r="B3" s="230">
        <f>A4-1</f>
        <v>40908</v>
      </c>
      <c r="C3" s="182"/>
      <c r="D3" s="27"/>
      <c r="F3">
        <f t="shared" ref="F3:F66" si="0">IFERROR(B3-A3+1,"")</f>
        <v>40909</v>
      </c>
      <c r="G3">
        <v>0</v>
      </c>
      <c r="H3">
        <v>0</v>
      </c>
      <c r="I3">
        <f t="shared" ref="I3:I66" si="1">G3</f>
        <v>0</v>
      </c>
      <c r="J3" s="38"/>
      <c r="K3" s="38"/>
      <c r="L3" s="38"/>
      <c r="M3" s="38"/>
    </row>
    <row r="4" spans="1:13">
      <c r="A4" s="3">
        <f>Site!I40</f>
        <v>40909</v>
      </c>
      <c r="B4" s="87"/>
      <c r="C4" s="442"/>
      <c r="D4" s="442"/>
      <c r="E4" s="186"/>
      <c r="F4" s="186">
        <f t="shared" si="0"/>
        <v>-40908</v>
      </c>
      <c r="G4" s="217">
        <f>IF(IFERROR(IF(Str_TypeDonneesCpt3=Cpt_Index,Tab_Compteur_3[[#This Row],[Index]]-L4,Tab_Compteur_3[[#This Row],[Quantité]])/Tab_Compteur_3[[#This Row],[Delta Jour]],"")&lt;0,"",IFERROR(IF(Str_TypeDonneesCpt3=Cpt_Index,Tab_Compteur_3[[#This Row],[Index]]-L4,Tab_Compteur_3[[#This Row],[Quantité]])/Tab_Compteur_3[[#This Row],[Delta Jour]],""))</f>
        <v>0</v>
      </c>
      <c r="H4" s="186">
        <f>IFERROR(Tab_Compteur_3[[#This Row],[Montant]]/Tab_Compteur_3[[#This Row],[Delta Jour]],"")</f>
        <v>0</v>
      </c>
      <c r="I4" s="212">
        <f t="shared" si="1"/>
        <v>0</v>
      </c>
      <c r="J4" s="209"/>
      <c r="K4" s="216" t="s">
        <v>405</v>
      </c>
      <c r="L4" s="491">
        <v>0</v>
      </c>
    </row>
    <row r="5" spans="1:13">
      <c r="A5" s="55">
        <f>IFERROR(B4+1,0)</f>
        <v>1</v>
      </c>
      <c r="B5" s="87"/>
      <c r="C5" s="442"/>
      <c r="D5" s="442"/>
      <c r="E5" s="186"/>
      <c r="F5" s="186">
        <f t="shared" si="0"/>
        <v>0</v>
      </c>
      <c r="G5" t="str">
        <f>IF(IFERROR(IF(Str_TypeDonneesCpt3=Cpt_Index,Tab_Compteur_3[[#This Row],[Index]]-E4,Tab_Compteur_3[[#This Row],[Quantité]])/Tab_Compteur_3[[#This Row],[Delta Jour]],"")&lt;0,"",IFERROR(IF(Str_TypeDonneesCpt3=Cpt_Index,Tab_Compteur_3[[#This Row],[Index]]-E4,Tab_Compteur_3[[#This Row],[Quantité]])/Tab_Compteur_3[[#This Row],[Delta Jour]],""))</f>
        <v/>
      </c>
      <c r="H5" s="186" t="str">
        <f>IFERROR(Tab_Compteur_3[[#This Row],[Montant]]/Tab_Compteur_3[[#This Row],[Delta Jour]],"")</f>
        <v/>
      </c>
      <c r="I5" s="212" t="str">
        <f t="shared" si="1"/>
        <v/>
      </c>
      <c r="J5" s="209"/>
      <c r="K5" s="38"/>
      <c r="L5" s="38"/>
      <c r="M5" s="38"/>
    </row>
    <row r="6" spans="1:13">
      <c r="A6" s="55">
        <f t="shared" ref="A6:A69" si="2">IFERROR(B5+1,0)</f>
        <v>1</v>
      </c>
      <c r="B6" s="87"/>
      <c r="C6" s="442"/>
      <c r="D6" s="442"/>
      <c r="E6" s="186"/>
      <c r="F6" s="186">
        <f t="shared" si="0"/>
        <v>0</v>
      </c>
      <c r="G6" t="str">
        <f>IF(IFERROR(IF(Str_TypeDonneesCpt3=Cpt_Index,Tab_Compteur_3[[#This Row],[Index]]-E5,Tab_Compteur_3[[#This Row],[Quantité]])/Tab_Compteur_3[[#This Row],[Delta Jour]],"")&lt;0,"",IFERROR(IF(Str_TypeDonneesCpt3=Cpt_Index,Tab_Compteur_3[[#This Row],[Index]]-E5,Tab_Compteur_3[[#This Row],[Quantité]])/Tab_Compteur_3[[#This Row],[Delta Jour]],""))</f>
        <v/>
      </c>
      <c r="H6" s="186" t="str">
        <f>IFERROR(Tab_Compteur_3[[#This Row],[Montant]]/Tab_Compteur_3[[#This Row],[Delta Jour]],"")</f>
        <v/>
      </c>
      <c r="I6" s="212" t="str">
        <f t="shared" si="1"/>
        <v/>
      </c>
      <c r="J6" s="209"/>
      <c r="K6" s="38"/>
      <c r="L6" s="38"/>
      <c r="M6" s="38"/>
    </row>
    <row r="7" spans="1:13">
      <c r="A7" s="55">
        <f t="shared" si="2"/>
        <v>1</v>
      </c>
      <c r="B7" s="87"/>
      <c r="C7" s="442"/>
      <c r="D7" s="442"/>
      <c r="E7" s="186"/>
      <c r="F7" s="186">
        <f t="shared" si="0"/>
        <v>0</v>
      </c>
      <c r="G7" t="str">
        <f>IF(IFERROR(IF(Str_TypeDonneesCpt3=Cpt_Index,Tab_Compteur_3[[#This Row],[Index]]-E6,Tab_Compteur_3[[#This Row],[Quantité]])/Tab_Compteur_3[[#This Row],[Delta Jour]],"")&lt;0,"",IFERROR(IF(Str_TypeDonneesCpt3=Cpt_Index,Tab_Compteur_3[[#This Row],[Index]]-E6,Tab_Compteur_3[[#This Row],[Quantité]])/Tab_Compteur_3[[#This Row],[Delta Jour]],""))</f>
        <v/>
      </c>
      <c r="H7" s="186" t="str">
        <f>IFERROR(Tab_Compteur_3[[#This Row],[Montant]]/Tab_Compteur_3[[#This Row],[Delta Jour]],"")</f>
        <v/>
      </c>
      <c r="I7" s="212" t="str">
        <f t="shared" si="1"/>
        <v/>
      </c>
      <c r="J7" s="209"/>
      <c r="K7" s="38"/>
      <c r="L7" s="38"/>
      <c r="M7" s="38"/>
    </row>
    <row r="8" spans="1:13">
      <c r="A8" s="55">
        <f t="shared" si="2"/>
        <v>1</v>
      </c>
      <c r="B8" s="87"/>
      <c r="C8" s="442"/>
      <c r="D8" s="442"/>
      <c r="E8" s="197"/>
      <c r="F8" s="186">
        <f t="shared" si="0"/>
        <v>0</v>
      </c>
      <c r="G8" t="str">
        <f>IF(IFERROR(IF(Str_TypeDonneesCpt3=Cpt_Index,Tab_Compteur_3[[#This Row],[Index]]-E7,Tab_Compteur_3[[#This Row],[Quantité]])/Tab_Compteur_3[[#This Row],[Delta Jour]],"")&lt;0,"",IFERROR(IF(Str_TypeDonneesCpt3=Cpt_Index,Tab_Compteur_3[[#This Row],[Index]]-E7,Tab_Compteur_3[[#This Row],[Quantité]])/Tab_Compteur_3[[#This Row],[Delta Jour]],""))</f>
        <v/>
      </c>
      <c r="H8" s="186" t="str">
        <f>IFERROR(Tab_Compteur_3[[#This Row],[Montant]]/Tab_Compteur_3[[#This Row],[Delta Jour]],"")</f>
        <v/>
      </c>
      <c r="I8" s="213" t="str">
        <f t="shared" si="1"/>
        <v/>
      </c>
      <c r="J8" s="210"/>
      <c r="K8" s="38"/>
      <c r="L8" s="38"/>
      <c r="M8" s="38"/>
    </row>
    <row r="9" spans="1:13">
      <c r="A9" s="55">
        <f t="shared" si="2"/>
        <v>1</v>
      </c>
      <c r="B9" s="87"/>
      <c r="C9" s="442"/>
      <c r="D9" s="442"/>
      <c r="E9" s="198"/>
      <c r="F9" s="186">
        <f t="shared" si="0"/>
        <v>0</v>
      </c>
      <c r="G9" t="str">
        <f>IF(IFERROR(IF(Str_TypeDonneesCpt3=Cpt_Index,Tab_Compteur_3[[#This Row],[Index]]-E8,Tab_Compteur_3[[#This Row],[Quantité]])/Tab_Compteur_3[[#This Row],[Delta Jour]],"")&lt;0,"",IFERROR(IF(Str_TypeDonneesCpt3=Cpt_Index,Tab_Compteur_3[[#This Row],[Index]]-E8,Tab_Compteur_3[[#This Row],[Quantité]])/Tab_Compteur_3[[#This Row],[Delta Jour]],""))</f>
        <v/>
      </c>
      <c r="H9" s="186" t="str">
        <f>IFERROR(Tab_Compteur_3[[#This Row],[Montant]]/Tab_Compteur_3[[#This Row],[Delta Jour]],"")</f>
        <v/>
      </c>
      <c r="I9" s="214" t="str">
        <f t="shared" si="1"/>
        <v/>
      </c>
      <c r="J9" s="505"/>
      <c r="K9" s="173"/>
      <c r="L9" s="173"/>
      <c r="M9" s="173"/>
    </row>
    <row r="10" spans="1:13">
      <c r="A10" s="55">
        <f t="shared" si="2"/>
        <v>1</v>
      </c>
      <c r="B10" s="87"/>
      <c r="C10" s="442"/>
      <c r="D10" s="442"/>
      <c r="E10" s="198"/>
      <c r="F10" s="186">
        <f t="shared" si="0"/>
        <v>0</v>
      </c>
      <c r="G10" t="str">
        <f>IF(IFERROR(IF(Str_TypeDonneesCpt3=Cpt_Index,Tab_Compteur_3[[#This Row],[Index]]-E9,Tab_Compteur_3[[#This Row],[Quantité]])/Tab_Compteur_3[[#This Row],[Delta Jour]],"")&lt;0,"",IFERROR(IF(Str_TypeDonneesCpt3=Cpt_Index,Tab_Compteur_3[[#This Row],[Index]]-E9,Tab_Compteur_3[[#This Row],[Quantité]])/Tab_Compteur_3[[#This Row],[Delta Jour]],""))</f>
        <v/>
      </c>
      <c r="H10" s="186" t="str">
        <f>IFERROR(Tab_Compteur_3[[#This Row],[Montant]]/Tab_Compteur_3[[#This Row],[Delta Jour]],"")</f>
        <v/>
      </c>
      <c r="I10" s="214" t="str">
        <f t="shared" si="1"/>
        <v/>
      </c>
      <c r="J10" s="210"/>
      <c r="K10" s="173"/>
      <c r="L10" s="173"/>
      <c r="M10" s="173"/>
    </row>
    <row r="11" spans="1:13" ht="15" customHeight="1">
      <c r="A11" s="55">
        <f t="shared" si="2"/>
        <v>1</v>
      </c>
      <c r="B11" s="87"/>
      <c r="C11" s="442"/>
      <c r="D11" s="442"/>
      <c r="E11" s="198"/>
      <c r="F11" s="186">
        <f t="shared" si="0"/>
        <v>0</v>
      </c>
      <c r="G11" t="str">
        <f>IF(IFERROR(IF(Str_TypeDonneesCpt3=Cpt_Index,Tab_Compteur_3[[#This Row],[Index]]-E10,Tab_Compteur_3[[#This Row],[Quantité]])/Tab_Compteur_3[[#This Row],[Delta Jour]],"")&lt;0,"",IFERROR(IF(Str_TypeDonneesCpt3=Cpt_Index,Tab_Compteur_3[[#This Row],[Index]]-E10,Tab_Compteur_3[[#This Row],[Quantité]])/Tab_Compteur_3[[#This Row],[Delta Jour]],""))</f>
        <v/>
      </c>
      <c r="H11" s="186" t="str">
        <f>IFERROR(Tab_Compteur_3[[#This Row],[Montant]]/Tab_Compteur_3[[#This Row],[Delta Jour]],"")</f>
        <v/>
      </c>
      <c r="I11" s="214" t="str">
        <f t="shared" si="1"/>
        <v/>
      </c>
      <c r="J11" s="211"/>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55">
        <f t="shared" si="2"/>
        <v>1</v>
      </c>
      <c r="B12" s="87"/>
      <c r="C12" s="442"/>
      <c r="D12" s="442"/>
      <c r="E12" s="198"/>
      <c r="F12" s="186">
        <f t="shared" si="0"/>
        <v>0</v>
      </c>
      <c r="G12" t="str">
        <f>IF(IFERROR(IF(Str_TypeDonneesCpt3=Cpt_Index,Tab_Compteur_3[[#This Row],[Index]]-E11,Tab_Compteur_3[[#This Row],[Quantité]])/Tab_Compteur_3[[#This Row],[Delta Jour]],"")&lt;0,"",IFERROR(IF(Str_TypeDonneesCpt3=Cpt_Index,Tab_Compteur_3[[#This Row],[Index]]-E11,Tab_Compteur_3[[#This Row],[Quantité]])/Tab_Compteur_3[[#This Row],[Delta Jour]],""))</f>
        <v/>
      </c>
      <c r="H12" s="186" t="str">
        <f>IFERROR(Tab_Compteur_3[[#This Row],[Montant]]/Tab_Compteur_3[[#This Row],[Delta Jour]],"")</f>
        <v/>
      </c>
      <c r="I12" s="214" t="str">
        <f t="shared" si="1"/>
        <v/>
      </c>
      <c r="J12" s="211"/>
      <c r="K12" s="599"/>
      <c r="L12" s="599"/>
      <c r="M12" s="599"/>
    </row>
    <row r="13" spans="1:13">
      <c r="A13" s="55">
        <f t="shared" si="2"/>
        <v>1</v>
      </c>
      <c r="B13" s="87"/>
      <c r="C13" s="442"/>
      <c r="D13" s="442"/>
      <c r="E13" s="198"/>
      <c r="F13" s="186">
        <f t="shared" si="0"/>
        <v>0</v>
      </c>
      <c r="G13" t="str">
        <f>IF(IFERROR(IF(Str_TypeDonneesCpt3=Cpt_Index,Tab_Compteur_3[[#This Row],[Index]]-E12,Tab_Compteur_3[[#This Row],[Quantité]])/Tab_Compteur_3[[#This Row],[Delta Jour]],"")&lt;0,"",IFERROR(IF(Str_TypeDonneesCpt3=Cpt_Index,Tab_Compteur_3[[#This Row],[Index]]-E12,Tab_Compteur_3[[#This Row],[Quantité]])/Tab_Compteur_3[[#This Row],[Delta Jour]],""))</f>
        <v/>
      </c>
      <c r="H13" s="186" t="str">
        <f>IFERROR(Tab_Compteur_3[[#This Row],[Montant]]/Tab_Compteur_3[[#This Row],[Delta Jour]],"")</f>
        <v/>
      </c>
      <c r="I13" s="214" t="str">
        <f t="shared" si="1"/>
        <v/>
      </c>
      <c r="J13" s="185"/>
      <c r="K13" s="599"/>
      <c r="L13" s="599"/>
      <c r="M13" s="599"/>
    </row>
    <row r="14" spans="1:13">
      <c r="A14" s="55">
        <f t="shared" si="2"/>
        <v>1</v>
      </c>
      <c r="B14" s="87"/>
      <c r="C14" s="442"/>
      <c r="D14" s="442"/>
      <c r="E14" s="198"/>
      <c r="F14" s="186">
        <f t="shared" si="0"/>
        <v>0</v>
      </c>
      <c r="G14" t="str">
        <f>IF(IFERROR(IF(Str_TypeDonneesCpt3=Cpt_Index,Tab_Compteur_3[[#This Row],[Index]]-E13,Tab_Compteur_3[[#This Row],[Quantité]])/Tab_Compteur_3[[#This Row],[Delta Jour]],"")&lt;0,"",IFERROR(IF(Str_TypeDonneesCpt3=Cpt_Index,Tab_Compteur_3[[#This Row],[Index]]-E13,Tab_Compteur_3[[#This Row],[Quantité]])/Tab_Compteur_3[[#This Row],[Delta Jour]],""))</f>
        <v/>
      </c>
      <c r="H14" s="186" t="str">
        <f>IFERROR(Tab_Compteur_3[[#This Row],[Montant]]/Tab_Compteur_3[[#This Row],[Delta Jour]],"")</f>
        <v/>
      </c>
      <c r="I14" s="214" t="str">
        <f t="shared" si="1"/>
        <v/>
      </c>
      <c r="J14" s="211"/>
      <c r="K14" s="599"/>
      <c r="L14" s="599"/>
      <c r="M14" s="599"/>
    </row>
    <row r="15" spans="1:13">
      <c r="A15" s="55">
        <f t="shared" si="2"/>
        <v>1</v>
      </c>
      <c r="B15" s="87"/>
      <c r="C15" s="442"/>
      <c r="D15" s="442"/>
      <c r="E15" s="198"/>
      <c r="F15" s="186">
        <f t="shared" si="0"/>
        <v>0</v>
      </c>
      <c r="G15" t="str">
        <f>IF(IFERROR(IF(Str_TypeDonneesCpt3=Cpt_Index,Tab_Compteur_3[[#This Row],[Index]]-E14,Tab_Compteur_3[[#This Row],[Quantité]])/Tab_Compteur_3[[#This Row],[Delta Jour]],"")&lt;0,"",IFERROR(IF(Str_TypeDonneesCpt3=Cpt_Index,Tab_Compteur_3[[#This Row],[Index]]-E14,Tab_Compteur_3[[#This Row],[Quantité]])/Tab_Compteur_3[[#This Row],[Delta Jour]],""))</f>
        <v/>
      </c>
      <c r="H15" s="186" t="str">
        <f>IFERROR(Tab_Compteur_3[[#This Row],[Montant]]/Tab_Compteur_3[[#This Row],[Delta Jour]],"")</f>
        <v/>
      </c>
      <c r="I15" s="214" t="str">
        <f t="shared" si="1"/>
        <v/>
      </c>
      <c r="J15" s="185"/>
      <c r="K15" s="599"/>
      <c r="L15" s="599"/>
      <c r="M15" s="599"/>
    </row>
    <row r="16" spans="1:13">
      <c r="A16" s="55">
        <f t="shared" si="2"/>
        <v>1</v>
      </c>
      <c r="B16" s="87"/>
      <c r="C16" s="442"/>
      <c r="D16" s="442"/>
      <c r="E16" s="198"/>
      <c r="F16" s="186">
        <f t="shared" si="0"/>
        <v>0</v>
      </c>
      <c r="G16" t="str">
        <f>IF(IFERROR(IF(Str_TypeDonneesCpt3=Cpt_Index,Tab_Compteur_3[[#This Row],[Index]]-E15,Tab_Compteur_3[[#This Row],[Quantité]])/Tab_Compteur_3[[#This Row],[Delta Jour]],"")&lt;0,"",IFERROR(IF(Str_TypeDonneesCpt3=Cpt_Index,Tab_Compteur_3[[#This Row],[Index]]-E15,Tab_Compteur_3[[#This Row],[Quantité]])/Tab_Compteur_3[[#This Row],[Delta Jour]],""))</f>
        <v/>
      </c>
      <c r="H16" s="186" t="str">
        <f>IFERROR(Tab_Compteur_3[[#This Row],[Montant]]/Tab_Compteur_3[[#This Row],[Delta Jour]],"")</f>
        <v/>
      </c>
      <c r="I16" s="214" t="str">
        <f t="shared" si="1"/>
        <v/>
      </c>
      <c r="J16" s="185"/>
      <c r="K16" s="599"/>
      <c r="L16" s="599"/>
      <c r="M16" s="599"/>
    </row>
    <row r="17" spans="1:13">
      <c r="A17" s="55">
        <f t="shared" si="2"/>
        <v>1</v>
      </c>
      <c r="B17" s="87"/>
      <c r="C17" s="442"/>
      <c r="D17" s="442"/>
      <c r="E17" s="198"/>
      <c r="F17" s="186">
        <f t="shared" si="0"/>
        <v>0</v>
      </c>
      <c r="G17" t="str">
        <f>IF(IFERROR(IF(Str_TypeDonneesCpt3=Cpt_Index,Tab_Compteur_3[[#This Row],[Index]]-E16,Tab_Compteur_3[[#This Row],[Quantité]])/Tab_Compteur_3[[#This Row],[Delta Jour]],"")&lt;0,"",IFERROR(IF(Str_TypeDonneesCpt3=Cpt_Index,Tab_Compteur_3[[#This Row],[Index]]-E16,Tab_Compteur_3[[#This Row],[Quantité]])/Tab_Compteur_3[[#This Row],[Delta Jour]],""))</f>
        <v/>
      </c>
      <c r="H17" s="186" t="str">
        <f>IFERROR(Tab_Compteur_3[[#This Row],[Montant]]/Tab_Compteur_3[[#This Row],[Delta Jour]],"")</f>
        <v/>
      </c>
      <c r="I17" s="214" t="str">
        <f t="shared" si="1"/>
        <v/>
      </c>
      <c r="J17" s="211"/>
      <c r="K17" s="599"/>
      <c r="L17" s="599"/>
      <c r="M17" s="599"/>
    </row>
    <row r="18" spans="1:13">
      <c r="A18" s="55">
        <f t="shared" si="2"/>
        <v>1</v>
      </c>
      <c r="B18" s="87"/>
      <c r="C18" s="442"/>
      <c r="D18" s="442"/>
      <c r="E18" s="198"/>
      <c r="F18" s="186">
        <f t="shared" si="0"/>
        <v>0</v>
      </c>
      <c r="G18" t="str">
        <f>IF(IFERROR(IF(Str_TypeDonneesCpt3=Cpt_Index,Tab_Compteur_3[[#This Row],[Index]]-E17,Tab_Compteur_3[[#This Row],[Quantité]])/Tab_Compteur_3[[#This Row],[Delta Jour]],"")&lt;0,"",IFERROR(IF(Str_TypeDonneesCpt3=Cpt_Index,Tab_Compteur_3[[#This Row],[Index]]-E17,Tab_Compteur_3[[#This Row],[Quantité]])/Tab_Compteur_3[[#This Row],[Delta Jour]],""))</f>
        <v/>
      </c>
      <c r="H18" s="186" t="str">
        <f>IFERROR(Tab_Compteur_3[[#This Row],[Montant]]/Tab_Compteur_3[[#This Row],[Delta Jour]],"")</f>
        <v/>
      </c>
      <c r="I18" s="214" t="str">
        <f t="shared" si="1"/>
        <v/>
      </c>
      <c r="J18" s="211"/>
      <c r="K18" s="599"/>
      <c r="L18" s="599"/>
      <c r="M18" s="599"/>
    </row>
    <row r="19" spans="1:13">
      <c r="A19" s="55">
        <f t="shared" si="2"/>
        <v>1</v>
      </c>
      <c r="B19" s="87"/>
      <c r="C19" s="442"/>
      <c r="D19" s="442"/>
      <c r="E19" s="198"/>
      <c r="F19" s="186">
        <f t="shared" si="0"/>
        <v>0</v>
      </c>
      <c r="G19" t="str">
        <f>IF(IFERROR(IF(Str_TypeDonneesCpt3=Cpt_Index,Tab_Compteur_3[[#This Row],[Index]]-E18,Tab_Compteur_3[[#This Row],[Quantité]])/Tab_Compteur_3[[#This Row],[Delta Jour]],"")&lt;0,"",IFERROR(IF(Str_TypeDonneesCpt3=Cpt_Index,Tab_Compteur_3[[#This Row],[Index]]-E18,Tab_Compteur_3[[#This Row],[Quantité]])/Tab_Compteur_3[[#This Row],[Delta Jour]],""))</f>
        <v/>
      </c>
      <c r="H19" s="186" t="str">
        <f>IFERROR(Tab_Compteur_3[[#This Row],[Montant]]/Tab_Compteur_3[[#This Row],[Delta Jour]],"")</f>
        <v/>
      </c>
      <c r="I19" s="214" t="str">
        <f t="shared" si="1"/>
        <v/>
      </c>
      <c r="J19" s="211"/>
      <c r="K19" s="599"/>
      <c r="L19" s="599"/>
      <c r="M19" s="599"/>
    </row>
    <row r="20" spans="1:13">
      <c r="A20" s="55">
        <f t="shared" si="2"/>
        <v>1</v>
      </c>
      <c r="B20" s="87"/>
      <c r="C20" s="442"/>
      <c r="D20" s="442"/>
      <c r="E20" s="186"/>
      <c r="F20" s="186">
        <f t="shared" si="0"/>
        <v>0</v>
      </c>
      <c r="G20" t="str">
        <f>IF(IFERROR(IF(Str_TypeDonneesCpt3=Cpt_Index,Tab_Compteur_3[[#This Row],[Index]]-E19,Tab_Compteur_3[[#This Row],[Quantité]])/Tab_Compteur_3[[#This Row],[Delta Jour]],"")&lt;0,"",IFERROR(IF(Str_TypeDonneesCpt3=Cpt_Index,Tab_Compteur_3[[#This Row],[Index]]-E19,Tab_Compteur_3[[#This Row],[Quantité]])/Tab_Compteur_3[[#This Row],[Delta Jour]],""))</f>
        <v/>
      </c>
      <c r="H20" s="186" t="str">
        <f>IFERROR(Tab_Compteur_3[[#This Row],[Montant]]/Tab_Compteur_3[[#This Row],[Delta Jour]],"")</f>
        <v/>
      </c>
      <c r="I20" s="212" t="str">
        <f t="shared" si="1"/>
        <v/>
      </c>
      <c r="J20" s="211"/>
      <c r="K20" s="599"/>
      <c r="L20" s="599"/>
      <c r="M20" s="599"/>
    </row>
    <row r="21" spans="1:13">
      <c r="A21" s="55">
        <f t="shared" si="2"/>
        <v>1</v>
      </c>
      <c r="B21" s="87"/>
      <c r="C21" s="442"/>
      <c r="D21" s="442"/>
      <c r="E21" s="186"/>
      <c r="F21" s="186">
        <f t="shared" si="0"/>
        <v>0</v>
      </c>
      <c r="G21" t="str">
        <f>IF(IFERROR(IF(Str_TypeDonneesCpt3=Cpt_Index,Tab_Compteur_3[[#This Row],[Index]]-E20,Tab_Compteur_3[[#This Row],[Quantité]])/Tab_Compteur_3[[#This Row],[Delta Jour]],"")&lt;0,"",IFERROR(IF(Str_TypeDonneesCpt3=Cpt_Index,Tab_Compteur_3[[#This Row],[Index]]-E20,Tab_Compteur_3[[#This Row],[Quantité]])/Tab_Compteur_3[[#This Row],[Delta Jour]],""))</f>
        <v/>
      </c>
      <c r="H21" s="186" t="str">
        <f>IFERROR(Tab_Compteur_3[[#This Row],[Montant]]/Tab_Compteur_3[[#This Row],[Delta Jour]],"")</f>
        <v/>
      </c>
      <c r="I21" s="212" t="str">
        <f t="shared" si="1"/>
        <v/>
      </c>
      <c r="J21" s="211"/>
      <c r="K21" s="599"/>
      <c r="L21" s="599"/>
      <c r="M21" s="599"/>
    </row>
    <row r="22" spans="1:13">
      <c r="A22" s="55">
        <f t="shared" si="2"/>
        <v>1</v>
      </c>
      <c r="B22" s="87"/>
      <c r="C22" s="442"/>
      <c r="D22" s="442"/>
      <c r="E22" s="186"/>
      <c r="F22" s="186">
        <f t="shared" si="0"/>
        <v>0</v>
      </c>
      <c r="G22" t="str">
        <f>IF(IFERROR(IF(Str_TypeDonneesCpt3=Cpt_Index,Tab_Compteur_3[[#This Row],[Index]]-E21,Tab_Compteur_3[[#This Row],[Quantité]])/Tab_Compteur_3[[#This Row],[Delta Jour]],"")&lt;0,"",IFERROR(IF(Str_TypeDonneesCpt3=Cpt_Index,Tab_Compteur_3[[#This Row],[Index]]-E21,Tab_Compteur_3[[#This Row],[Quantité]])/Tab_Compteur_3[[#This Row],[Delta Jour]],""))</f>
        <v/>
      </c>
      <c r="H22" s="186" t="str">
        <f>IFERROR(Tab_Compteur_3[[#This Row],[Montant]]/Tab_Compteur_3[[#This Row],[Delta Jour]],"")</f>
        <v/>
      </c>
      <c r="I22" s="212" t="str">
        <f t="shared" si="1"/>
        <v/>
      </c>
      <c r="J22" s="211"/>
      <c r="K22" s="599"/>
      <c r="L22" s="599"/>
      <c r="M22" s="599"/>
    </row>
    <row r="23" spans="1:13">
      <c r="A23" s="55">
        <f t="shared" si="2"/>
        <v>1</v>
      </c>
      <c r="B23" s="87"/>
      <c r="C23" s="442"/>
      <c r="D23" s="442"/>
      <c r="E23" s="186"/>
      <c r="F23" s="186">
        <f t="shared" si="0"/>
        <v>0</v>
      </c>
      <c r="G23" t="str">
        <f>IF(IFERROR(IF(Str_TypeDonneesCpt3=Cpt_Index,Tab_Compteur_3[[#This Row],[Index]]-E22,Tab_Compteur_3[[#This Row],[Quantité]])/Tab_Compteur_3[[#This Row],[Delta Jour]],"")&lt;0,"",IFERROR(IF(Str_TypeDonneesCpt3=Cpt_Index,Tab_Compteur_3[[#This Row],[Index]]-E22,Tab_Compteur_3[[#This Row],[Quantité]])/Tab_Compteur_3[[#This Row],[Delta Jour]],""))</f>
        <v/>
      </c>
      <c r="H23" s="186" t="str">
        <f>IFERROR(Tab_Compteur_3[[#This Row],[Montant]]/Tab_Compteur_3[[#This Row],[Delta Jour]],"")</f>
        <v/>
      </c>
      <c r="I23" s="212" t="str">
        <f t="shared" si="1"/>
        <v/>
      </c>
      <c r="J23" s="211"/>
      <c r="K23" s="599"/>
      <c r="L23" s="599"/>
      <c r="M23" s="599"/>
    </row>
    <row r="24" spans="1:13">
      <c r="A24" s="55">
        <f t="shared" si="2"/>
        <v>1</v>
      </c>
      <c r="B24" s="87"/>
      <c r="C24" s="442"/>
      <c r="D24" s="442"/>
      <c r="E24" s="186"/>
      <c r="F24" s="186">
        <f t="shared" si="0"/>
        <v>0</v>
      </c>
      <c r="G24" t="str">
        <f>IF(IFERROR(IF(Str_TypeDonneesCpt3=Cpt_Index,Tab_Compteur_3[[#This Row],[Index]]-E23,Tab_Compteur_3[[#This Row],[Quantité]])/Tab_Compteur_3[[#This Row],[Delta Jour]],"")&lt;0,"",IFERROR(IF(Str_TypeDonneesCpt3=Cpt_Index,Tab_Compteur_3[[#This Row],[Index]]-E23,Tab_Compteur_3[[#This Row],[Quantité]])/Tab_Compteur_3[[#This Row],[Delta Jour]],""))</f>
        <v/>
      </c>
      <c r="H24" s="186" t="str">
        <f>IFERROR(Tab_Compteur_3[[#This Row],[Montant]]/Tab_Compteur_3[[#This Row],[Delta Jour]],"")</f>
        <v/>
      </c>
      <c r="I24" s="212" t="str">
        <f t="shared" si="1"/>
        <v/>
      </c>
      <c r="J24" s="211"/>
      <c r="K24" s="599"/>
      <c r="L24" s="599"/>
      <c r="M24" s="599"/>
    </row>
    <row r="25" spans="1:13">
      <c r="A25" s="55">
        <f t="shared" si="2"/>
        <v>1</v>
      </c>
      <c r="B25" s="231"/>
      <c r="C25" s="189"/>
      <c r="D25" s="199"/>
      <c r="E25" s="186"/>
      <c r="F25" s="186">
        <f t="shared" si="0"/>
        <v>0</v>
      </c>
      <c r="G25" t="str">
        <f>IF(IFERROR(IF(Str_TypeDonneesCpt3=Cpt_Index,Tab_Compteur_3[[#This Row],[Index]]-E24,Tab_Compteur_3[[#This Row],[Quantité]])/Tab_Compteur_3[[#This Row],[Delta Jour]],"")&lt;0,"",IFERROR(IF(Str_TypeDonneesCpt3=Cpt_Index,Tab_Compteur_3[[#This Row],[Index]]-E24,Tab_Compteur_3[[#This Row],[Quantité]])/Tab_Compteur_3[[#This Row],[Delta Jour]],""))</f>
        <v/>
      </c>
      <c r="H25" s="186" t="str">
        <f>IFERROR(Tab_Compteur_3[[#This Row],[Montant]]/Tab_Compteur_3[[#This Row],[Delta Jour]],"")</f>
        <v/>
      </c>
      <c r="I25" s="212" t="str">
        <f t="shared" si="1"/>
        <v/>
      </c>
      <c r="J25" s="211"/>
      <c r="K25" s="599"/>
      <c r="L25" s="599"/>
      <c r="M25" s="599"/>
    </row>
    <row r="26" spans="1:13">
      <c r="A26" s="55">
        <f t="shared" si="2"/>
        <v>1</v>
      </c>
      <c r="B26" s="231"/>
      <c r="C26" s="189"/>
      <c r="D26" s="199"/>
      <c r="E26" s="186"/>
      <c r="F26" s="186">
        <f t="shared" si="0"/>
        <v>0</v>
      </c>
      <c r="G26" t="str">
        <f>IF(IFERROR(IF(Str_TypeDonneesCpt3=Cpt_Index,Tab_Compteur_3[[#This Row],[Index]]-E25,Tab_Compteur_3[[#This Row],[Quantité]])/Tab_Compteur_3[[#This Row],[Delta Jour]],"")&lt;0,"",IFERROR(IF(Str_TypeDonneesCpt3=Cpt_Index,Tab_Compteur_3[[#This Row],[Index]]-E25,Tab_Compteur_3[[#This Row],[Quantité]])/Tab_Compteur_3[[#This Row],[Delta Jour]],""))</f>
        <v/>
      </c>
      <c r="H26" s="186" t="str">
        <f>IFERROR(Tab_Compteur_3[[#This Row],[Montant]]/Tab_Compteur_3[[#This Row],[Delta Jour]],"")</f>
        <v/>
      </c>
      <c r="I26" s="212" t="str">
        <f t="shared" si="1"/>
        <v/>
      </c>
      <c r="J26" s="209"/>
      <c r="K26" s="599"/>
      <c r="L26" s="599"/>
      <c r="M26" s="599"/>
    </row>
    <row r="27" spans="1:13">
      <c r="A27" s="55">
        <f t="shared" si="2"/>
        <v>1</v>
      </c>
      <c r="B27" s="231"/>
      <c r="C27" s="189"/>
      <c r="D27" s="199"/>
      <c r="E27" s="186"/>
      <c r="F27" s="186">
        <f t="shared" si="0"/>
        <v>0</v>
      </c>
      <c r="G27" t="str">
        <f>IF(IFERROR(IF(Str_TypeDonneesCpt3=Cpt_Index,Tab_Compteur_3[[#This Row],[Index]]-E26,Tab_Compteur_3[[#This Row],[Quantité]])/Tab_Compteur_3[[#This Row],[Delta Jour]],"")&lt;0,"",IFERROR(IF(Str_TypeDonneesCpt3=Cpt_Index,Tab_Compteur_3[[#This Row],[Index]]-E26,Tab_Compteur_3[[#This Row],[Quantité]])/Tab_Compteur_3[[#This Row],[Delta Jour]],""))</f>
        <v/>
      </c>
      <c r="H27" s="186" t="str">
        <f>IFERROR(Tab_Compteur_3[[#This Row],[Montant]]/Tab_Compteur_3[[#This Row],[Delta Jour]],"")</f>
        <v/>
      </c>
      <c r="I27" s="212" t="str">
        <f t="shared" si="1"/>
        <v/>
      </c>
      <c r="J27" s="209"/>
      <c r="K27" s="599"/>
      <c r="L27" s="599"/>
      <c r="M27" s="599"/>
    </row>
    <row r="28" spans="1:13">
      <c r="A28" s="55">
        <f t="shared" si="2"/>
        <v>1</v>
      </c>
      <c r="B28" s="231"/>
      <c r="C28" s="189"/>
      <c r="D28" s="199"/>
      <c r="E28" s="186"/>
      <c r="F28" s="186">
        <f t="shared" si="0"/>
        <v>0</v>
      </c>
      <c r="G28" t="str">
        <f>IF(IFERROR(IF(Str_TypeDonneesCpt3=Cpt_Index,Tab_Compteur_3[[#This Row],[Index]]-E27,Tab_Compteur_3[[#This Row],[Quantité]])/Tab_Compteur_3[[#This Row],[Delta Jour]],"")&lt;0,"",IFERROR(IF(Str_TypeDonneesCpt3=Cpt_Index,Tab_Compteur_3[[#This Row],[Index]]-E27,Tab_Compteur_3[[#This Row],[Quantité]])/Tab_Compteur_3[[#This Row],[Delta Jour]],""))</f>
        <v/>
      </c>
      <c r="H28" s="186" t="str">
        <f>IFERROR(Tab_Compteur_3[[#This Row],[Montant]]/Tab_Compteur_3[[#This Row],[Delta Jour]],"")</f>
        <v/>
      </c>
      <c r="I28" s="212" t="str">
        <f t="shared" si="1"/>
        <v/>
      </c>
      <c r="J28" s="209"/>
      <c r="K28" s="599"/>
      <c r="L28" s="599"/>
      <c r="M28" s="599"/>
    </row>
    <row r="29" spans="1:13">
      <c r="A29" s="55">
        <f t="shared" si="2"/>
        <v>1</v>
      </c>
      <c r="B29" s="231"/>
      <c r="C29" s="189"/>
      <c r="D29" s="199"/>
      <c r="E29" s="186"/>
      <c r="F29" s="186">
        <f t="shared" si="0"/>
        <v>0</v>
      </c>
      <c r="G29" t="str">
        <f>IF(IFERROR(IF(Str_TypeDonneesCpt3=Cpt_Index,Tab_Compteur_3[[#This Row],[Index]]-E28,Tab_Compteur_3[[#This Row],[Quantité]])/Tab_Compteur_3[[#This Row],[Delta Jour]],"")&lt;0,"",IFERROR(IF(Str_TypeDonneesCpt3=Cpt_Index,Tab_Compteur_3[[#This Row],[Index]]-E28,Tab_Compteur_3[[#This Row],[Quantité]])/Tab_Compteur_3[[#This Row],[Delta Jour]],""))</f>
        <v/>
      </c>
      <c r="H29" s="186" t="str">
        <f>IFERROR(Tab_Compteur_3[[#This Row],[Montant]]/Tab_Compteur_3[[#This Row],[Delta Jour]],"")</f>
        <v/>
      </c>
      <c r="I29" s="212" t="str">
        <f t="shared" si="1"/>
        <v/>
      </c>
      <c r="J29" s="209"/>
      <c r="K29" s="599"/>
      <c r="L29" s="599"/>
      <c r="M29" s="599"/>
    </row>
    <row r="30" spans="1:13">
      <c r="A30" s="55">
        <f t="shared" si="2"/>
        <v>1</v>
      </c>
      <c r="B30" s="231"/>
      <c r="C30" s="192"/>
      <c r="D30" s="191"/>
      <c r="E30" s="186"/>
      <c r="F30" s="186">
        <f t="shared" si="0"/>
        <v>0</v>
      </c>
      <c r="G30" t="str">
        <f>IF(IFERROR(IF(Str_TypeDonneesCpt3=Cpt_Index,Tab_Compteur_3[[#This Row],[Index]]-E29,Tab_Compteur_3[[#This Row],[Quantité]])/Tab_Compteur_3[[#This Row],[Delta Jour]],"")&lt;0,"",IFERROR(IF(Str_TypeDonneesCpt3=Cpt_Index,Tab_Compteur_3[[#This Row],[Index]]-E29,Tab_Compteur_3[[#This Row],[Quantité]])/Tab_Compteur_3[[#This Row],[Delta Jour]],""))</f>
        <v/>
      </c>
      <c r="H30" s="186" t="str">
        <f>IFERROR(Tab_Compteur_3[[#This Row],[Montant]]/Tab_Compteur_3[[#This Row],[Delta Jour]],"")</f>
        <v/>
      </c>
      <c r="I30" s="212" t="str">
        <f t="shared" si="1"/>
        <v/>
      </c>
      <c r="J30" s="209"/>
      <c r="K30" s="599"/>
      <c r="L30" s="599"/>
      <c r="M30" s="599"/>
    </row>
    <row r="31" spans="1:13">
      <c r="A31" s="55">
        <f t="shared" si="2"/>
        <v>1</v>
      </c>
      <c r="B31" s="231"/>
      <c r="C31" s="192"/>
      <c r="D31" s="191"/>
      <c r="E31" s="186"/>
      <c r="F31" s="186">
        <f t="shared" si="0"/>
        <v>0</v>
      </c>
      <c r="G31" t="str">
        <f>IF(IFERROR(IF(Str_TypeDonneesCpt3=Cpt_Index,Tab_Compteur_3[[#This Row],[Index]]-E30,Tab_Compteur_3[[#This Row],[Quantité]])/Tab_Compteur_3[[#This Row],[Delta Jour]],"")&lt;0,"",IFERROR(IF(Str_TypeDonneesCpt3=Cpt_Index,Tab_Compteur_3[[#This Row],[Index]]-E30,Tab_Compteur_3[[#This Row],[Quantité]])/Tab_Compteur_3[[#This Row],[Delta Jour]],""))</f>
        <v/>
      </c>
      <c r="H31" s="186" t="str">
        <f>IFERROR(Tab_Compteur_3[[#This Row],[Montant]]/Tab_Compteur_3[[#This Row],[Delta Jour]],"")</f>
        <v/>
      </c>
      <c r="I31" s="212" t="str">
        <f t="shared" si="1"/>
        <v/>
      </c>
      <c r="J31" s="209"/>
      <c r="K31" s="599"/>
      <c r="L31" s="599"/>
      <c r="M31" s="599"/>
    </row>
    <row r="32" spans="1:13">
      <c r="A32" s="55">
        <f t="shared" si="2"/>
        <v>1</v>
      </c>
      <c r="B32" s="231"/>
      <c r="C32" s="192"/>
      <c r="D32" s="191"/>
      <c r="E32" s="186"/>
      <c r="F32" s="186">
        <f t="shared" si="0"/>
        <v>0</v>
      </c>
      <c r="G32" t="str">
        <f>IF(IFERROR(IF(Str_TypeDonneesCpt3=Cpt_Index,Tab_Compteur_3[[#This Row],[Index]]-E31,Tab_Compteur_3[[#This Row],[Quantité]])/Tab_Compteur_3[[#This Row],[Delta Jour]],"")&lt;0,"",IFERROR(IF(Str_TypeDonneesCpt3=Cpt_Index,Tab_Compteur_3[[#This Row],[Index]]-E31,Tab_Compteur_3[[#This Row],[Quantité]])/Tab_Compteur_3[[#This Row],[Delta Jour]],""))</f>
        <v/>
      </c>
      <c r="H32" s="186" t="str">
        <f>IFERROR(Tab_Compteur_3[[#This Row],[Montant]]/Tab_Compteur_3[[#This Row],[Delta Jour]],"")</f>
        <v/>
      </c>
      <c r="I32" s="212" t="str">
        <f t="shared" si="1"/>
        <v/>
      </c>
      <c r="J32" s="209"/>
      <c r="K32" s="599"/>
      <c r="L32" s="599"/>
      <c r="M32" s="599"/>
    </row>
    <row r="33" spans="1:13">
      <c r="A33" s="55">
        <f t="shared" si="2"/>
        <v>1</v>
      </c>
      <c r="B33" s="231"/>
      <c r="C33" s="192"/>
      <c r="D33" s="191"/>
      <c r="E33" s="186"/>
      <c r="F33" s="186">
        <f t="shared" si="0"/>
        <v>0</v>
      </c>
      <c r="G33" t="str">
        <f>IF(IFERROR(IF(Str_TypeDonneesCpt3=Cpt_Index,Tab_Compteur_3[[#This Row],[Index]]-E32,Tab_Compteur_3[[#This Row],[Quantité]])/Tab_Compteur_3[[#This Row],[Delta Jour]],"")&lt;0,"",IFERROR(IF(Str_TypeDonneesCpt3=Cpt_Index,Tab_Compteur_3[[#This Row],[Index]]-E32,Tab_Compteur_3[[#This Row],[Quantité]])/Tab_Compteur_3[[#This Row],[Delta Jour]],""))</f>
        <v/>
      </c>
      <c r="H33" s="186" t="str">
        <f>IFERROR(Tab_Compteur_3[[#This Row],[Montant]]/Tab_Compteur_3[[#This Row],[Delta Jour]],"")</f>
        <v/>
      </c>
      <c r="I33" s="212" t="str">
        <f t="shared" si="1"/>
        <v/>
      </c>
      <c r="J33" s="209"/>
      <c r="K33" s="599"/>
      <c r="L33" s="599"/>
      <c r="M33" s="599"/>
    </row>
    <row r="34" spans="1:13">
      <c r="A34" s="55">
        <f t="shared" si="2"/>
        <v>1</v>
      </c>
      <c r="B34" s="231"/>
      <c r="C34" s="192"/>
      <c r="D34" s="191"/>
      <c r="E34" s="186"/>
      <c r="F34" s="186">
        <f t="shared" si="0"/>
        <v>0</v>
      </c>
      <c r="G34" t="str">
        <f>IF(IFERROR(IF(Str_TypeDonneesCpt3=Cpt_Index,Tab_Compteur_3[[#This Row],[Index]]-E33,Tab_Compteur_3[[#This Row],[Quantité]])/Tab_Compteur_3[[#This Row],[Delta Jour]],"")&lt;0,"",IFERROR(IF(Str_TypeDonneesCpt3=Cpt_Index,Tab_Compteur_3[[#This Row],[Index]]-E33,Tab_Compteur_3[[#This Row],[Quantité]])/Tab_Compteur_3[[#This Row],[Delta Jour]],""))</f>
        <v/>
      </c>
      <c r="H34" s="186" t="str">
        <f>IFERROR(Tab_Compteur_3[[#This Row],[Montant]]/Tab_Compteur_3[[#This Row],[Delta Jour]],"")</f>
        <v/>
      </c>
      <c r="I34" s="212" t="str">
        <f t="shared" si="1"/>
        <v/>
      </c>
      <c r="J34" s="209"/>
      <c r="K34" s="277" t="s">
        <v>511</v>
      </c>
      <c r="L34" s="38"/>
      <c r="M34" s="38"/>
    </row>
    <row r="35" spans="1:13">
      <c r="A35" s="55">
        <f t="shared" si="2"/>
        <v>1</v>
      </c>
      <c r="B35" s="231"/>
      <c r="C35" s="192"/>
      <c r="D35" s="191"/>
      <c r="E35" s="186"/>
      <c r="F35" s="186">
        <f t="shared" si="0"/>
        <v>0</v>
      </c>
      <c r="G35" t="str">
        <f>IF(IFERROR(IF(Str_TypeDonneesCpt3=Cpt_Index,Tab_Compteur_3[[#This Row],[Index]]-E34,Tab_Compteur_3[[#This Row],[Quantité]])/Tab_Compteur_3[[#This Row],[Delta Jour]],"")&lt;0,"",IFERROR(IF(Str_TypeDonneesCpt3=Cpt_Index,Tab_Compteur_3[[#This Row],[Index]]-E34,Tab_Compteur_3[[#This Row],[Quantité]])/Tab_Compteur_3[[#This Row],[Delta Jour]],""))</f>
        <v/>
      </c>
      <c r="H35" s="186" t="str">
        <f>IFERROR(Tab_Compteur_3[[#This Row],[Montant]]/Tab_Compteur_3[[#This Row],[Delta Jour]],"")</f>
        <v/>
      </c>
      <c r="I35" s="212" t="str">
        <f t="shared" si="1"/>
        <v/>
      </c>
      <c r="J35" s="209"/>
      <c r="K35" s="278" t="s">
        <v>512</v>
      </c>
      <c r="L35" s="38"/>
      <c r="M35" s="38"/>
    </row>
    <row r="36" spans="1:13">
      <c r="A36" s="55">
        <f t="shared" si="2"/>
        <v>1</v>
      </c>
      <c r="B36" s="231"/>
      <c r="C36" s="192"/>
      <c r="D36" s="191"/>
      <c r="E36" s="186"/>
      <c r="F36" s="186">
        <f t="shared" si="0"/>
        <v>0</v>
      </c>
      <c r="G36" t="str">
        <f>IF(IFERROR(IF(Str_TypeDonneesCpt3=Cpt_Index,Tab_Compteur_3[[#This Row],[Index]]-E35,Tab_Compteur_3[[#This Row],[Quantité]])/Tab_Compteur_3[[#This Row],[Delta Jour]],"")&lt;0,"",IFERROR(IF(Str_TypeDonneesCpt3=Cpt_Index,Tab_Compteur_3[[#This Row],[Index]]-E35,Tab_Compteur_3[[#This Row],[Quantité]])/Tab_Compteur_3[[#This Row],[Delta Jour]],""))</f>
        <v/>
      </c>
      <c r="H36" s="186" t="str">
        <f>IFERROR(Tab_Compteur_3[[#This Row],[Montant]]/Tab_Compteur_3[[#This Row],[Delta Jour]],"")</f>
        <v/>
      </c>
      <c r="I36" s="212" t="str">
        <f t="shared" si="1"/>
        <v/>
      </c>
      <c r="J36" s="209"/>
      <c r="K36" s="277" t="s">
        <v>513</v>
      </c>
      <c r="L36" s="38"/>
      <c r="M36" s="38"/>
    </row>
    <row r="37" spans="1:13">
      <c r="A37" s="55">
        <f t="shared" si="2"/>
        <v>1</v>
      </c>
      <c r="B37" s="231"/>
      <c r="C37" s="192"/>
      <c r="D37" s="191"/>
      <c r="E37" s="186"/>
      <c r="F37" s="186">
        <f t="shared" si="0"/>
        <v>0</v>
      </c>
      <c r="G37" t="str">
        <f>IF(IFERROR(IF(Str_TypeDonneesCpt3=Cpt_Index,Tab_Compteur_3[[#This Row],[Index]]-E36,Tab_Compteur_3[[#This Row],[Quantité]])/Tab_Compteur_3[[#This Row],[Delta Jour]],"")&lt;0,"",IFERROR(IF(Str_TypeDonneesCpt3=Cpt_Index,Tab_Compteur_3[[#This Row],[Index]]-E36,Tab_Compteur_3[[#This Row],[Quantité]])/Tab_Compteur_3[[#This Row],[Delta Jour]],""))</f>
        <v/>
      </c>
      <c r="H37" s="186" t="str">
        <f>IFERROR(Tab_Compteur_3[[#This Row],[Montant]]/Tab_Compteur_3[[#This Row],[Delta Jour]],"")</f>
        <v/>
      </c>
      <c r="I37" s="212" t="str">
        <f t="shared" si="1"/>
        <v/>
      </c>
      <c r="J37" s="209"/>
      <c r="K37" s="278" t="s">
        <v>514</v>
      </c>
      <c r="L37" s="38"/>
      <c r="M37" s="38"/>
    </row>
    <row r="38" spans="1:13">
      <c r="A38" s="55">
        <f t="shared" si="2"/>
        <v>1</v>
      </c>
      <c r="B38" s="231"/>
      <c r="C38" s="192"/>
      <c r="D38" s="191"/>
      <c r="E38" s="186"/>
      <c r="F38" s="186">
        <f t="shared" si="0"/>
        <v>0</v>
      </c>
      <c r="G38" t="str">
        <f>IF(IFERROR(IF(Str_TypeDonneesCpt3=Cpt_Index,Tab_Compteur_3[[#This Row],[Index]]-E37,Tab_Compteur_3[[#This Row],[Quantité]])/Tab_Compteur_3[[#This Row],[Delta Jour]],"")&lt;0,"",IFERROR(IF(Str_TypeDonneesCpt3=Cpt_Index,Tab_Compteur_3[[#This Row],[Index]]-E37,Tab_Compteur_3[[#This Row],[Quantité]])/Tab_Compteur_3[[#This Row],[Delta Jour]],""))</f>
        <v/>
      </c>
      <c r="H38" s="186" t="str">
        <f>IFERROR(Tab_Compteur_3[[#This Row],[Montant]]/Tab_Compteur_3[[#This Row],[Delta Jour]],"")</f>
        <v/>
      </c>
      <c r="I38" s="212" t="str">
        <f t="shared" si="1"/>
        <v/>
      </c>
      <c r="J38" s="209"/>
      <c r="K38" s="38"/>
      <c r="L38" s="38"/>
      <c r="M38" s="38"/>
    </row>
    <row r="39" spans="1:13">
      <c r="A39" s="55">
        <f t="shared" si="2"/>
        <v>1</v>
      </c>
      <c r="B39" s="231"/>
      <c r="C39" s="192"/>
      <c r="D39" s="191"/>
      <c r="E39" s="186"/>
      <c r="F39" s="186">
        <f t="shared" si="0"/>
        <v>0</v>
      </c>
      <c r="G39" t="str">
        <f>IF(IFERROR(IF(Str_TypeDonneesCpt3=Cpt_Index,Tab_Compteur_3[[#This Row],[Index]]-E38,Tab_Compteur_3[[#This Row],[Quantité]])/Tab_Compteur_3[[#This Row],[Delta Jour]],"")&lt;0,"",IFERROR(IF(Str_TypeDonneesCpt3=Cpt_Index,Tab_Compteur_3[[#This Row],[Index]]-E38,Tab_Compteur_3[[#This Row],[Quantité]])/Tab_Compteur_3[[#This Row],[Delta Jour]],""))</f>
        <v/>
      </c>
      <c r="H39" s="186" t="str">
        <f>IFERROR(Tab_Compteur_3[[#This Row],[Montant]]/Tab_Compteur_3[[#This Row],[Delta Jour]],"")</f>
        <v/>
      </c>
      <c r="I39" s="212" t="str">
        <f t="shared" si="1"/>
        <v/>
      </c>
      <c r="J39" s="209"/>
      <c r="K39" s="38"/>
      <c r="L39" s="38"/>
      <c r="M39" s="38"/>
    </row>
    <row r="40" spans="1:13">
      <c r="A40" s="55">
        <f t="shared" si="2"/>
        <v>1</v>
      </c>
      <c r="B40" s="231"/>
      <c r="C40" s="192"/>
      <c r="D40" s="191"/>
      <c r="E40" s="186"/>
      <c r="F40" s="186">
        <f t="shared" si="0"/>
        <v>0</v>
      </c>
      <c r="G40" t="str">
        <f>IF(IFERROR(IF(Str_TypeDonneesCpt3=Cpt_Index,Tab_Compteur_3[[#This Row],[Index]]-E39,Tab_Compteur_3[[#This Row],[Quantité]])/Tab_Compteur_3[[#This Row],[Delta Jour]],"")&lt;0,"",IFERROR(IF(Str_TypeDonneesCpt3=Cpt_Index,Tab_Compteur_3[[#This Row],[Index]]-E39,Tab_Compteur_3[[#This Row],[Quantité]])/Tab_Compteur_3[[#This Row],[Delta Jour]],""))</f>
        <v/>
      </c>
      <c r="H40" s="186" t="str">
        <f>IFERROR(Tab_Compteur_3[[#This Row],[Montant]]/Tab_Compteur_3[[#This Row],[Delta Jour]],"")</f>
        <v/>
      </c>
      <c r="I40" s="212" t="str">
        <f t="shared" si="1"/>
        <v/>
      </c>
      <c r="J40" s="209"/>
      <c r="K40" s="38"/>
      <c r="L40" s="38"/>
      <c r="M40" s="38"/>
    </row>
    <row r="41" spans="1:13">
      <c r="A41" s="55">
        <f t="shared" si="2"/>
        <v>1</v>
      </c>
      <c r="B41" s="231"/>
      <c r="C41" s="192"/>
      <c r="D41" s="191"/>
      <c r="E41" s="186"/>
      <c r="F41" s="186">
        <f t="shared" si="0"/>
        <v>0</v>
      </c>
      <c r="G41" t="str">
        <f>IF(IFERROR(IF(Str_TypeDonneesCpt3=Cpt_Index,Tab_Compteur_3[[#This Row],[Index]]-E40,Tab_Compteur_3[[#This Row],[Quantité]])/Tab_Compteur_3[[#This Row],[Delta Jour]],"")&lt;0,"",IFERROR(IF(Str_TypeDonneesCpt3=Cpt_Index,Tab_Compteur_3[[#This Row],[Index]]-E40,Tab_Compteur_3[[#This Row],[Quantité]])/Tab_Compteur_3[[#This Row],[Delta Jour]],""))</f>
        <v/>
      </c>
      <c r="H41" s="186" t="str">
        <f>IFERROR(Tab_Compteur_3[[#This Row],[Montant]]/Tab_Compteur_3[[#This Row],[Delta Jour]],"")</f>
        <v/>
      </c>
      <c r="I41" s="212" t="str">
        <f t="shared" si="1"/>
        <v/>
      </c>
      <c r="J41" s="209"/>
      <c r="K41" s="38"/>
      <c r="L41" s="38"/>
      <c r="M41" s="38"/>
    </row>
    <row r="42" spans="1:13">
      <c r="A42" s="55">
        <f t="shared" si="2"/>
        <v>1</v>
      </c>
      <c r="B42" s="231"/>
      <c r="C42" s="192"/>
      <c r="D42" s="191"/>
      <c r="E42" s="186"/>
      <c r="F42" s="186">
        <f t="shared" si="0"/>
        <v>0</v>
      </c>
      <c r="G42" t="str">
        <f>IF(IFERROR(IF(Str_TypeDonneesCpt3=Cpt_Index,Tab_Compteur_3[[#This Row],[Index]]-E41,Tab_Compteur_3[[#This Row],[Quantité]])/Tab_Compteur_3[[#This Row],[Delta Jour]],"")&lt;0,"",IFERROR(IF(Str_TypeDonneesCpt3=Cpt_Index,Tab_Compteur_3[[#This Row],[Index]]-E41,Tab_Compteur_3[[#This Row],[Quantité]])/Tab_Compteur_3[[#This Row],[Delta Jour]],""))</f>
        <v/>
      </c>
      <c r="H42" s="186" t="str">
        <f>IFERROR(Tab_Compteur_3[[#This Row],[Montant]]/Tab_Compteur_3[[#This Row],[Delta Jour]],"")</f>
        <v/>
      </c>
      <c r="I42" s="212" t="str">
        <f t="shared" si="1"/>
        <v/>
      </c>
      <c r="J42" s="209"/>
      <c r="K42" s="38"/>
      <c r="L42" s="38"/>
      <c r="M42" s="38"/>
    </row>
    <row r="43" spans="1:13">
      <c r="A43" s="55">
        <f t="shared" si="2"/>
        <v>1</v>
      </c>
      <c r="B43" s="231"/>
      <c r="C43" s="192"/>
      <c r="D43" s="191"/>
      <c r="E43" s="186"/>
      <c r="F43" s="186">
        <f t="shared" si="0"/>
        <v>0</v>
      </c>
      <c r="G43" t="str">
        <f>IF(IFERROR(IF(Str_TypeDonneesCpt3=Cpt_Index,Tab_Compteur_3[[#This Row],[Index]]-E42,Tab_Compteur_3[[#This Row],[Quantité]])/Tab_Compteur_3[[#This Row],[Delta Jour]],"")&lt;0,"",IFERROR(IF(Str_TypeDonneesCpt3=Cpt_Index,Tab_Compteur_3[[#This Row],[Index]]-E42,Tab_Compteur_3[[#This Row],[Quantité]])/Tab_Compteur_3[[#This Row],[Delta Jour]],""))</f>
        <v/>
      </c>
      <c r="H43" s="186" t="str">
        <f>IFERROR(Tab_Compteur_3[[#This Row],[Montant]]/Tab_Compteur_3[[#This Row],[Delta Jour]],"")</f>
        <v/>
      </c>
      <c r="I43" s="212" t="str">
        <f t="shared" si="1"/>
        <v/>
      </c>
      <c r="J43" s="209"/>
      <c r="K43" s="38"/>
      <c r="L43" s="38"/>
      <c r="M43" s="38"/>
    </row>
    <row r="44" spans="1:13">
      <c r="A44" s="55">
        <f t="shared" si="2"/>
        <v>1</v>
      </c>
      <c r="B44" s="231"/>
      <c r="C44" s="192"/>
      <c r="D44" s="191"/>
      <c r="E44" s="186"/>
      <c r="F44" s="186">
        <f t="shared" si="0"/>
        <v>0</v>
      </c>
      <c r="G44" t="str">
        <f>IF(IFERROR(IF(Str_TypeDonneesCpt3=Cpt_Index,Tab_Compteur_3[[#This Row],[Index]]-E43,Tab_Compteur_3[[#This Row],[Quantité]])/Tab_Compteur_3[[#This Row],[Delta Jour]],"")&lt;0,"",IFERROR(IF(Str_TypeDonneesCpt3=Cpt_Index,Tab_Compteur_3[[#This Row],[Index]]-E43,Tab_Compteur_3[[#This Row],[Quantité]])/Tab_Compteur_3[[#This Row],[Delta Jour]],""))</f>
        <v/>
      </c>
      <c r="H44" s="186" t="str">
        <f>IFERROR(Tab_Compteur_3[[#This Row],[Montant]]/Tab_Compteur_3[[#This Row],[Delta Jour]],"")</f>
        <v/>
      </c>
      <c r="I44" s="212" t="str">
        <f t="shared" si="1"/>
        <v/>
      </c>
      <c r="J44" s="209"/>
      <c r="K44" s="38"/>
      <c r="L44" s="38"/>
      <c r="M44" s="38"/>
    </row>
    <row r="45" spans="1:13">
      <c r="A45" s="55">
        <f t="shared" si="2"/>
        <v>1</v>
      </c>
      <c r="B45" s="231"/>
      <c r="C45" s="192"/>
      <c r="D45" s="191"/>
      <c r="E45" s="186"/>
      <c r="F45" s="186">
        <f t="shared" si="0"/>
        <v>0</v>
      </c>
      <c r="G45" t="str">
        <f>IF(IFERROR(IF(Str_TypeDonneesCpt3=Cpt_Index,Tab_Compteur_3[[#This Row],[Index]]-E44,Tab_Compteur_3[[#This Row],[Quantité]])/Tab_Compteur_3[[#This Row],[Delta Jour]],"")&lt;0,"",IFERROR(IF(Str_TypeDonneesCpt3=Cpt_Index,Tab_Compteur_3[[#This Row],[Index]]-E44,Tab_Compteur_3[[#This Row],[Quantité]])/Tab_Compteur_3[[#This Row],[Delta Jour]],""))</f>
        <v/>
      </c>
      <c r="H45" s="186" t="str">
        <f>IFERROR(Tab_Compteur_3[[#This Row],[Montant]]/Tab_Compteur_3[[#This Row],[Delta Jour]],"")</f>
        <v/>
      </c>
      <c r="I45" s="212" t="str">
        <f t="shared" si="1"/>
        <v/>
      </c>
      <c r="J45" s="209"/>
      <c r="K45" s="38"/>
      <c r="L45" s="38"/>
      <c r="M45" s="38"/>
    </row>
    <row r="46" spans="1:13">
      <c r="A46" s="55">
        <f t="shared" si="2"/>
        <v>1</v>
      </c>
      <c r="B46" s="231"/>
      <c r="C46" s="192"/>
      <c r="D46" s="191"/>
      <c r="E46" s="186"/>
      <c r="F46" s="186">
        <f t="shared" si="0"/>
        <v>0</v>
      </c>
      <c r="G46" t="str">
        <f>IF(IFERROR(IF(Str_TypeDonneesCpt3=Cpt_Index,Tab_Compteur_3[[#This Row],[Index]]-E45,Tab_Compteur_3[[#This Row],[Quantité]])/Tab_Compteur_3[[#This Row],[Delta Jour]],"")&lt;0,"",IFERROR(IF(Str_TypeDonneesCpt3=Cpt_Index,Tab_Compteur_3[[#This Row],[Index]]-E45,Tab_Compteur_3[[#This Row],[Quantité]])/Tab_Compteur_3[[#This Row],[Delta Jour]],""))</f>
        <v/>
      </c>
      <c r="H46" s="186" t="str">
        <f>IFERROR(Tab_Compteur_3[[#This Row],[Montant]]/Tab_Compteur_3[[#This Row],[Delta Jour]],"")</f>
        <v/>
      </c>
      <c r="I46" s="212" t="str">
        <f t="shared" si="1"/>
        <v/>
      </c>
      <c r="J46" s="209"/>
      <c r="K46" s="38"/>
      <c r="L46" s="38"/>
      <c r="M46" s="38"/>
    </row>
    <row r="47" spans="1:13">
      <c r="A47" s="55">
        <f t="shared" si="2"/>
        <v>1</v>
      </c>
      <c r="B47" s="231"/>
      <c r="C47" s="192"/>
      <c r="D47" s="191"/>
      <c r="E47" s="186"/>
      <c r="F47" s="186">
        <f t="shared" si="0"/>
        <v>0</v>
      </c>
      <c r="G47" t="str">
        <f>IF(IFERROR(IF(Str_TypeDonneesCpt3=Cpt_Index,Tab_Compteur_3[[#This Row],[Index]]-E46,Tab_Compteur_3[[#This Row],[Quantité]])/Tab_Compteur_3[[#This Row],[Delta Jour]],"")&lt;0,"",IFERROR(IF(Str_TypeDonneesCpt3=Cpt_Index,Tab_Compteur_3[[#This Row],[Index]]-E46,Tab_Compteur_3[[#This Row],[Quantité]])/Tab_Compteur_3[[#This Row],[Delta Jour]],""))</f>
        <v/>
      </c>
      <c r="H47" s="186" t="str">
        <f>IFERROR(Tab_Compteur_3[[#This Row],[Montant]]/Tab_Compteur_3[[#This Row],[Delta Jour]],"")</f>
        <v/>
      </c>
      <c r="I47" s="212" t="str">
        <f t="shared" si="1"/>
        <v/>
      </c>
      <c r="J47" s="209"/>
      <c r="K47" s="38"/>
      <c r="L47" s="38"/>
      <c r="M47" s="38"/>
    </row>
    <row r="48" spans="1:13">
      <c r="A48" s="55">
        <f t="shared" si="2"/>
        <v>1</v>
      </c>
      <c r="B48" s="231"/>
      <c r="C48" s="192"/>
      <c r="D48" s="191"/>
      <c r="E48" s="186"/>
      <c r="F48" s="186">
        <f t="shared" si="0"/>
        <v>0</v>
      </c>
      <c r="G48" t="str">
        <f>IF(IFERROR(IF(Str_TypeDonneesCpt3=Cpt_Index,Tab_Compteur_3[[#This Row],[Index]]-E47,Tab_Compteur_3[[#This Row],[Quantité]])/Tab_Compteur_3[[#This Row],[Delta Jour]],"")&lt;0,"",IFERROR(IF(Str_TypeDonneesCpt3=Cpt_Index,Tab_Compteur_3[[#This Row],[Index]]-E47,Tab_Compteur_3[[#This Row],[Quantité]])/Tab_Compteur_3[[#This Row],[Delta Jour]],""))</f>
        <v/>
      </c>
      <c r="H48" s="186" t="str">
        <f>IFERROR(Tab_Compteur_3[[#This Row],[Montant]]/Tab_Compteur_3[[#This Row],[Delta Jour]],"")</f>
        <v/>
      </c>
      <c r="I48" s="212" t="str">
        <f t="shared" si="1"/>
        <v/>
      </c>
      <c r="J48" s="209"/>
      <c r="K48" s="38"/>
      <c r="L48" s="38"/>
      <c r="M48" s="38"/>
    </row>
    <row r="49" spans="1:13">
      <c r="A49" s="55">
        <f t="shared" si="2"/>
        <v>1</v>
      </c>
      <c r="B49" s="231"/>
      <c r="C49" s="192"/>
      <c r="D49" s="191"/>
      <c r="E49" s="186"/>
      <c r="F49" s="186">
        <f t="shared" si="0"/>
        <v>0</v>
      </c>
      <c r="G49" t="str">
        <f>IF(IFERROR(IF(Str_TypeDonneesCpt3=Cpt_Index,Tab_Compteur_3[[#This Row],[Index]]-E48,Tab_Compteur_3[[#This Row],[Quantité]])/Tab_Compteur_3[[#This Row],[Delta Jour]],"")&lt;0,"",IFERROR(IF(Str_TypeDonneesCpt3=Cpt_Index,Tab_Compteur_3[[#This Row],[Index]]-E48,Tab_Compteur_3[[#This Row],[Quantité]])/Tab_Compteur_3[[#This Row],[Delta Jour]],""))</f>
        <v/>
      </c>
      <c r="H49" s="186" t="str">
        <f>IFERROR(Tab_Compteur_3[[#This Row],[Montant]]/Tab_Compteur_3[[#This Row],[Delta Jour]],"")</f>
        <v/>
      </c>
      <c r="I49" s="212" t="str">
        <f t="shared" si="1"/>
        <v/>
      </c>
      <c r="J49" s="209"/>
      <c r="K49" s="38"/>
      <c r="L49" s="38"/>
      <c r="M49" s="38"/>
    </row>
    <row r="50" spans="1:13">
      <c r="A50" s="55">
        <f t="shared" si="2"/>
        <v>1</v>
      </c>
      <c r="B50" s="231"/>
      <c r="C50" s="192"/>
      <c r="D50" s="191"/>
      <c r="E50" s="186"/>
      <c r="F50" s="186">
        <f t="shared" si="0"/>
        <v>0</v>
      </c>
      <c r="G50" t="str">
        <f>IF(IFERROR(IF(Str_TypeDonneesCpt3=Cpt_Index,Tab_Compteur_3[[#This Row],[Index]]-E49,Tab_Compteur_3[[#This Row],[Quantité]])/Tab_Compteur_3[[#This Row],[Delta Jour]],"")&lt;0,"",IFERROR(IF(Str_TypeDonneesCpt3=Cpt_Index,Tab_Compteur_3[[#This Row],[Index]]-E49,Tab_Compteur_3[[#This Row],[Quantité]])/Tab_Compteur_3[[#This Row],[Delta Jour]],""))</f>
        <v/>
      </c>
      <c r="H50" s="186" t="str">
        <f>IFERROR(Tab_Compteur_3[[#This Row],[Montant]]/Tab_Compteur_3[[#This Row],[Delta Jour]],"")</f>
        <v/>
      </c>
      <c r="I50" s="212" t="str">
        <f t="shared" si="1"/>
        <v/>
      </c>
      <c r="J50" s="209"/>
      <c r="K50" s="38"/>
      <c r="L50" s="38"/>
      <c r="M50" s="38"/>
    </row>
    <row r="51" spans="1:13">
      <c r="A51" s="55">
        <f t="shared" si="2"/>
        <v>1</v>
      </c>
      <c r="B51" s="231"/>
      <c r="C51" s="192"/>
      <c r="D51" s="191"/>
      <c r="E51" s="186"/>
      <c r="F51" s="186">
        <f t="shared" si="0"/>
        <v>0</v>
      </c>
      <c r="G51" t="str">
        <f>IF(IFERROR(IF(Str_TypeDonneesCpt3=Cpt_Index,Tab_Compteur_3[[#This Row],[Index]]-E50,Tab_Compteur_3[[#This Row],[Quantité]])/Tab_Compteur_3[[#This Row],[Delta Jour]],"")&lt;0,"",IFERROR(IF(Str_TypeDonneesCpt3=Cpt_Index,Tab_Compteur_3[[#This Row],[Index]]-E50,Tab_Compteur_3[[#This Row],[Quantité]])/Tab_Compteur_3[[#This Row],[Delta Jour]],""))</f>
        <v/>
      </c>
      <c r="H51" s="186" t="str">
        <f>IFERROR(Tab_Compteur_3[[#This Row],[Montant]]/Tab_Compteur_3[[#This Row],[Delta Jour]],"")</f>
        <v/>
      </c>
      <c r="I51" s="212" t="str">
        <f t="shared" si="1"/>
        <v/>
      </c>
      <c r="J51" s="209"/>
      <c r="K51" s="38"/>
      <c r="L51" s="38"/>
      <c r="M51" s="38"/>
    </row>
    <row r="52" spans="1:13">
      <c r="A52" s="55">
        <f t="shared" si="2"/>
        <v>1</v>
      </c>
      <c r="B52" s="231"/>
      <c r="C52" s="192"/>
      <c r="D52" s="191"/>
      <c r="E52" s="186"/>
      <c r="F52" s="186">
        <f t="shared" si="0"/>
        <v>0</v>
      </c>
      <c r="G52" t="str">
        <f>IF(IFERROR(IF(Str_TypeDonneesCpt3=Cpt_Index,Tab_Compteur_3[[#This Row],[Index]]-E51,Tab_Compteur_3[[#This Row],[Quantité]])/Tab_Compteur_3[[#This Row],[Delta Jour]],"")&lt;0,"",IFERROR(IF(Str_TypeDonneesCpt3=Cpt_Index,Tab_Compteur_3[[#This Row],[Index]]-E51,Tab_Compteur_3[[#This Row],[Quantité]])/Tab_Compteur_3[[#This Row],[Delta Jour]],""))</f>
        <v/>
      </c>
      <c r="H52" s="186" t="str">
        <f>IFERROR(Tab_Compteur_3[[#This Row],[Montant]]/Tab_Compteur_3[[#This Row],[Delta Jour]],"")</f>
        <v/>
      </c>
      <c r="I52" s="212" t="str">
        <f t="shared" si="1"/>
        <v/>
      </c>
      <c r="J52" s="209"/>
      <c r="K52" s="38"/>
      <c r="L52" s="38"/>
      <c r="M52" s="38"/>
    </row>
    <row r="53" spans="1:13">
      <c r="A53" s="55">
        <f t="shared" si="2"/>
        <v>1</v>
      </c>
      <c r="B53" s="231"/>
      <c r="C53" s="192"/>
      <c r="D53" s="191"/>
      <c r="E53" s="186"/>
      <c r="F53" s="186">
        <f t="shared" si="0"/>
        <v>0</v>
      </c>
      <c r="G53" t="str">
        <f>IF(IFERROR(IF(Str_TypeDonneesCpt3=Cpt_Index,Tab_Compteur_3[[#This Row],[Index]]-E52,Tab_Compteur_3[[#This Row],[Quantité]])/Tab_Compteur_3[[#This Row],[Delta Jour]],"")&lt;0,"",IFERROR(IF(Str_TypeDonneesCpt3=Cpt_Index,Tab_Compteur_3[[#This Row],[Index]]-E52,Tab_Compteur_3[[#This Row],[Quantité]])/Tab_Compteur_3[[#This Row],[Delta Jour]],""))</f>
        <v/>
      </c>
      <c r="H53" s="186" t="str">
        <f>IFERROR(Tab_Compteur_3[[#This Row],[Montant]]/Tab_Compteur_3[[#This Row],[Delta Jour]],"")</f>
        <v/>
      </c>
      <c r="I53" s="212" t="str">
        <f t="shared" si="1"/>
        <v/>
      </c>
      <c r="J53" s="209"/>
      <c r="K53" s="38"/>
      <c r="L53" s="38"/>
      <c r="M53" s="38"/>
    </row>
    <row r="54" spans="1:13">
      <c r="A54" s="55">
        <f t="shared" si="2"/>
        <v>1</v>
      </c>
      <c r="B54" s="231"/>
      <c r="C54" s="192"/>
      <c r="D54" s="191"/>
      <c r="E54" s="186"/>
      <c r="F54" s="186">
        <f t="shared" si="0"/>
        <v>0</v>
      </c>
      <c r="G54" t="str">
        <f>IF(IFERROR(IF(Str_TypeDonneesCpt3=Cpt_Index,Tab_Compteur_3[[#This Row],[Index]]-E53,Tab_Compteur_3[[#This Row],[Quantité]])/Tab_Compteur_3[[#This Row],[Delta Jour]],"")&lt;0,"",IFERROR(IF(Str_TypeDonneesCpt3=Cpt_Index,Tab_Compteur_3[[#This Row],[Index]]-E53,Tab_Compteur_3[[#This Row],[Quantité]])/Tab_Compteur_3[[#This Row],[Delta Jour]],""))</f>
        <v/>
      </c>
      <c r="H54" s="186" t="str">
        <f>IFERROR(Tab_Compteur_3[[#This Row],[Montant]]/Tab_Compteur_3[[#This Row],[Delta Jour]],"")</f>
        <v/>
      </c>
      <c r="I54" s="212" t="str">
        <f t="shared" si="1"/>
        <v/>
      </c>
      <c r="J54" s="209"/>
      <c r="K54" s="38"/>
      <c r="L54" s="38"/>
      <c r="M54" s="38"/>
    </row>
    <row r="55" spans="1:13">
      <c r="A55" s="55">
        <f t="shared" si="2"/>
        <v>1</v>
      </c>
      <c r="B55" s="231"/>
      <c r="C55" s="192"/>
      <c r="D55" s="191"/>
      <c r="E55" s="186"/>
      <c r="F55" s="186">
        <f t="shared" si="0"/>
        <v>0</v>
      </c>
      <c r="G55" t="str">
        <f>IF(IFERROR(IF(Str_TypeDonneesCpt3=Cpt_Index,Tab_Compteur_3[[#This Row],[Index]]-E54,Tab_Compteur_3[[#This Row],[Quantité]])/Tab_Compteur_3[[#This Row],[Delta Jour]],"")&lt;0,"",IFERROR(IF(Str_TypeDonneesCpt3=Cpt_Index,Tab_Compteur_3[[#This Row],[Index]]-E54,Tab_Compteur_3[[#This Row],[Quantité]])/Tab_Compteur_3[[#This Row],[Delta Jour]],""))</f>
        <v/>
      </c>
      <c r="H55" s="186" t="str">
        <f>IFERROR(Tab_Compteur_3[[#This Row],[Montant]]/Tab_Compteur_3[[#This Row],[Delta Jour]],"")</f>
        <v/>
      </c>
      <c r="I55" s="212" t="str">
        <f t="shared" si="1"/>
        <v/>
      </c>
      <c r="J55" s="209"/>
      <c r="K55" s="38"/>
      <c r="L55" s="38"/>
      <c r="M55" s="38"/>
    </row>
    <row r="56" spans="1:13">
      <c r="A56" s="55">
        <f t="shared" si="2"/>
        <v>1</v>
      </c>
      <c r="B56" s="231"/>
      <c r="C56" s="192"/>
      <c r="D56" s="191"/>
      <c r="E56" s="186"/>
      <c r="F56" s="186">
        <f t="shared" si="0"/>
        <v>0</v>
      </c>
      <c r="G56" t="str">
        <f>IF(IFERROR(IF(Str_TypeDonneesCpt3=Cpt_Index,Tab_Compteur_3[[#This Row],[Index]]-E55,Tab_Compteur_3[[#This Row],[Quantité]])/Tab_Compteur_3[[#This Row],[Delta Jour]],"")&lt;0,"",IFERROR(IF(Str_TypeDonneesCpt3=Cpt_Index,Tab_Compteur_3[[#This Row],[Index]]-E55,Tab_Compteur_3[[#This Row],[Quantité]])/Tab_Compteur_3[[#This Row],[Delta Jour]],""))</f>
        <v/>
      </c>
      <c r="H56" s="186" t="str">
        <f>IFERROR(Tab_Compteur_3[[#This Row],[Montant]]/Tab_Compteur_3[[#This Row],[Delta Jour]],"")</f>
        <v/>
      </c>
      <c r="I56" s="212" t="str">
        <f t="shared" si="1"/>
        <v/>
      </c>
      <c r="J56" s="209"/>
      <c r="K56" s="38"/>
      <c r="L56" s="38"/>
      <c r="M56" s="38"/>
    </row>
    <row r="57" spans="1:13">
      <c r="A57" s="55">
        <f t="shared" si="2"/>
        <v>1</v>
      </c>
      <c r="B57" s="231"/>
      <c r="C57" s="192"/>
      <c r="D57" s="191"/>
      <c r="E57" s="186"/>
      <c r="F57" s="186">
        <f t="shared" si="0"/>
        <v>0</v>
      </c>
      <c r="G57" t="str">
        <f>IF(IFERROR(IF(Str_TypeDonneesCpt3=Cpt_Index,Tab_Compteur_3[[#This Row],[Index]]-E56,Tab_Compteur_3[[#This Row],[Quantité]])/Tab_Compteur_3[[#This Row],[Delta Jour]],"")&lt;0,"",IFERROR(IF(Str_TypeDonneesCpt3=Cpt_Index,Tab_Compteur_3[[#This Row],[Index]]-E56,Tab_Compteur_3[[#This Row],[Quantité]])/Tab_Compteur_3[[#This Row],[Delta Jour]],""))</f>
        <v/>
      </c>
      <c r="H57" s="186" t="str">
        <f>IFERROR(Tab_Compteur_3[[#This Row],[Montant]]/Tab_Compteur_3[[#This Row],[Delta Jour]],"")</f>
        <v/>
      </c>
      <c r="I57" s="212" t="str">
        <f t="shared" si="1"/>
        <v/>
      </c>
      <c r="J57" s="209"/>
      <c r="K57" s="38"/>
      <c r="L57" s="38"/>
      <c r="M57" s="38"/>
    </row>
    <row r="58" spans="1:13">
      <c r="A58" s="55">
        <f t="shared" si="2"/>
        <v>1</v>
      </c>
      <c r="B58" s="231"/>
      <c r="C58" s="192"/>
      <c r="D58" s="191"/>
      <c r="E58" s="186"/>
      <c r="F58" s="186">
        <f t="shared" si="0"/>
        <v>0</v>
      </c>
      <c r="G58" t="str">
        <f>IF(IFERROR(IF(Str_TypeDonneesCpt3=Cpt_Index,Tab_Compteur_3[[#This Row],[Index]]-E57,Tab_Compteur_3[[#This Row],[Quantité]])/Tab_Compteur_3[[#This Row],[Delta Jour]],"")&lt;0,"",IFERROR(IF(Str_TypeDonneesCpt3=Cpt_Index,Tab_Compteur_3[[#This Row],[Index]]-E57,Tab_Compteur_3[[#This Row],[Quantité]])/Tab_Compteur_3[[#This Row],[Delta Jour]],""))</f>
        <v/>
      </c>
      <c r="H58" s="186" t="str">
        <f>IFERROR(Tab_Compteur_3[[#This Row],[Montant]]/Tab_Compteur_3[[#This Row],[Delta Jour]],"")</f>
        <v/>
      </c>
      <c r="I58" s="212" t="str">
        <f t="shared" si="1"/>
        <v/>
      </c>
      <c r="J58" s="209"/>
      <c r="K58" s="38"/>
      <c r="L58" s="38"/>
      <c r="M58" s="38"/>
    </row>
    <row r="59" spans="1:13">
      <c r="A59" s="55">
        <f t="shared" si="2"/>
        <v>1</v>
      </c>
      <c r="B59" s="231"/>
      <c r="C59" s="192"/>
      <c r="D59" s="191"/>
      <c r="E59" s="186"/>
      <c r="F59" s="186">
        <f t="shared" si="0"/>
        <v>0</v>
      </c>
      <c r="G59" t="str">
        <f>IF(IFERROR(IF(Str_TypeDonneesCpt3=Cpt_Index,Tab_Compteur_3[[#This Row],[Index]]-E58,Tab_Compteur_3[[#This Row],[Quantité]])/Tab_Compteur_3[[#This Row],[Delta Jour]],"")&lt;0,"",IFERROR(IF(Str_TypeDonneesCpt3=Cpt_Index,Tab_Compteur_3[[#This Row],[Index]]-E58,Tab_Compteur_3[[#This Row],[Quantité]])/Tab_Compteur_3[[#This Row],[Delta Jour]],""))</f>
        <v/>
      </c>
      <c r="H59" s="186" t="str">
        <f>IFERROR(Tab_Compteur_3[[#This Row],[Montant]]/Tab_Compteur_3[[#This Row],[Delta Jour]],"")</f>
        <v/>
      </c>
      <c r="I59" s="212" t="str">
        <f t="shared" si="1"/>
        <v/>
      </c>
      <c r="J59" s="209"/>
      <c r="K59" s="38"/>
      <c r="L59" s="38"/>
      <c r="M59" s="38"/>
    </row>
    <row r="60" spans="1:13">
      <c r="A60" s="55">
        <f t="shared" si="2"/>
        <v>1</v>
      </c>
      <c r="B60" s="231"/>
      <c r="C60" s="192"/>
      <c r="D60" s="191"/>
      <c r="E60" s="186"/>
      <c r="F60" s="186">
        <f t="shared" si="0"/>
        <v>0</v>
      </c>
      <c r="G60" t="str">
        <f>IF(IFERROR(IF(Str_TypeDonneesCpt3=Cpt_Index,Tab_Compteur_3[[#This Row],[Index]]-E59,Tab_Compteur_3[[#This Row],[Quantité]])/Tab_Compteur_3[[#This Row],[Delta Jour]],"")&lt;0,"",IFERROR(IF(Str_TypeDonneesCpt3=Cpt_Index,Tab_Compteur_3[[#This Row],[Index]]-E59,Tab_Compteur_3[[#This Row],[Quantité]])/Tab_Compteur_3[[#This Row],[Delta Jour]],""))</f>
        <v/>
      </c>
      <c r="H60" s="186" t="str">
        <f>IFERROR(Tab_Compteur_3[[#This Row],[Montant]]/Tab_Compteur_3[[#This Row],[Delta Jour]],"")</f>
        <v/>
      </c>
      <c r="I60" s="212" t="str">
        <f t="shared" si="1"/>
        <v/>
      </c>
      <c r="J60" s="209"/>
      <c r="K60" s="38"/>
      <c r="L60" s="38"/>
      <c r="M60" s="38"/>
    </row>
    <row r="61" spans="1:13">
      <c r="A61" s="55">
        <f t="shared" si="2"/>
        <v>1</v>
      </c>
      <c r="B61" s="231"/>
      <c r="C61" s="192"/>
      <c r="D61" s="191"/>
      <c r="E61" s="186"/>
      <c r="F61" s="186">
        <f t="shared" si="0"/>
        <v>0</v>
      </c>
      <c r="G61" t="str">
        <f>IF(IFERROR(IF(Str_TypeDonneesCpt3=Cpt_Index,Tab_Compteur_3[[#This Row],[Index]]-E60,Tab_Compteur_3[[#This Row],[Quantité]])/Tab_Compteur_3[[#This Row],[Delta Jour]],"")&lt;0,"",IFERROR(IF(Str_TypeDonneesCpt3=Cpt_Index,Tab_Compteur_3[[#This Row],[Index]]-E60,Tab_Compteur_3[[#This Row],[Quantité]])/Tab_Compteur_3[[#This Row],[Delta Jour]],""))</f>
        <v/>
      </c>
      <c r="H61" s="186" t="str">
        <f>IFERROR(Tab_Compteur_3[[#This Row],[Montant]]/Tab_Compteur_3[[#This Row],[Delta Jour]],"")</f>
        <v/>
      </c>
      <c r="I61" s="212" t="str">
        <f t="shared" si="1"/>
        <v/>
      </c>
      <c r="J61" s="209"/>
      <c r="K61" s="38"/>
      <c r="L61" s="38"/>
      <c r="M61" s="38"/>
    </row>
    <row r="62" spans="1:13">
      <c r="A62" s="55">
        <f t="shared" si="2"/>
        <v>1</v>
      </c>
      <c r="B62" s="231"/>
      <c r="C62" s="192"/>
      <c r="D62" s="191"/>
      <c r="E62" s="186"/>
      <c r="F62" s="186">
        <f t="shared" si="0"/>
        <v>0</v>
      </c>
      <c r="G62" t="str">
        <f>IF(IFERROR(IF(Str_TypeDonneesCpt3=Cpt_Index,Tab_Compteur_3[[#This Row],[Index]]-E61,Tab_Compteur_3[[#This Row],[Quantité]])/Tab_Compteur_3[[#This Row],[Delta Jour]],"")&lt;0,"",IFERROR(IF(Str_TypeDonneesCpt3=Cpt_Index,Tab_Compteur_3[[#This Row],[Index]]-E61,Tab_Compteur_3[[#This Row],[Quantité]])/Tab_Compteur_3[[#This Row],[Delta Jour]],""))</f>
        <v/>
      </c>
      <c r="H62" s="186" t="str">
        <f>IFERROR(Tab_Compteur_3[[#This Row],[Montant]]/Tab_Compteur_3[[#This Row],[Delta Jour]],"")</f>
        <v/>
      </c>
      <c r="I62" s="212" t="str">
        <f t="shared" si="1"/>
        <v/>
      </c>
      <c r="J62" s="209"/>
      <c r="K62" s="38"/>
      <c r="L62" s="38"/>
      <c r="M62" s="38"/>
    </row>
    <row r="63" spans="1:13">
      <c r="A63" s="55">
        <f t="shared" si="2"/>
        <v>1</v>
      </c>
      <c r="B63" s="231"/>
      <c r="C63" s="192"/>
      <c r="D63" s="191"/>
      <c r="E63" s="186"/>
      <c r="F63" s="186">
        <f t="shared" si="0"/>
        <v>0</v>
      </c>
      <c r="G63" t="str">
        <f>IF(IFERROR(IF(Str_TypeDonneesCpt3=Cpt_Index,Tab_Compteur_3[[#This Row],[Index]]-E62,Tab_Compteur_3[[#This Row],[Quantité]])/Tab_Compteur_3[[#This Row],[Delta Jour]],"")&lt;0,"",IFERROR(IF(Str_TypeDonneesCpt3=Cpt_Index,Tab_Compteur_3[[#This Row],[Index]]-E62,Tab_Compteur_3[[#This Row],[Quantité]])/Tab_Compteur_3[[#This Row],[Delta Jour]],""))</f>
        <v/>
      </c>
      <c r="H63" s="186" t="str">
        <f>IFERROR(Tab_Compteur_3[[#This Row],[Montant]]/Tab_Compteur_3[[#This Row],[Delta Jour]],"")</f>
        <v/>
      </c>
      <c r="I63" s="212" t="str">
        <f t="shared" si="1"/>
        <v/>
      </c>
      <c r="J63" s="209"/>
      <c r="K63" s="38"/>
      <c r="L63" s="38"/>
      <c r="M63" s="38"/>
    </row>
    <row r="64" spans="1:13">
      <c r="A64" s="55">
        <f t="shared" si="2"/>
        <v>1</v>
      </c>
      <c r="B64" s="231"/>
      <c r="C64" s="192"/>
      <c r="D64" s="191"/>
      <c r="E64" s="186"/>
      <c r="F64" s="186">
        <f t="shared" si="0"/>
        <v>0</v>
      </c>
      <c r="G64" t="str">
        <f>IF(IFERROR(IF(Str_TypeDonneesCpt3=Cpt_Index,Tab_Compteur_3[[#This Row],[Index]]-E63,Tab_Compteur_3[[#This Row],[Quantité]])/Tab_Compteur_3[[#This Row],[Delta Jour]],"")&lt;0,"",IFERROR(IF(Str_TypeDonneesCpt3=Cpt_Index,Tab_Compteur_3[[#This Row],[Index]]-E63,Tab_Compteur_3[[#This Row],[Quantité]])/Tab_Compteur_3[[#This Row],[Delta Jour]],""))</f>
        <v/>
      </c>
      <c r="H64" s="186" t="str">
        <f>IFERROR(Tab_Compteur_3[[#This Row],[Montant]]/Tab_Compteur_3[[#This Row],[Delta Jour]],"")</f>
        <v/>
      </c>
      <c r="I64" s="212" t="str">
        <f t="shared" si="1"/>
        <v/>
      </c>
      <c r="J64" s="209"/>
      <c r="K64" s="38"/>
      <c r="L64" s="38"/>
      <c r="M64" s="38"/>
    </row>
    <row r="65" spans="1:13">
      <c r="A65" s="55">
        <f t="shared" si="2"/>
        <v>1</v>
      </c>
      <c r="B65" s="231"/>
      <c r="C65" s="192"/>
      <c r="D65" s="191"/>
      <c r="E65" s="186"/>
      <c r="F65" s="186">
        <f t="shared" si="0"/>
        <v>0</v>
      </c>
      <c r="G65" t="str">
        <f>IF(IFERROR(IF(Str_TypeDonneesCpt3=Cpt_Index,Tab_Compteur_3[[#This Row],[Index]]-E64,Tab_Compteur_3[[#This Row],[Quantité]])/Tab_Compteur_3[[#This Row],[Delta Jour]],"")&lt;0,"",IFERROR(IF(Str_TypeDonneesCpt3=Cpt_Index,Tab_Compteur_3[[#This Row],[Index]]-E64,Tab_Compteur_3[[#This Row],[Quantité]])/Tab_Compteur_3[[#This Row],[Delta Jour]],""))</f>
        <v/>
      </c>
      <c r="H65" s="186" t="str">
        <f>IFERROR(Tab_Compteur_3[[#This Row],[Montant]]/Tab_Compteur_3[[#This Row],[Delta Jour]],"")</f>
        <v/>
      </c>
      <c r="I65" s="212" t="str">
        <f t="shared" si="1"/>
        <v/>
      </c>
      <c r="J65" s="209"/>
      <c r="K65" s="38"/>
      <c r="L65" s="38"/>
      <c r="M65" s="38"/>
    </row>
    <row r="66" spans="1:13">
      <c r="A66" s="55">
        <f t="shared" si="2"/>
        <v>1</v>
      </c>
      <c r="B66" s="231"/>
      <c r="C66" s="192"/>
      <c r="D66" s="191"/>
      <c r="E66" s="186"/>
      <c r="F66" s="186">
        <f t="shared" si="0"/>
        <v>0</v>
      </c>
      <c r="G66" t="str">
        <f>IF(IFERROR(IF(Str_TypeDonneesCpt3=Cpt_Index,Tab_Compteur_3[[#This Row],[Index]]-E65,Tab_Compteur_3[[#This Row],[Quantité]])/Tab_Compteur_3[[#This Row],[Delta Jour]],"")&lt;0,"",IFERROR(IF(Str_TypeDonneesCpt3=Cpt_Index,Tab_Compteur_3[[#This Row],[Index]]-E65,Tab_Compteur_3[[#This Row],[Quantité]])/Tab_Compteur_3[[#This Row],[Delta Jour]],""))</f>
        <v/>
      </c>
      <c r="H66" s="186" t="str">
        <f>IFERROR(Tab_Compteur_3[[#This Row],[Montant]]/Tab_Compteur_3[[#This Row],[Delta Jour]],"")</f>
        <v/>
      </c>
      <c r="I66" s="212" t="str">
        <f t="shared" si="1"/>
        <v/>
      </c>
      <c r="J66" s="209"/>
      <c r="K66" s="38"/>
      <c r="L66" s="38"/>
      <c r="M66" s="38"/>
    </row>
    <row r="67" spans="1:13">
      <c r="A67" s="55">
        <f t="shared" si="2"/>
        <v>1</v>
      </c>
      <c r="B67" s="231"/>
      <c r="C67" s="192"/>
      <c r="D67" s="191"/>
      <c r="E67" s="186"/>
      <c r="F67" s="186">
        <f t="shared" ref="F67:F130" si="3">IFERROR(B67-A67+1,"")</f>
        <v>0</v>
      </c>
      <c r="G67" t="str">
        <f>IF(IFERROR(IF(Str_TypeDonneesCpt3=Cpt_Index,Tab_Compteur_3[[#This Row],[Index]]-E66,Tab_Compteur_3[[#This Row],[Quantité]])/Tab_Compteur_3[[#This Row],[Delta Jour]],"")&lt;0,"",IFERROR(IF(Str_TypeDonneesCpt3=Cpt_Index,Tab_Compteur_3[[#This Row],[Index]]-E66,Tab_Compteur_3[[#This Row],[Quantité]])/Tab_Compteur_3[[#This Row],[Delta Jour]],""))</f>
        <v/>
      </c>
      <c r="H67" s="186" t="str">
        <f>IFERROR(Tab_Compteur_3[[#This Row],[Montant]]/Tab_Compteur_3[[#This Row],[Delta Jour]],"")</f>
        <v/>
      </c>
      <c r="I67" s="212" t="str">
        <f t="shared" ref="I67:I130" si="4">G67</f>
        <v/>
      </c>
      <c r="J67" s="209"/>
      <c r="K67" s="38"/>
      <c r="L67" s="38"/>
      <c r="M67" s="38"/>
    </row>
    <row r="68" spans="1:13">
      <c r="A68" s="55">
        <f t="shared" si="2"/>
        <v>1</v>
      </c>
      <c r="B68" s="231"/>
      <c r="C68" s="192"/>
      <c r="D68" s="191"/>
      <c r="E68" s="186"/>
      <c r="F68" s="186">
        <f t="shared" si="3"/>
        <v>0</v>
      </c>
      <c r="G68" t="str">
        <f>IF(IFERROR(IF(Str_TypeDonneesCpt3=Cpt_Index,Tab_Compteur_3[[#This Row],[Index]]-E67,Tab_Compteur_3[[#This Row],[Quantité]])/Tab_Compteur_3[[#This Row],[Delta Jour]],"")&lt;0,"",IFERROR(IF(Str_TypeDonneesCpt3=Cpt_Index,Tab_Compteur_3[[#This Row],[Index]]-E67,Tab_Compteur_3[[#This Row],[Quantité]])/Tab_Compteur_3[[#This Row],[Delta Jour]],""))</f>
        <v/>
      </c>
      <c r="H68" s="186" t="str">
        <f>IFERROR(Tab_Compteur_3[[#This Row],[Montant]]/Tab_Compteur_3[[#This Row],[Delta Jour]],"")</f>
        <v/>
      </c>
      <c r="I68" s="212" t="str">
        <f t="shared" si="4"/>
        <v/>
      </c>
      <c r="J68" s="209"/>
      <c r="K68" s="38"/>
      <c r="L68" s="38"/>
      <c r="M68" s="38"/>
    </row>
    <row r="69" spans="1:13">
      <c r="A69" s="55">
        <f t="shared" si="2"/>
        <v>1</v>
      </c>
      <c r="B69" s="231"/>
      <c r="C69" s="192"/>
      <c r="D69" s="191"/>
      <c r="E69" s="186"/>
      <c r="F69" s="186">
        <f t="shared" si="3"/>
        <v>0</v>
      </c>
      <c r="G69" t="str">
        <f>IF(IFERROR(IF(Str_TypeDonneesCpt3=Cpt_Index,Tab_Compteur_3[[#This Row],[Index]]-E68,Tab_Compteur_3[[#This Row],[Quantité]])/Tab_Compteur_3[[#This Row],[Delta Jour]],"")&lt;0,"",IFERROR(IF(Str_TypeDonneesCpt3=Cpt_Index,Tab_Compteur_3[[#This Row],[Index]]-E68,Tab_Compteur_3[[#This Row],[Quantité]])/Tab_Compteur_3[[#This Row],[Delta Jour]],""))</f>
        <v/>
      </c>
      <c r="H69" s="186" t="str">
        <f>IFERROR(Tab_Compteur_3[[#This Row],[Montant]]/Tab_Compteur_3[[#This Row],[Delta Jour]],"")</f>
        <v/>
      </c>
      <c r="I69" s="212" t="str">
        <f t="shared" si="4"/>
        <v/>
      </c>
      <c r="J69" s="209"/>
      <c r="K69" s="38"/>
      <c r="L69" s="38"/>
      <c r="M69" s="38"/>
    </row>
    <row r="70" spans="1:13">
      <c r="A70" s="55">
        <f t="shared" ref="A70:A133" si="5">IFERROR(B69+1,0)</f>
        <v>1</v>
      </c>
      <c r="B70" s="231"/>
      <c r="C70" s="192"/>
      <c r="D70" s="191"/>
      <c r="E70" s="186"/>
      <c r="F70" s="186">
        <f t="shared" si="3"/>
        <v>0</v>
      </c>
      <c r="G70" t="str">
        <f>IF(IFERROR(IF(Str_TypeDonneesCpt3=Cpt_Index,Tab_Compteur_3[[#This Row],[Index]]-E69,Tab_Compteur_3[[#This Row],[Quantité]])/Tab_Compteur_3[[#This Row],[Delta Jour]],"")&lt;0,"",IFERROR(IF(Str_TypeDonneesCpt3=Cpt_Index,Tab_Compteur_3[[#This Row],[Index]]-E69,Tab_Compteur_3[[#This Row],[Quantité]])/Tab_Compteur_3[[#This Row],[Delta Jour]],""))</f>
        <v/>
      </c>
      <c r="H70" s="186" t="str">
        <f>IFERROR(Tab_Compteur_3[[#This Row],[Montant]]/Tab_Compteur_3[[#This Row],[Delta Jour]],"")</f>
        <v/>
      </c>
      <c r="I70" s="212" t="str">
        <f t="shared" si="4"/>
        <v/>
      </c>
      <c r="J70" s="209"/>
      <c r="K70" s="38"/>
      <c r="L70" s="38"/>
      <c r="M70" s="38"/>
    </row>
    <row r="71" spans="1:13">
      <c r="A71" s="55">
        <f t="shared" si="5"/>
        <v>1</v>
      </c>
      <c r="B71" s="231"/>
      <c r="C71" s="192"/>
      <c r="D71" s="191"/>
      <c r="E71" s="186"/>
      <c r="F71" s="186">
        <f t="shared" si="3"/>
        <v>0</v>
      </c>
      <c r="G71" t="str">
        <f>IF(IFERROR(IF(Str_TypeDonneesCpt3=Cpt_Index,Tab_Compteur_3[[#This Row],[Index]]-E70,Tab_Compteur_3[[#This Row],[Quantité]])/Tab_Compteur_3[[#This Row],[Delta Jour]],"")&lt;0,"",IFERROR(IF(Str_TypeDonneesCpt3=Cpt_Index,Tab_Compteur_3[[#This Row],[Index]]-E70,Tab_Compteur_3[[#This Row],[Quantité]])/Tab_Compteur_3[[#This Row],[Delta Jour]],""))</f>
        <v/>
      </c>
      <c r="H71" s="186" t="str">
        <f>IFERROR(Tab_Compteur_3[[#This Row],[Montant]]/Tab_Compteur_3[[#This Row],[Delta Jour]],"")</f>
        <v/>
      </c>
      <c r="I71" s="212" t="str">
        <f t="shared" si="4"/>
        <v/>
      </c>
      <c r="J71" s="209"/>
      <c r="K71" s="38"/>
      <c r="L71" s="38"/>
      <c r="M71" s="38"/>
    </row>
    <row r="72" spans="1:13">
      <c r="A72" s="55">
        <f t="shared" si="5"/>
        <v>1</v>
      </c>
      <c r="B72" s="231"/>
      <c r="C72" s="192"/>
      <c r="D72" s="191"/>
      <c r="E72" s="186"/>
      <c r="F72" s="186">
        <f t="shared" si="3"/>
        <v>0</v>
      </c>
      <c r="G72" t="str">
        <f>IF(IFERROR(IF(Str_TypeDonneesCpt3=Cpt_Index,Tab_Compteur_3[[#This Row],[Index]]-E71,Tab_Compteur_3[[#This Row],[Quantité]])/Tab_Compteur_3[[#This Row],[Delta Jour]],"")&lt;0,"",IFERROR(IF(Str_TypeDonneesCpt3=Cpt_Index,Tab_Compteur_3[[#This Row],[Index]]-E71,Tab_Compteur_3[[#This Row],[Quantité]])/Tab_Compteur_3[[#This Row],[Delta Jour]],""))</f>
        <v/>
      </c>
      <c r="H72" s="186" t="str">
        <f>IFERROR(Tab_Compteur_3[[#This Row],[Montant]]/Tab_Compteur_3[[#This Row],[Delta Jour]],"")</f>
        <v/>
      </c>
      <c r="I72" s="212" t="str">
        <f t="shared" si="4"/>
        <v/>
      </c>
      <c r="J72" s="209"/>
      <c r="K72" s="38"/>
      <c r="L72" s="38"/>
      <c r="M72" s="38"/>
    </row>
    <row r="73" spans="1:13">
      <c r="A73" s="55">
        <f t="shared" si="5"/>
        <v>1</v>
      </c>
      <c r="B73" s="231"/>
      <c r="C73" s="192"/>
      <c r="D73" s="191"/>
      <c r="E73" s="186"/>
      <c r="F73" s="186">
        <f t="shared" si="3"/>
        <v>0</v>
      </c>
      <c r="G73" t="str">
        <f>IF(IFERROR(IF(Str_TypeDonneesCpt3=Cpt_Index,Tab_Compteur_3[[#This Row],[Index]]-E72,Tab_Compteur_3[[#This Row],[Quantité]])/Tab_Compteur_3[[#This Row],[Delta Jour]],"")&lt;0,"",IFERROR(IF(Str_TypeDonneesCpt3=Cpt_Index,Tab_Compteur_3[[#This Row],[Index]]-E72,Tab_Compteur_3[[#This Row],[Quantité]])/Tab_Compteur_3[[#This Row],[Delta Jour]],""))</f>
        <v/>
      </c>
      <c r="H73" s="186" t="str">
        <f>IFERROR(Tab_Compteur_3[[#This Row],[Montant]]/Tab_Compteur_3[[#This Row],[Delta Jour]],"")</f>
        <v/>
      </c>
      <c r="I73" s="212" t="str">
        <f t="shared" si="4"/>
        <v/>
      </c>
      <c r="J73" s="209"/>
      <c r="K73" s="38"/>
      <c r="L73" s="38"/>
      <c r="M73" s="38"/>
    </row>
    <row r="74" spans="1:13">
      <c r="A74" s="55">
        <f t="shared" si="5"/>
        <v>1</v>
      </c>
      <c r="B74" s="231"/>
      <c r="C74" s="192"/>
      <c r="D74" s="191"/>
      <c r="E74" s="186"/>
      <c r="F74" s="186">
        <f t="shared" si="3"/>
        <v>0</v>
      </c>
      <c r="G74" t="str">
        <f>IF(IFERROR(IF(Str_TypeDonneesCpt3=Cpt_Index,Tab_Compteur_3[[#This Row],[Index]]-E73,Tab_Compteur_3[[#This Row],[Quantité]])/Tab_Compteur_3[[#This Row],[Delta Jour]],"")&lt;0,"",IFERROR(IF(Str_TypeDonneesCpt3=Cpt_Index,Tab_Compteur_3[[#This Row],[Index]]-E73,Tab_Compteur_3[[#This Row],[Quantité]])/Tab_Compteur_3[[#This Row],[Delta Jour]],""))</f>
        <v/>
      </c>
      <c r="H74" s="186" t="str">
        <f>IFERROR(Tab_Compteur_3[[#This Row],[Montant]]/Tab_Compteur_3[[#This Row],[Delta Jour]],"")</f>
        <v/>
      </c>
      <c r="I74" s="212" t="str">
        <f t="shared" si="4"/>
        <v/>
      </c>
      <c r="J74" s="209"/>
      <c r="K74" s="38"/>
      <c r="L74" s="38"/>
      <c r="M74" s="38"/>
    </row>
    <row r="75" spans="1:13">
      <c r="A75" s="55">
        <f t="shared" si="5"/>
        <v>1</v>
      </c>
      <c r="B75" s="231"/>
      <c r="C75" s="192"/>
      <c r="D75" s="191"/>
      <c r="E75" s="186"/>
      <c r="F75" s="186">
        <f t="shared" si="3"/>
        <v>0</v>
      </c>
      <c r="G75" t="str">
        <f>IF(IFERROR(IF(Str_TypeDonneesCpt3=Cpt_Index,Tab_Compteur_3[[#This Row],[Index]]-E74,Tab_Compteur_3[[#This Row],[Quantité]])/Tab_Compteur_3[[#This Row],[Delta Jour]],"")&lt;0,"",IFERROR(IF(Str_TypeDonneesCpt3=Cpt_Index,Tab_Compteur_3[[#This Row],[Index]]-E74,Tab_Compteur_3[[#This Row],[Quantité]])/Tab_Compteur_3[[#This Row],[Delta Jour]],""))</f>
        <v/>
      </c>
      <c r="H75" s="186" t="str">
        <f>IFERROR(Tab_Compteur_3[[#This Row],[Montant]]/Tab_Compteur_3[[#This Row],[Delta Jour]],"")</f>
        <v/>
      </c>
      <c r="I75" s="212" t="str">
        <f t="shared" si="4"/>
        <v/>
      </c>
      <c r="J75" s="209"/>
      <c r="K75" s="38"/>
      <c r="L75" s="38"/>
      <c r="M75" s="38"/>
    </row>
    <row r="76" spans="1:13">
      <c r="A76" s="55">
        <f t="shared" si="5"/>
        <v>1</v>
      </c>
      <c r="B76" s="231"/>
      <c r="C76" s="192"/>
      <c r="D76" s="191"/>
      <c r="E76" s="186"/>
      <c r="F76" s="186">
        <f t="shared" si="3"/>
        <v>0</v>
      </c>
      <c r="G76" t="str">
        <f>IF(IFERROR(IF(Str_TypeDonneesCpt3=Cpt_Index,Tab_Compteur_3[[#This Row],[Index]]-E75,Tab_Compteur_3[[#This Row],[Quantité]])/Tab_Compteur_3[[#This Row],[Delta Jour]],"")&lt;0,"",IFERROR(IF(Str_TypeDonneesCpt3=Cpt_Index,Tab_Compteur_3[[#This Row],[Index]]-E75,Tab_Compteur_3[[#This Row],[Quantité]])/Tab_Compteur_3[[#This Row],[Delta Jour]],""))</f>
        <v/>
      </c>
      <c r="H76" s="186" t="str">
        <f>IFERROR(Tab_Compteur_3[[#This Row],[Montant]]/Tab_Compteur_3[[#This Row],[Delta Jour]],"")</f>
        <v/>
      </c>
      <c r="I76" s="212" t="str">
        <f t="shared" si="4"/>
        <v/>
      </c>
      <c r="J76" s="209"/>
      <c r="K76" s="38"/>
      <c r="L76" s="38"/>
      <c r="M76" s="38"/>
    </row>
    <row r="77" spans="1:13">
      <c r="A77" s="55">
        <f t="shared" si="5"/>
        <v>1</v>
      </c>
      <c r="B77" s="231"/>
      <c r="C77" s="192"/>
      <c r="D77" s="191"/>
      <c r="E77" s="186"/>
      <c r="F77" s="186">
        <f t="shared" si="3"/>
        <v>0</v>
      </c>
      <c r="G77" t="str">
        <f>IF(IFERROR(IF(Str_TypeDonneesCpt3=Cpt_Index,Tab_Compteur_3[[#This Row],[Index]]-E76,Tab_Compteur_3[[#This Row],[Quantité]])/Tab_Compteur_3[[#This Row],[Delta Jour]],"")&lt;0,"",IFERROR(IF(Str_TypeDonneesCpt3=Cpt_Index,Tab_Compteur_3[[#This Row],[Index]]-E76,Tab_Compteur_3[[#This Row],[Quantité]])/Tab_Compteur_3[[#This Row],[Delta Jour]],""))</f>
        <v/>
      </c>
      <c r="H77" s="186" t="str">
        <f>IFERROR(Tab_Compteur_3[[#This Row],[Montant]]/Tab_Compteur_3[[#This Row],[Delta Jour]],"")</f>
        <v/>
      </c>
      <c r="I77" s="212" t="str">
        <f t="shared" si="4"/>
        <v/>
      </c>
      <c r="J77" s="209"/>
      <c r="K77" s="38"/>
      <c r="L77" s="38"/>
      <c r="M77" s="38"/>
    </row>
    <row r="78" spans="1:13">
      <c r="A78" s="55">
        <f t="shared" si="5"/>
        <v>1</v>
      </c>
      <c r="B78" s="231"/>
      <c r="C78" s="192"/>
      <c r="D78" s="191"/>
      <c r="E78" s="186"/>
      <c r="F78" s="186">
        <f t="shared" si="3"/>
        <v>0</v>
      </c>
      <c r="G78" t="str">
        <f>IF(IFERROR(IF(Str_TypeDonneesCpt3=Cpt_Index,Tab_Compteur_3[[#This Row],[Index]]-E77,Tab_Compteur_3[[#This Row],[Quantité]])/Tab_Compteur_3[[#This Row],[Delta Jour]],"")&lt;0,"",IFERROR(IF(Str_TypeDonneesCpt3=Cpt_Index,Tab_Compteur_3[[#This Row],[Index]]-E77,Tab_Compteur_3[[#This Row],[Quantité]])/Tab_Compteur_3[[#This Row],[Delta Jour]],""))</f>
        <v/>
      </c>
      <c r="H78" s="186" t="str">
        <f>IFERROR(Tab_Compteur_3[[#This Row],[Montant]]/Tab_Compteur_3[[#This Row],[Delta Jour]],"")</f>
        <v/>
      </c>
      <c r="I78" s="212" t="str">
        <f t="shared" si="4"/>
        <v/>
      </c>
      <c r="J78" s="209"/>
      <c r="K78" s="38"/>
      <c r="L78" s="38"/>
      <c r="M78" s="38"/>
    </row>
    <row r="79" spans="1:13">
      <c r="A79" s="55">
        <f t="shared" si="5"/>
        <v>1</v>
      </c>
      <c r="B79" s="231"/>
      <c r="C79" s="192"/>
      <c r="D79" s="191"/>
      <c r="E79" s="186"/>
      <c r="F79" s="186">
        <f t="shared" si="3"/>
        <v>0</v>
      </c>
      <c r="G79" t="str">
        <f>IF(IFERROR(IF(Str_TypeDonneesCpt3=Cpt_Index,Tab_Compteur_3[[#This Row],[Index]]-E78,Tab_Compteur_3[[#This Row],[Quantité]])/Tab_Compteur_3[[#This Row],[Delta Jour]],"")&lt;0,"",IFERROR(IF(Str_TypeDonneesCpt3=Cpt_Index,Tab_Compteur_3[[#This Row],[Index]]-E78,Tab_Compteur_3[[#This Row],[Quantité]])/Tab_Compteur_3[[#This Row],[Delta Jour]],""))</f>
        <v/>
      </c>
      <c r="H79" s="186" t="str">
        <f>IFERROR(Tab_Compteur_3[[#This Row],[Montant]]/Tab_Compteur_3[[#This Row],[Delta Jour]],"")</f>
        <v/>
      </c>
      <c r="I79" s="212" t="str">
        <f t="shared" si="4"/>
        <v/>
      </c>
      <c r="J79" s="209"/>
      <c r="K79" s="38"/>
      <c r="L79" s="38"/>
      <c r="M79" s="38"/>
    </row>
    <row r="80" spans="1:13">
      <c r="A80" s="55">
        <f t="shared" si="5"/>
        <v>1</v>
      </c>
      <c r="B80" s="231"/>
      <c r="C80" s="192"/>
      <c r="D80" s="191"/>
      <c r="E80" s="186"/>
      <c r="F80" s="186">
        <f t="shared" si="3"/>
        <v>0</v>
      </c>
      <c r="G80" t="str">
        <f>IF(IFERROR(IF(Str_TypeDonneesCpt3=Cpt_Index,Tab_Compteur_3[[#This Row],[Index]]-E79,Tab_Compteur_3[[#This Row],[Quantité]])/Tab_Compteur_3[[#This Row],[Delta Jour]],"")&lt;0,"",IFERROR(IF(Str_TypeDonneesCpt3=Cpt_Index,Tab_Compteur_3[[#This Row],[Index]]-E79,Tab_Compteur_3[[#This Row],[Quantité]])/Tab_Compteur_3[[#This Row],[Delta Jour]],""))</f>
        <v/>
      </c>
      <c r="H80" s="186" t="str">
        <f>IFERROR(Tab_Compteur_3[[#This Row],[Montant]]/Tab_Compteur_3[[#This Row],[Delta Jour]],"")</f>
        <v/>
      </c>
      <c r="I80" s="212" t="str">
        <f t="shared" si="4"/>
        <v/>
      </c>
      <c r="J80" s="209"/>
      <c r="K80" s="38"/>
      <c r="L80" s="38"/>
      <c r="M80" s="38"/>
    </row>
    <row r="81" spans="1:13">
      <c r="A81" s="55">
        <f t="shared" si="5"/>
        <v>1</v>
      </c>
      <c r="B81" s="231"/>
      <c r="C81" s="192"/>
      <c r="D81" s="191"/>
      <c r="E81" s="186"/>
      <c r="F81" s="186">
        <f t="shared" si="3"/>
        <v>0</v>
      </c>
      <c r="G81" t="str">
        <f>IF(IFERROR(IF(Str_TypeDonneesCpt3=Cpt_Index,Tab_Compteur_3[[#This Row],[Index]]-E80,Tab_Compteur_3[[#This Row],[Quantité]])/Tab_Compteur_3[[#This Row],[Delta Jour]],"")&lt;0,"",IFERROR(IF(Str_TypeDonneesCpt3=Cpt_Index,Tab_Compteur_3[[#This Row],[Index]]-E80,Tab_Compteur_3[[#This Row],[Quantité]])/Tab_Compteur_3[[#This Row],[Delta Jour]],""))</f>
        <v/>
      </c>
      <c r="H81" s="186" t="str">
        <f>IFERROR(Tab_Compteur_3[[#This Row],[Montant]]/Tab_Compteur_3[[#This Row],[Delta Jour]],"")</f>
        <v/>
      </c>
      <c r="I81" s="212" t="str">
        <f t="shared" si="4"/>
        <v/>
      </c>
      <c r="J81" s="209"/>
      <c r="K81" s="38"/>
      <c r="L81" s="38"/>
      <c r="M81" s="38"/>
    </row>
    <row r="82" spans="1:13">
      <c r="A82" s="55">
        <f t="shared" si="5"/>
        <v>1</v>
      </c>
      <c r="B82" s="231"/>
      <c r="C82" s="192"/>
      <c r="D82" s="191"/>
      <c r="E82" s="186"/>
      <c r="F82" s="186">
        <f t="shared" si="3"/>
        <v>0</v>
      </c>
      <c r="G82" t="str">
        <f>IF(IFERROR(IF(Str_TypeDonneesCpt3=Cpt_Index,Tab_Compteur_3[[#This Row],[Index]]-E81,Tab_Compteur_3[[#This Row],[Quantité]])/Tab_Compteur_3[[#This Row],[Delta Jour]],"")&lt;0,"",IFERROR(IF(Str_TypeDonneesCpt3=Cpt_Index,Tab_Compteur_3[[#This Row],[Index]]-E81,Tab_Compteur_3[[#This Row],[Quantité]])/Tab_Compteur_3[[#This Row],[Delta Jour]],""))</f>
        <v/>
      </c>
      <c r="H82" s="186" t="str">
        <f>IFERROR(Tab_Compteur_3[[#This Row],[Montant]]/Tab_Compteur_3[[#This Row],[Delta Jour]],"")</f>
        <v/>
      </c>
      <c r="I82" s="212" t="str">
        <f t="shared" si="4"/>
        <v/>
      </c>
      <c r="J82" s="209"/>
      <c r="K82" s="38"/>
      <c r="L82" s="38"/>
      <c r="M82" s="38"/>
    </row>
    <row r="83" spans="1:13">
      <c r="A83" s="55">
        <f t="shared" si="5"/>
        <v>1</v>
      </c>
      <c r="B83" s="231"/>
      <c r="C83" s="192"/>
      <c r="D83" s="191"/>
      <c r="E83" s="186"/>
      <c r="F83" s="186">
        <f t="shared" si="3"/>
        <v>0</v>
      </c>
      <c r="G83" t="str">
        <f>IF(IFERROR(IF(Str_TypeDonneesCpt3=Cpt_Index,Tab_Compteur_3[[#This Row],[Index]]-E82,Tab_Compteur_3[[#This Row],[Quantité]])/Tab_Compteur_3[[#This Row],[Delta Jour]],"")&lt;0,"",IFERROR(IF(Str_TypeDonneesCpt3=Cpt_Index,Tab_Compteur_3[[#This Row],[Index]]-E82,Tab_Compteur_3[[#This Row],[Quantité]])/Tab_Compteur_3[[#This Row],[Delta Jour]],""))</f>
        <v/>
      </c>
      <c r="H83" s="186" t="str">
        <f>IFERROR(Tab_Compteur_3[[#This Row],[Montant]]/Tab_Compteur_3[[#This Row],[Delta Jour]],"")</f>
        <v/>
      </c>
      <c r="I83" s="212" t="str">
        <f t="shared" si="4"/>
        <v/>
      </c>
      <c r="J83" s="209"/>
      <c r="K83" s="38"/>
      <c r="L83" s="38"/>
      <c r="M83" s="38"/>
    </row>
    <row r="84" spans="1:13">
      <c r="A84" s="55">
        <f t="shared" si="5"/>
        <v>1</v>
      </c>
      <c r="B84" s="231"/>
      <c r="C84" s="192"/>
      <c r="D84" s="191"/>
      <c r="E84" s="186"/>
      <c r="F84" s="186">
        <f t="shared" si="3"/>
        <v>0</v>
      </c>
      <c r="G84" t="str">
        <f>IF(IFERROR(IF(Str_TypeDonneesCpt3=Cpt_Index,Tab_Compteur_3[[#This Row],[Index]]-E83,Tab_Compteur_3[[#This Row],[Quantité]])/Tab_Compteur_3[[#This Row],[Delta Jour]],"")&lt;0,"",IFERROR(IF(Str_TypeDonneesCpt3=Cpt_Index,Tab_Compteur_3[[#This Row],[Index]]-E83,Tab_Compteur_3[[#This Row],[Quantité]])/Tab_Compteur_3[[#This Row],[Delta Jour]],""))</f>
        <v/>
      </c>
      <c r="H84" s="186" t="str">
        <f>IFERROR(Tab_Compteur_3[[#This Row],[Montant]]/Tab_Compteur_3[[#This Row],[Delta Jour]],"")</f>
        <v/>
      </c>
      <c r="I84" s="212" t="str">
        <f t="shared" si="4"/>
        <v/>
      </c>
      <c r="J84" s="209"/>
      <c r="K84" s="38"/>
      <c r="L84" s="38"/>
      <c r="M84" s="38"/>
    </row>
    <row r="85" spans="1:13">
      <c r="A85" s="55">
        <f t="shared" si="5"/>
        <v>1</v>
      </c>
      <c r="B85" s="231"/>
      <c r="C85" s="192"/>
      <c r="D85" s="191"/>
      <c r="E85" s="186"/>
      <c r="F85" s="186">
        <f t="shared" si="3"/>
        <v>0</v>
      </c>
      <c r="G85" t="str">
        <f>IF(IFERROR(IF(Str_TypeDonneesCpt3=Cpt_Index,Tab_Compteur_3[[#This Row],[Index]]-E84,Tab_Compteur_3[[#This Row],[Quantité]])/Tab_Compteur_3[[#This Row],[Delta Jour]],"")&lt;0,"",IFERROR(IF(Str_TypeDonneesCpt3=Cpt_Index,Tab_Compteur_3[[#This Row],[Index]]-E84,Tab_Compteur_3[[#This Row],[Quantité]])/Tab_Compteur_3[[#This Row],[Delta Jour]],""))</f>
        <v/>
      </c>
      <c r="H85" s="186" t="str">
        <f>IFERROR(Tab_Compteur_3[[#This Row],[Montant]]/Tab_Compteur_3[[#This Row],[Delta Jour]],"")</f>
        <v/>
      </c>
      <c r="I85" s="212" t="str">
        <f t="shared" si="4"/>
        <v/>
      </c>
      <c r="J85" s="209"/>
      <c r="K85" s="38"/>
      <c r="L85" s="38"/>
      <c r="M85" s="38"/>
    </row>
    <row r="86" spans="1:13">
      <c r="A86" s="55">
        <f t="shared" si="5"/>
        <v>1</v>
      </c>
      <c r="B86" s="231"/>
      <c r="C86" s="192"/>
      <c r="D86" s="191"/>
      <c r="E86" s="186"/>
      <c r="F86" s="186">
        <f t="shared" si="3"/>
        <v>0</v>
      </c>
      <c r="G86" t="str">
        <f>IF(IFERROR(IF(Str_TypeDonneesCpt3=Cpt_Index,Tab_Compteur_3[[#This Row],[Index]]-E85,Tab_Compteur_3[[#This Row],[Quantité]])/Tab_Compteur_3[[#This Row],[Delta Jour]],"")&lt;0,"",IFERROR(IF(Str_TypeDonneesCpt3=Cpt_Index,Tab_Compteur_3[[#This Row],[Index]]-E85,Tab_Compteur_3[[#This Row],[Quantité]])/Tab_Compteur_3[[#This Row],[Delta Jour]],""))</f>
        <v/>
      </c>
      <c r="H86" s="186" t="str">
        <f>IFERROR(Tab_Compteur_3[[#This Row],[Montant]]/Tab_Compteur_3[[#This Row],[Delta Jour]],"")</f>
        <v/>
      </c>
      <c r="I86" s="212" t="str">
        <f t="shared" si="4"/>
        <v/>
      </c>
      <c r="J86" s="209"/>
      <c r="K86" s="38"/>
      <c r="L86" s="38"/>
      <c r="M86" s="38"/>
    </row>
    <row r="87" spans="1:13">
      <c r="A87" s="55">
        <f t="shared" si="5"/>
        <v>1</v>
      </c>
      <c r="B87" s="231"/>
      <c r="C87" s="192"/>
      <c r="D87" s="191"/>
      <c r="E87" s="186"/>
      <c r="F87" s="186">
        <f t="shared" si="3"/>
        <v>0</v>
      </c>
      <c r="G87" t="str">
        <f>IF(IFERROR(IF(Str_TypeDonneesCpt3=Cpt_Index,Tab_Compteur_3[[#This Row],[Index]]-E86,Tab_Compteur_3[[#This Row],[Quantité]])/Tab_Compteur_3[[#This Row],[Delta Jour]],"")&lt;0,"",IFERROR(IF(Str_TypeDonneesCpt3=Cpt_Index,Tab_Compteur_3[[#This Row],[Index]]-E86,Tab_Compteur_3[[#This Row],[Quantité]])/Tab_Compteur_3[[#This Row],[Delta Jour]],""))</f>
        <v/>
      </c>
      <c r="H87" s="186" t="str">
        <f>IFERROR(Tab_Compteur_3[[#This Row],[Montant]]/Tab_Compteur_3[[#This Row],[Delta Jour]],"")</f>
        <v/>
      </c>
      <c r="I87" s="212" t="str">
        <f t="shared" si="4"/>
        <v/>
      </c>
      <c r="J87" s="209"/>
      <c r="K87" s="38"/>
      <c r="L87" s="38"/>
      <c r="M87" s="38"/>
    </row>
    <row r="88" spans="1:13">
      <c r="A88" s="55">
        <f t="shared" si="5"/>
        <v>1</v>
      </c>
      <c r="B88" s="231"/>
      <c r="C88" s="192"/>
      <c r="D88" s="191"/>
      <c r="E88" s="186"/>
      <c r="F88" s="186">
        <f t="shared" si="3"/>
        <v>0</v>
      </c>
      <c r="G88" t="str">
        <f>IF(IFERROR(IF(Str_TypeDonneesCpt3=Cpt_Index,Tab_Compteur_3[[#This Row],[Index]]-E87,Tab_Compteur_3[[#This Row],[Quantité]])/Tab_Compteur_3[[#This Row],[Delta Jour]],"")&lt;0,"",IFERROR(IF(Str_TypeDonneesCpt3=Cpt_Index,Tab_Compteur_3[[#This Row],[Index]]-E87,Tab_Compteur_3[[#This Row],[Quantité]])/Tab_Compteur_3[[#This Row],[Delta Jour]],""))</f>
        <v/>
      </c>
      <c r="H88" s="186" t="str">
        <f>IFERROR(Tab_Compteur_3[[#This Row],[Montant]]/Tab_Compteur_3[[#This Row],[Delta Jour]],"")</f>
        <v/>
      </c>
      <c r="I88" s="212" t="str">
        <f t="shared" si="4"/>
        <v/>
      </c>
      <c r="J88" s="209"/>
      <c r="K88" s="38"/>
      <c r="L88" s="38"/>
      <c r="M88" s="38"/>
    </row>
    <row r="89" spans="1:13">
      <c r="A89" s="55">
        <f t="shared" si="5"/>
        <v>1</v>
      </c>
      <c r="B89" s="231"/>
      <c r="C89" s="192"/>
      <c r="D89" s="191"/>
      <c r="E89" s="186"/>
      <c r="F89" s="186">
        <f t="shared" si="3"/>
        <v>0</v>
      </c>
      <c r="G89" t="str">
        <f>IF(IFERROR(IF(Str_TypeDonneesCpt3=Cpt_Index,Tab_Compteur_3[[#This Row],[Index]]-E88,Tab_Compteur_3[[#This Row],[Quantité]])/Tab_Compteur_3[[#This Row],[Delta Jour]],"")&lt;0,"",IFERROR(IF(Str_TypeDonneesCpt3=Cpt_Index,Tab_Compteur_3[[#This Row],[Index]]-E88,Tab_Compteur_3[[#This Row],[Quantité]])/Tab_Compteur_3[[#This Row],[Delta Jour]],""))</f>
        <v/>
      </c>
      <c r="H89" s="186" t="str">
        <f>IFERROR(Tab_Compteur_3[[#This Row],[Montant]]/Tab_Compteur_3[[#This Row],[Delta Jour]],"")</f>
        <v/>
      </c>
      <c r="I89" s="212" t="str">
        <f t="shared" si="4"/>
        <v/>
      </c>
      <c r="J89" s="209"/>
      <c r="K89" s="38"/>
      <c r="L89" s="38"/>
      <c r="M89" s="38"/>
    </row>
    <row r="90" spans="1:13">
      <c r="A90" s="55">
        <f t="shared" si="5"/>
        <v>1</v>
      </c>
      <c r="B90" s="231"/>
      <c r="C90" s="192"/>
      <c r="D90" s="191"/>
      <c r="E90" s="186"/>
      <c r="F90" s="186">
        <f t="shared" si="3"/>
        <v>0</v>
      </c>
      <c r="G90" t="str">
        <f>IF(IFERROR(IF(Str_TypeDonneesCpt3=Cpt_Index,Tab_Compteur_3[[#This Row],[Index]]-E89,Tab_Compteur_3[[#This Row],[Quantité]])/Tab_Compteur_3[[#This Row],[Delta Jour]],"")&lt;0,"",IFERROR(IF(Str_TypeDonneesCpt3=Cpt_Index,Tab_Compteur_3[[#This Row],[Index]]-E89,Tab_Compteur_3[[#This Row],[Quantité]])/Tab_Compteur_3[[#This Row],[Delta Jour]],""))</f>
        <v/>
      </c>
      <c r="H90" s="186" t="str">
        <f>IFERROR(Tab_Compteur_3[[#This Row],[Montant]]/Tab_Compteur_3[[#This Row],[Delta Jour]],"")</f>
        <v/>
      </c>
      <c r="I90" s="212" t="str">
        <f t="shared" si="4"/>
        <v/>
      </c>
      <c r="J90" s="209"/>
      <c r="K90" s="38"/>
      <c r="L90" s="38"/>
      <c r="M90" s="38"/>
    </row>
    <row r="91" spans="1:13">
      <c r="A91" s="55">
        <f t="shared" si="5"/>
        <v>1</v>
      </c>
      <c r="B91" s="231"/>
      <c r="C91" s="192"/>
      <c r="D91" s="191"/>
      <c r="E91" s="186"/>
      <c r="F91" s="186">
        <f t="shared" si="3"/>
        <v>0</v>
      </c>
      <c r="G91" t="str">
        <f>IF(IFERROR(IF(Str_TypeDonneesCpt3=Cpt_Index,Tab_Compteur_3[[#This Row],[Index]]-E90,Tab_Compteur_3[[#This Row],[Quantité]])/Tab_Compteur_3[[#This Row],[Delta Jour]],"")&lt;0,"",IFERROR(IF(Str_TypeDonneesCpt3=Cpt_Index,Tab_Compteur_3[[#This Row],[Index]]-E90,Tab_Compteur_3[[#This Row],[Quantité]])/Tab_Compteur_3[[#This Row],[Delta Jour]],""))</f>
        <v/>
      </c>
      <c r="H91" s="186" t="str">
        <f>IFERROR(Tab_Compteur_3[[#This Row],[Montant]]/Tab_Compteur_3[[#This Row],[Delta Jour]],"")</f>
        <v/>
      </c>
      <c r="I91" s="212" t="str">
        <f t="shared" si="4"/>
        <v/>
      </c>
      <c r="J91" s="209"/>
      <c r="K91" s="38"/>
      <c r="L91" s="38"/>
      <c r="M91" s="38"/>
    </row>
    <row r="92" spans="1:13">
      <c r="A92" s="55">
        <f t="shared" si="5"/>
        <v>1</v>
      </c>
      <c r="B92" s="231"/>
      <c r="C92" s="192"/>
      <c r="D92" s="191"/>
      <c r="E92" s="186"/>
      <c r="F92" s="186">
        <f t="shared" si="3"/>
        <v>0</v>
      </c>
      <c r="G92" t="str">
        <f>IF(IFERROR(IF(Str_TypeDonneesCpt3=Cpt_Index,Tab_Compteur_3[[#This Row],[Index]]-E91,Tab_Compteur_3[[#This Row],[Quantité]])/Tab_Compteur_3[[#This Row],[Delta Jour]],"")&lt;0,"",IFERROR(IF(Str_TypeDonneesCpt3=Cpt_Index,Tab_Compteur_3[[#This Row],[Index]]-E91,Tab_Compteur_3[[#This Row],[Quantité]])/Tab_Compteur_3[[#This Row],[Delta Jour]],""))</f>
        <v/>
      </c>
      <c r="H92" s="186" t="str">
        <f>IFERROR(Tab_Compteur_3[[#This Row],[Montant]]/Tab_Compteur_3[[#This Row],[Delta Jour]],"")</f>
        <v/>
      </c>
      <c r="I92" s="212" t="str">
        <f t="shared" si="4"/>
        <v/>
      </c>
      <c r="J92" s="209"/>
      <c r="K92" s="38"/>
      <c r="L92" s="38"/>
      <c r="M92" s="38"/>
    </row>
    <row r="93" spans="1:13">
      <c r="A93" s="55">
        <f t="shared" si="5"/>
        <v>1</v>
      </c>
      <c r="B93" s="231"/>
      <c r="C93" s="192"/>
      <c r="D93" s="191"/>
      <c r="E93" s="186"/>
      <c r="F93" s="186">
        <f t="shared" si="3"/>
        <v>0</v>
      </c>
      <c r="G93" t="str">
        <f>IF(IFERROR(IF(Str_TypeDonneesCpt3=Cpt_Index,Tab_Compteur_3[[#This Row],[Index]]-E92,Tab_Compteur_3[[#This Row],[Quantité]])/Tab_Compteur_3[[#This Row],[Delta Jour]],"")&lt;0,"",IFERROR(IF(Str_TypeDonneesCpt3=Cpt_Index,Tab_Compteur_3[[#This Row],[Index]]-E92,Tab_Compteur_3[[#This Row],[Quantité]])/Tab_Compteur_3[[#This Row],[Delta Jour]],""))</f>
        <v/>
      </c>
      <c r="H93" s="186" t="str">
        <f>IFERROR(Tab_Compteur_3[[#This Row],[Montant]]/Tab_Compteur_3[[#This Row],[Delta Jour]],"")</f>
        <v/>
      </c>
      <c r="I93" s="212" t="str">
        <f t="shared" si="4"/>
        <v/>
      </c>
      <c r="J93" s="209"/>
      <c r="K93" s="38"/>
      <c r="L93" s="38"/>
      <c r="M93" s="38"/>
    </row>
    <row r="94" spans="1:13">
      <c r="A94" s="55">
        <f t="shared" si="5"/>
        <v>1</v>
      </c>
      <c r="B94" s="231"/>
      <c r="C94" s="192"/>
      <c r="D94" s="191"/>
      <c r="E94" s="186"/>
      <c r="F94" s="186">
        <f t="shared" si="3"/>
        <v>0</v>
      </c>
      <c r="G94" t="str">
        <f>IF(IFERROR(IF(Str_TypeDonneesCpt3=Cpt_Index,Tab_Compteur_3[[#This Row],[Index]]-E93,Tab_Compteur_3[[#This Row],[Quantité]])/Tab_Compteur_3[[#This Row],[Delta Jour]],"")&lt;0,"",IFERROR(IF(Str_TypeDonneesCpt3=Cpt_Index,Tab_Compteur_3[[#This Row],[Index]]-E93,Tab_Compteur_3[[#This Row],[Quantité]])/Tab_Compteur_3[[#This Row],[Delta Jour]],""))</f>
        <v/>
      </c>
      <c r="H94" s="186" t="str">
        <f>IFERROR(Tab_Compteur_3[[#This Row],[Montant]]/Tab_Compteur_3[[#This Row],[Delta Jour]],"")</f>
        <v/>
      </c>
      <c r="I94" s="212" t="str">
        <f t="shared" si="4"/>
        <v/>
      </c>
      <c r="J94" s="209"/>
      <c r="K94" s="38"/>
      <c r="L94" s="38"/>
      <c r="M94" s="38"/>
    </row>
    <row r="95" spans="1:13">
      <c r="A95" s="55">
        <f t="shared" si="5"/>
        <v>1</v>
      </c>
      <c r="B95" s="231"/>
      <c r="C95" s="192"/>
      <c r="D95" s="191"/>
      <c r="E95" s="186"/>
      <c r="F95" s="186">
        <f t="shared" si="3"/>
        <v>0</v>
      </c>
      <c r="G95" t="str">
        <f>IF(IFERROR(IF(Str_TypeDonneesCpt3=Cpt_Index,Tab_Compteur_3[[#This Row],[Index]]-E94,Tab_Compteur_3[[#This Row],[Quantité]])/Tab_Compteur_3[[#This Row],[Delta Jour]],"")&lt;0,"",IFERROR(IF(Str_TypeDonneesCpt3=Cpt_Index,Tab_Compteur_3[[#This Row],[Index]]-E94,Tab_Compteur_3[[#This Row],[Quantité]])/Tab_Compteur_3[[#This Row],[Delta Jour]],""))</f>
        <v/>
      </c>
      <c r="H95" s="186" t="str">
        <f>IFERROR(Tab_Compteur_3[[#This Row],[Montant]]/Tab_Compteur_3[[#This Row],[Delta Jour]],"")</f>
        <v/>
      </c>
      <c r="I95" s="212" t="str">
        <f t="shared" si="4"/>
        <v/>
      </c>
      <c r="J95" s="209"/>
      <c r="K95" s="38"/>
      <c r="L95" s="38"/>
      <c r="M95" s="38"/>
    </row>
    <row r="96" spans="1:13">
      <c r="A96" s="55">
        <f t="shared" si="5"/>
        <v>1</v>
      </c>
      <c r="B96" s="231"/>
      <c r="C96" s="192"/>
      <c r="D96" s="191"/>
      <c r="E96" s="186"/>
      <c r="F96" s="186">
        <f t="shared" si="3"/>
        <v>0</v>
      </c>
      <c r="G96" t="str">
        <f>IF(IFERROR(IF(Str_TypeDonneesCpt3=Cpt_Index,Tab_Compteur_3[[#This Row],[Index]]-E95,Tab_Compteur_3[[#This Row],[Quantité]])/Tab_Compteur_3[[#This Row],[Delta Jour]],"")&lt;0,"",IFERROR(IF(Str_TypeDonneesCpt3=Cpt_Index,Tab_Compteur_3[[#This Row],[Index]]-E95,Tab_Compteur_3[[#This Row],[Quantité]])/Tab_Compteur_3[[#This Row],[Delta Jour]],""))</f>
        <v/>
      </c>
      <c r="H96" s="186" t="str">
        <f>IFERROR(Tab_Compteur_3[[#This Row],[Montant]]/Tab_Compteur_3[[#This Row],[Delta Jour]],"")</f>
        <v/>
      </c>
      <c r="I96" s="212" t="str">
        <f t="shared" si="4"/>
        <v/>
      </c>
      <c r="J96" s="209"/>
      <c r="K96" s="38"/>
      <c r="L96" s="38"/>
      <c r="M96" s="38"/>
    </row>
    <row r="97" spans="1:13">
      <c r="A97" s="55">
        <f t="shared" si="5"/>
        <v>1</v>
      </c>
      <c r="B97" s="231"/>
      <c r="C97" s="192"/>
      <c r="D97" s="191"/>
      <c r="E97" s="186"/>
      <c r="F97" s="186">
        <f t="shared" si="3"/>
        <v>0</v>
      </c>
      <c r="G97" t="str">
        <f>IF(IFERROR(IF(Str_TypeDonneesCpt3=Cpt_Index,Tab_Compteur_3[[#This Row],[Index]]-E96,Tab_Compteur_3[[#This Row],[Quantité]])/Tab_Compteur_3[[#This Row],[Delta Jour]],"")&lt;0,"",IFERROR(IF(Str_TypeDonneesCpt3=Cpt_Index,Tab_Compteur_3[[#This Row],[Index]]-E96,Tab_Compteur_3[[#This Row],[Quantité]])/Tab_Compteur_3[[#This Row],[Delta Jour]],""))</f>
        <v/>
      </c>
      <c r="H97" s="186" t="str">
        <f>IFERROR(Tab_Compteur_3[[#This Row],[Montant]]/Tab_Compteur_3[[#This Row],[Delta Jour]],"")</f>
        <v/>
      </c>
      <c r="I97" s="212" t="str">
        <f t="shared" si="4"/>
        <v/>
      </c>
      <c r="J97" s="209"/>
      <c r="K97" s="38"/>
      <c r="L97" s="38"/>
      <c r="M97" s="38"/>
    </row>
    <row r="98" spans="1:13">
      <c r="A98" s="55">
        <f t="shared" si="5"/>
        <v>1</v>
      </c>
      <c r="B98" s="231"/>
      <c r="C98" s="192"/>
      <c r="D98" s="191"/>
      <c r="E98" s="186"/>
      <c r="F98" s="186">
        <f t="shared" si="3"/>
        <v>0</v>
      </c>
      <c r="G98" t="str">
        <f>IF(IFERROR(IF(Str_TypeDonneesCpt3=Cpt_Index,Tab_Compteur_3[[#This Row],[Index]]-E97,Tab_Compteur_3[[#This Row],[Quantité]])/Tab_Compteur_3[[#This Row],[Delta Jour]],"")&lt;0,"",IFERROR(IF(Str_TypeDonneesCpt3=Cpt_Index,Tab_Compteur_3[[#This Row],[Index]]-E97,Tab_Compteur_3[[#This Row],[Quantité]])/Tab_Compteur_3[[#This Row],[Delta Jour]],""))</f>
        <v/>
      </c>
      <c r="H98" s="186" t="str">
        <f>IFERROR(Tab_Compteur_3[[#This Row],[Montant]]/Tab_Compteur_3[[#This Row],[Delta Jour]],"")</f>
        <v/>
      </c>
      <c r="I98" s="212" t="str">
        <f t="shared" si="4"/>
        <v/>
      </c>
      <c r="J98" s="209"/>
      <c r="K98" s="38"/>
      <c r="L98" s="38"/>
      <c r="M98" s="38"/>
    </row>
    <row r="99" spans="1:13">
      <c r="A99" s="55">
        <f t="shared" si="5"/>
        <v>1</v>
      </c>
      <c r="B99" s="231"/>
      <c r="C99" s="192"/>
      <c r="D99" s="191"/>
      <c r="E99" s="186"/>
      <c r="F99" s="186">
        <f t="shared" si="3"/>
        <v>0</v>
      </c>
      <c r="G99" t="str">
        <f>IF(IFERROR(IF(Str_TypeDonneesCpt3=Cpt_Index,Tab_Compteur_3[[#This Row],[Index]]-E98,Tab_Compteur_3[[#This Row],[Quantité]])/Tab_Compteur_3[[#This Row],[Delta Jour]],"")&lt;0,"",IFERROR(IF(Str_TypeDonneesCpt3=Cpt_Index,Tab_Compteur_3[[#This Row],[Index]]-E98,Tab_Compteur_3[[#This Row],[Quantité]])/Tab_Compteur_3[[#This Row],[Delta Jour]],""))</f>
        <v/>
      </c>
      <c r="H99" s="186" t="str">
        <f>IFERROR(Tab_Compteur_3[[#This Row],[Montant]]/Tab_Compteur_3[[#This Row],[Delta Jour]],"")</f>
        <v/>
      </c>
      <c r="I99" s="212" t="str">
        <f t="shared" si="4"/>
        <v/>
      </c>
      <c r="J99" s="209"/>
      <c r="K99" s="38"/>
      <c r="L99" s="38"/>
      <c r="M99" s="38"/>
    </row>
    <row r="100" spans="1:13">
      <c r="A100" s="55">
        <f t="shared" si="5"/>
        <v>1</v>
      </c>
      <c r="B100" s="231"/>
      <c r="C100" s="192"/>
      <c r="D100" s="191"/>
      <c r="E100" s="186"/>
      <c r="F100" s="186">
        <f t="shared" si="3"/>
        <v>0</v>
      </c>
      <c r="G100" t="str">
        <f>IF(IFERROR(IF(Str_TypeDonneesCpt3=Cpt_Index,Tab_Compteur_3[[#This Row],[Index]]-E99,Tab_Compteur_3[[#This Row],[Quantité]])/Tab_Compteur_3[[#This Row],[Delta Jour]],"")&lt;0,"",IFERROR(IF(Str_TypeDonneesCpt3=Cpt_Index,Tab_Compteur_3[[#This Row],[Index]]-E99,Tab_Compteur_3[[#This Row],[Quantité]])/Tab_Compteur_3[[#This Row],[Delta Jour]],""))</f>
        <v/>
      </c>
      <c r="H100" s="186" t="str">
        <f>IFERROR(Tab_Compteur_3[[#This Row],[Montant]]/Tab_Compteur_3[[#This Row],[Delta Jour]],"")</f>
        <v/>
      </c>
      <c r="I100" s="212" t="str">
        <f t="shared" si="4"/>
        <v/>
      </c>
      <c r="J100" s="209"/>
      <c r="K100" s="38"/>
      <c r="L100" s="38"/>
      <c r="M100" s="38"/>
    </row>
    <row r="101" spans="1:13">
      <c r="A101" s="55">
        <f t="shared" si="5"/>
        <v>1</v>
      </c>
      <c r="B101" s="231"/>
      <c r="C101" s="192"/>
      <c r="D101" s="191"/>
      <c r="E101" s="186"/>
      <c r="F101" s="186">
        <f t="shared" si="3"/>
        <v>0</v>
      </c>
      <c r="G101" t="str">
        <f>IF(IFERROR(IF(Str_TypeDonneesCpt3=Cpt_Index,Tab_Compteur_3[[#This Row],[Index]]-E100,Tab_Compteur_3[[#This Row],[Quantité]])/Tab_Compteur_3[[#This Row],[Delta Jour]],"")&lt;0,"",IFERROR(IF(Str_TypeDonneesCpt3=Cpt_Index,Tab_Compteur_3[[#This Row],[Index]]-E100,Tab_Compteur_3[[#This Row],[Quantité]])/Tab_Compteur_3[[#This Row],[Delta Jour]],""))</f>
        <v/>
      </c>
      <c r="H101" s="186" t="str">
        <f>IFERROR(Tab_Compteur_3[[#This Row],[Montant]]/Tab_Compteur_3[[#This Row],[Delta Jour]],"")</f>
        <v/>
      </c>
      <c r="I101" s="212" t="str">
        <f t="shared" si="4"/>
        <v/>
      </c>
      <c r="J101" s="209"/>
      <c r="K101" s="38"/>
      <c r="L101" s="38"/>
      <c r="M101" s="38"/>
    </row>
    <row r="102" spans="1:13">
      <c r="A102" s="55">
        <f t="shared" si="5"/>
        <v>1</v>
      </c>
      <c r="B102" s="231"/>
      <c r="C102" s="192"/>
      <c r="D102" s="191"/>
      <c r="E102" s="186"/>
      <c r="F102" s="186">
        <f t="shared" si="3"/>
        <v>0</v>
      </c>
      <c r="G102" t="str">
        <f>IF(IFERROR(IF(Str_TypeDonneesCpt3=Cpt_Index,Tab_Compteur_3[[#This Row],[Index]]-E101,Tab_Compteur_3[[#This Row],[Quantité]])/Tab_Compteur_3[[#This Row],[Delta Jour]],"")&lt;0,"",IFERROR(IF(Str_TypeDonneesCpt3=Cpt_Index,Tab_Compteur_3[[#This Row],[Index]]-E101,Tab_Compteur_3[[#This Row],[Quantité]])/Tab_Compteur_3[[#This Row],[Delta Jour]],""))</f>
        <v/>
      </c>
      <c r="H102" s="186" t="str">
        <f>IFERROR(Tab_Compteur_3[[#This Row],[Montant]]/Tab_Compteur_3[[#This Row],[Delta Jour]],"")</f>
        <v/>
      </c>
      <c r="I102" s="212" t="str">
        <f t="shared" si="4"/>
        <v/>
      </c>
      <c r="J102" s="209"/>
      <c r="K102" s="38"/>
      <c r="L102" s="38"/>
      <c r="M102" s="38"/>
    </row>
    <row r="103" spans="1:13">
      <c r="A103" s="55">
        <f t="shared" si="5"/>
        <v>1</v>
      </c>
      <c r="B103" s="231"/>
      <c r="C103" s="192"/>
      <c r="D103" s="191"/>
      <c r="E103" s="186"/>
      <c r="F103" s="186">
        <f t="shared" si="3"/>
        <v>0</v>
      </c>
      <c r="G103" t="str">
        <f>IF(IFERROR(IF(Str_TypeDonneesCpt3=Cpt_Index,Tab_Compteur_3[[#This Row],[Index]]-E102,Tab_Compteur_3[[#This Row],[Quantité]])/Tab_Compteur_3[[#This Row],[Delta Jour]],"")&lt;0,"",IFERROR(IF(Str_TypeDonneesCpt3=Cpt_Index,Tab_Compteur_3[[#This Row],[Index]]-E102,Tab_Compteur_3[[#This Row],[Quantité]])/Tab_Compteur_3[[#This Row],[Delta Jour]],""))</f>
        <v/>
      </c>
      <c r="H103" s="186" t="str">
        <f>IFERROR(Tab_Compteur_3[[#This Row],[Montant]]/Tab_Compteur_3[[#This Row],[Delta Jour]],"")</f>
        <v/>
      </c>
      <c r="I103" s="212" t="str">
        <f t="shared" si="4"/>
        <v/>
      </c>
      <c r="J103" s="209"/>
      <c r="K103" s="38"/>
      <c r="L103" s="38"/>
      <c r="M103" s="38"/>
    </row>
    <row r="104" spans="1:13">
      <c r="A104" s="55">
        <f t="shared" si="5"/>
        <v>1</v>
      </c>
      <c r="B104" s="231"/>
      <c r="C104" s="192"/>
      <c r="D104" s="191"/>
      <c r="E104" s="186"/>
      <c r="F104" s="186">
        <f t="shared" si="3"/>
        <v>0</v>
      </c>
      <c r="G104" t="str">
        <f>IF(IFERROR(IF(Str_TypeDonneesCpt3=Cpt_Index,Tab_Compteur_3[[#This Row],[Index]]-E103,Tab_Compteur_3[[#This Row],[Quantité]])/Tab_Compteur_3[[#This Row],[Delta Jour]],"")&lt;0,"",IFERROR(IF(Str_TypeDonneesCpt3=Cpt_Index,Tab_Compteur_3[[#This Row],[Index]]-E103,Tab_Compteur_3[[#This Row],[Quantité]])/Tab_Compteur_3[[#This Row],[Delta Jour]],""))</f>
        <v/>
      </c>
      <c r="H104" s="186" t="str">
        <f>IFERROR(Tab_Compteur_3[[#This Row],[Montant]]/Tab_Compteur_3[[#This Row],[Delta Jour]],"")</f>
        <v/>
      </c>
      <c r="I104" s="212" t="str">
        <f t="shared" si="4"/>
        <v/>
      </c>
      <c r="J104" s="209"/>
      <c r="K104" s="38"/>
      <c r="L104" s="38"/>
      <c r="M104" s="38"/>
    </row>
    <row r="105" spans="1:13">
      <c r="A105" s="55">
        <f t="shared" si="5"/>
        <v>1</v>
      </c>
      <c r="B105" s="231"/>
      <c r="C105" s="192"/>
      <c r="D105" s="191"/>
      <c r="E105" s="186"/>
      <c r="F105" s="186">
        <f t="shared" si="3"/>
        <v>0</v>
      </c>
      <c r="G105" t="str">
        <f>IF(IFERROR(IF(Str_TypeDonneesCpt3=Cpt_Index,Tab_Compteur_3[[#This Row],[Index]]-E104,Tab_Compteur_3[[#This Row],[Quantité]])/Tab_Compteur_3[[#This Row],[Delta Jour]],"")&lt;0,"",IFERROR(IF(Str_TypeDonneesCpt3=Cpt_Index,Tab_Compteur_3[[#This Row],[Index]]-E104,Tab_Compteur_3[[#This Row],[Quantité]])/Tab_Compteur_3[[#This Row],[Delta Jour]],""))</f>
        <v/>
      </c>
      <c r="H105" s="186" t="str">
        <f>IFERROR(Tab_Compteur_3[[#This Row],[Montant]]/Tab_Compteur_3[[#This Row],[Delta Jour]],"")</f>
        <v/>
      </c>
      <c r="I105" s="212" t="str">
        <f t="shared" si="4"/>
        <v/>
      </c>
      <c r="J105" s="209"/>
      <c r="K105" s="38"/>
      <c r="L105" s="38"/>
      <c r="M105" s="38"/>
    </row>
    <row r="106" spans="1:13">
      <c r="A106" s="55">
        <f t="shared" si="5"/>
        <v>1</v>
      </c>
      <c r="B106" s="231"/>
      <c r="C106" s="192"/>
      <c r="D106" s="191"/>
      <c r="E106" s="186"/>
      <c r="F106" s="186">
        <f t="shared" si="3"/>
        <v>0</v>
      </c>
      <c r="G106" t="str">
        <f>IF(IFERROR(IF(Str_TypeDonneesCpt3=Cpt_Index,Tab_Compteur_3[[#This Row],[Index]]-E105,Tab_Compteur_3[[#This Row],[Quantité]])/Tab_Compteur_3[[#This Row],[Delta Jour]],"")&lt;0,"",IFERROR(IF(Str_TypeDonneesCpt3=Cpt_Index,Tab_Compteur_3[[#This Row],[Index]]-E105,Tab_Compteur_3[[#This Row],[Quantité]])/Tab_Compteur_3[[#This Row],[Delta Jour]],""))</f>
        <v/>
      </c>
      <c r="H106" s="186" t="str">
        <f>IFERROR(Tab_Compteur_3[[#This Row],[Montant]]/Tab_Compteur_3[[#This Row],[Delta Jour]],"")</f>
        <v/>
      </c>
      <c r="I106" s="212" t="str">
        <f t="shared" si="4"/>
        <v/>
      </c>
      <c r="J106" s="209"/>
      <c r="K106" s="38"/>
      <c r="L106" s="38"/>
      <c r="M106" s="38"/>
    </row>
    <row r="107" spans="1:13">
      <c r="A107" s="55">
        <f t="shared" si="5"/>
        <v>1</v>
      </c>
      <c r="B107" s="231"/>
      <c r="C107" s="192"/>
      <c r="D107" s="191"/>
      <c r="E107" s="186"/>
      <c r="F107" s="186">
        <f t="shared" si="3"/>
        <v>0</v>
      </c>
      <c r="G107" t="str">
        <f>IF(IFERROR(IF(Str_TypeDonneesCpt3=Cpt_Index,Tab_Compteur_3[[#This Row],[Index]]-E106,Tab_Compteur_3[[#This Row],[Quantité]])/Tab_Compteur_3[[#This Row],[Delta Jour]],"")&lt;0,"",IFERROR(IF(Str_TypeDonneesCpt3=Cpt_Index,Tab_Compteur_3[[#This Row],[Index]]-E106,Tab_Compteur_3[[#This Row],[Quantité]])/Tab_Compteur_3[[#This Row],[Delta Jour]],""))</f>
        <v/>
      </c>
      <c r="H107" s="186" t="str">
        <f>IFERROR(Tab_Compteur_3[[#This Row],[Montant]]/Tab_Compteur_3[[#This Row],[Delta Jour]],"")</f>
        <v/>
      </c>
      <c r="I107" s="212" t="str">
        <f t="shared" si="4"/>
        <v/>
      </c>
      <c r="J107" s="209"/>
      <c r="K107" s="38"/>
      <c r="L107" s="38"/>
      <c r="M107" s="38"/>
    </row>
    <row r="108" spans="1:13">
      <c r="A108" s="55">
        <f t="shared" si="5"/>
        <v>1</v>
      </c>
      <c r="B108" s="231"/>
      <c r="C108" s="192"/>
      <c r="D108" s="191"/>
      <c r="E108" s="186"/>
      <c r="F108" s="186">
        <f t="shared" si="3"/>
        <v>0</v>
      </c>
      <c r="G108" t="str">
        <f>IF(IFERROR(IF(Str_TypeDonneesCpt3=Cpt_Index,Tab_Compteur_3[[#This Row],[Index]]-E107,Tab_Compteur_3[[#This Row],[Quantité]])/Tab_Compteur_3[[#This Row],[Delta Jour]],"")&lt;0,"",IFERROR(IF(Str_TypeDonneesCpt3=Cpt_Index,Tab_Compteur_3[[#This Row],[Index]]-E107,Tab_Compteur_3[[#This Row],[Quantité]])/Tab_Compteur_3[[#This Row],[Delta Jour]],""))</f>
        <v/>
      </c>
      <c r="H108" s="186" t="str">
        <f>IFERROR(Tab_Compteur_3[[#This Row],[Montant]]/Tab_Compteur_3[[#This Row],[Delta Jour]],"")</f>
        <v/>
      </c>
      <c r="I108" s="212" t="str">
        <f t="shared" si="4"/>
        <v/>
      </c>
      <c r="J108" s="209"/>
      <c r="K108" s="38"/>
      <c r="L108" s="38"/>
      <c r="M108" s="38"/>
    </row>
    <row r="109" spans="1:13">
      <c r="A109" s="55">
        <f t="shared" si="5"/>
        <v>1</v>
      </c>
      <c r="B109" s="231"/>
      <c r="C109" s="192"/>
      <c r="D109" s="191"/>
      <c r="E109" s="186"/>
      <c r="F109" s="186">
        <f t="shared" si="3"/>
        <v>0</v>
      </c>
      <c r="G109" t="str">
        <f>IF(IFERROR(IF(Str_TypeDonneesCpt3=Cpt_Index,Tab_Compteur_3[[#This Row],[Index]]-E108,Tab_Compteur_3[[#This Row],[Quantité]])/Tab_Compteur_3[[#This Row],[Delta Jour]],"")&lt;0,"",IFERROR(IF(Str_TypeDonneesCpt3=Cpt_Index,Tab_Compteur_3[[#This Row],[Index]]-E108,Tab_Compteur_3[[#This Row],[Quantité]])/Tab_Compteur_3[[#This Row],[Delta Jour]],""))</f>
        <v/>
      </c>
      <c r="H109" s="186" t="str">
        <f>IFERROR(Tab_Compteur_3[[#This Row],[Montant]]/Tab_Compteur_3[[#This Row],[Delta Jour]],"")</f>
        <v/>
      </c>
      <c r="I109" s="212" t="str">
        <f t="shared" si="4"/>
        <v/>
      </c>
      <c r="J109" s="209"/>
      <c r="K109" s="38"/>
      <c r="L109" s="38"/>
      <c r="M109" s="38"/>
    </row>
    <row r="110" spans="1:13">
      <c r="A110" s="55">
        <f t="shared" si="5"/>
        <v>1</v>
      </c>
      <c r="B110" s="231"/>
      <c r="C110" s="192"/>
      <c r="D110" s="191"/>
      <c r="E110" s="186"/>
      <c r="F110" s="186">
        <f t="shared" si="3"/>
        <v>0</v>
      </c>
      <c r="G110" t="str">
        <f>IF(IFERROR(IF(Str_TypeDonneesCpt3=Cpt_Index,Tab_Compteur_3[[#This Row],[Index]]-E109,Tab_Compteur_3[[#This Row],[Quantité]])/Tab_Compteur_3[[#This Row],[Delta Jour]],"")&lt;0,"",IFERROR(IF(Str_TypeDonneesCpt3=Cpt_Index,Tab_Compteur_3[[#This Row],[Index]]-E109,Tab_Compteur_3[[#This Row],[Quantité]])/Tab_Compteur_3[[#This Row],[Delta Jour]],""))</f>
        <v/>
      </c>
      <c r="H110" s="186" t="str">
        <f>IFERROR(Tab_Compteur_3[[#This Row],[Montant]]/Tab_Compteur_3[[#This Row],[Delta Jour]],"")</f>
        <v/>
      </c>
      <c r="I110" s="212" t="str">
        <f t="shared" si="4"/>
        <v/>
      </c>
      <c r="J110" s="209"/>
      <c r="K110" s="38"/>
      <c r="L110" s="38"/>
      <c r="M110" s="38"/>
    </row>
    <row r="111" spans="1:13">
      <c r="A111" s="55">
        <f t="shared" si="5"/>
        <v>1</v>
      </c>
      <c r="B111" s="231"/>
      <c r="C111" s="192"/>
      <c r="D111" s="191"/>
      <c r="E111" s="186"/>
      <c r="F111" s="186">
        <f t="shared" si="3"/>
        <v>0</v>
      </c>
      <c r="G111" t="str">
        <f>IF(IFERROR(IF(Str_TypeDonneesCpt3=Cpt_Index,Tab_Compteur_3[[#This Row],[Index]]-E110,Tab_Compteur_3[[#This Row],[Quantité]])/Tab_Compteur_3[[#This Row],[Delta Jour]],"")&lt;0,"",IFERROR(IF(Str_TypeDonneesCpt3=Cpt_Index,Tab_Compteur_3[[#This Row],[Index]]-E110,Tab_Compteur_3[[#This Row],[Quantité]])/Tab_Compteur_3[[#This Row],[Delta Jour]],""))</f>
        <v/>
      </c>
      <c r="H111" s="186" t="str">
        <f>IFERROR(Tab_Compteur_3[[#This Row],[Montant]]/Tab_Compteur_3[[#This Row],[Delta Jour]],"")</f>
        <v/>
      </c>
      <c r="I111" s="212" t="str">
        <f t="shared" si="4"/>
        <v/>
      </c>
      <c r="J111" s="209"/>
      <c r="K111" s="38"/>
      <c r="L111" s="38"/>
      <c r="M111" s="38"/>
    </row>
    <row r="112" spans="1:13">
      <c r="A112" s="55">
        <f t="shared" si="5"/>
        <v>1</v>
      </c>
      <c r="B112" s="231"/>
      <c r="C112" s="192"/>
      <c r="D112" s="191"/>
      <c r="E112" s="186"/>
      <c r="F112" s="186">
        <f t="shared" si="3"/>
        <v>0</v>
      </c>
      <c r="G112" t="str">
        <f>IF(IFERROR(IF(Str_TypeDonneesCpt3=Cpt_Index,Tab_Compteur_3[[#This Row],[Index]]-E111,Tab_Compteur_3[[#This Row],[Quantité]])/Tab_Compteur_3[[#This Row],[Delta Jour]],"")&lt;0,"",IFERROR(IF(Str_TypeDonneesCpt3=Cpt_Index,Tab_Compteur_3[[#This Row],[Index]]-E111,Tab_Compteur_3[[#This Row],[Quantité]])/Tab_Compteur_3[[#This Row],[Delta Jour]],""))</f>
        <v/>
      </c>
      <c r="H112" s="186" t="str">
        <f>IFERROR(Tab_Compteur_3[[#This Row],[Montant]]/Tab_Compteur_3[[#This Row],[Delta Jour]],"")</f>
        <v/>
      </c>
      <c r="I112" s="212" t="str">
        <f t="shared" si="4"/>
        <v/>
      </c>
      <c r="J112" s="209"/>
      <c r="K112" s="38"/>
      <c r="L112" s="38"/>
      <c r="M112" s="38"/>
    </row>
    <row r="113" spans="1:13">
      <c r="A113" s="55">
        <f t="shared" si="5"/>
        <v>1</v>
      </c>
      <c r="B113" s="231"/>
      <c r="C113" s="192"/>
      <c r="D113" s="191"/>
      <c r="E113" s="186"/>
      <c r="F113" s="186">
        <f t="shared" si="3"/>
        <v>0</v>
      </c>
      <c r="G113" t="str">
        <f>IF(IFERROR(IF(Str_TypeDonneesCpt3=Cpt_Index,Tab_Compteur_3[[#This Row],[Index]]-E112,Tab_Compteur_3[[#This Row],[Quantité]])/Tab_Compteur_3[[#This Row],[Delta Jour]],"")&lt;0,"",IFERROR(IF(Str_TypeDonneesCpt3=Cpt_Index,Tab_Compteur_3[[#This Row],[Index]]-E112,Tab_Compteur_3[[#This Row],[Quantité]])/Tab_Compteur_3[[#This Row],[Delta Jour]],""))</f>
        <v/>
      </c>
      <c r="H113" s="186" t="str">
        <f>IFERROR(Tab_Compteur_3[[#This Row],[Montant]]/Tab_Compteur_3[[#This Row],[Delta Jour]],"")</f>
        <v/>
      </c>
      <c r="I113" s="212" t="str">
        <f t="shared" si="4"/>
        <v/>
      </c>
      <c r="J113" s="209"/>
      <c r="K113" s="38"/>
      <c r="L113" s="38"/>
      <c r="M113" s="38"/>
    </row>
    <row r="114" spans="1:13">
      <c r="A114" s="55">
        <f t="shared" si="5"/>
        <v>1</v>
      </c>
      <c r="B114" s="231"/>
      <c r="C114" s="192"/>
      <c r="D114" s="191"/>
      <c r="E114" s="186"/>
      <c r="F114" s="186">
        <f t="shared" si="3"/>
        <v>0</v>
      </c>
      <c r="G114" t="str">
        <f>IF(IFERROR(IF(Str_TypeDonneesCpt3=Cpt_Index,Tab_Compteur_3[[#This Row],[Index]]-E113,Tab_Compteur_3[[#This Row],[Quantité]])/Tab_Compteur_3[[#This Row],[Delta Jour]],"")&lt;0,"",IFERROR(IF(Str_TypeDonneesCpt3=Cpt_Index,Tab_Compteur_3[[#This Row],[Index]]-E113,Tab_Compteur_3[[#This Row],[Quantité]])/Tab_Compteur_3[[#This Row],[Delta Jour]],""))</f>
        <v/>
      </c>
      <c r="H114" s="186" t="str">
        <f>IFERROR(Tab_Compteur_3[[#This Row],[Montant]]/Tab_Compteur_3[[#This Row],[Delta Jour]],"")</f>
        <v/>
      </c>
      <c r="I114" s="212" t="str">
        <f t="shared" si="4"/>
        <v/>
      </c>
      <c r="J114" s="209"/>
      <c r="K114" s="38"/>
      <c r="L114" s="38"/>
      <c r="M114" s="38"/>
    </row>
    <row r="115" spans="1:13">
      <c r="A115" s="55">
        <f t="shared" si="5"/>
        <v>1</v>
      </c>
      <c r="B115" s="231"/>
      <c r="C115" s="192"/>
      <c r="D115" s="191"/>
      <c r="E115" s="186"/>
      <c r="F115" s="186">
        <f t="shared" si="3"/>
        <v>0</v>
      </c>
      <c r="G115" t="str">
        <f>IF(IFERROR(IF(Str_TypeDonneesCpt3=Cpt_Index,Tab_Compteur_3[[#This Row],[Index]]-E114,Tab_Compteur_3[[#This Row],[Quantité]])/Tab_Compteur_3[[#This Row],[Delta Jour]],"")&lt;0,"",IFERROR(IF(Str_TypeDonneesCpt3=Cpt_Index,Tab_Compteur_3[[#This Row],[Index]]-E114,Tab_Compteur_3[[#This Row],[Quantité]])/Tab_Compteur_3[[#This Row],[Delta Jour]],""))</f>
        <v/>
      </c>
      <c r="H115" s="186" t="str">
        <f>IFERROR(Tab_Compteur_3[[#This Row],[Montant]]/Tab_Compteur_3[[#This Row],[Delta Jour]],"")</f>
        <v/>
      </c>
      <c r="I115" s="212" t="str">
        <f t="shared" si="4"/>
        <v/>
      </c>
      <c r="J115" s="209"/>
      <c r="K115" s="38"/>
      <c r="L115" s="38"/>
      <c r="M115" s="38"/>
    </row>
    <row r="116" spans="1:13">
      <c r="A116" s="55">
        <f t="shared" si="5"/>
        <v>1</v>
      </c>
      <c r="B116" s="231"/>
      <c r="C116" s="192"/>
      <c r="D116" s="191"/>
      <c r="E116" s="186"/>
      <c r="F116" s="186">
        <f t="shared" si="3"/>
        <v>0</v>
      </c>
      <c r="G116" t="str">
        <f>IF(IFERROR(IF(Str_TypeDonneesCpt3=Cpt_Index,Tab_Compteur_3[[#This Row],[Index]]-E115,Tab_Compteur_3[[#This Row],[Quantité]])/Tab_Compteur_3[[#This Row],[Delta Jour]],"")&lt;0,"",IFERROR(IF(Str_TypeDonneesCpt3=Cpt_Index,Tab_Compteur_3[[#This Row],[Index]]-E115,Tab_Compteur_3[[#This Row],[Quantité]])/Tab_Compteur_3[[#This Row],[Delta Jour]],""))</f>
        <v/>
      </c>
      <c r="H116" s="186" t="str">
        <f>IFERROR(Tab_Compteur_3[[#This Row],[Montant]]/Tab_Compteur_3[[#This Row],[Delta Jour]],"")</f>
        <v/>
      </c>
      <c r="I116" s="212" t="str">
        <f t="shared" si="4"/>
        <v/>
      </c>
      <c r="J116" s="209"/>
      <c r="K116" s="38"/>
      <c r="L116" s="38"/>
      <c r="M116" s="38"/>
    </row>
    <row r="117" spans="1:13">
      <c r="A117" s="55">
        <f t="shared" si="5"/>
        <v>1</v>
      </c>
      <c r="B117" s="231"/>
      <c r="C117" s="192"/>
      <c r="D117" s="191"/>
      <c r="E117" s="186"/>
      <c r="F117" s="186">
        <f t="shared" si="3"/>
        <v>0</v>
      </c>
      <c r="G117" t="str">
        <f>IF(IFERROR(IF(Str_TypeDonneesCpt3=Cpt_Index,Tab_Compteur_3[[#This Row],[Index]]-E116,Tab_Compteur_3[[#This Row],[Quantité]])/Tab_Compteur_3[[#This Row],[Delta Jour]],"")&lt;0,"",IFERROR(IF(Str_TypeDonneesCpt3=Cpt_Index,Tab_Compteur_3[[#This Row],[Index]]-E116,Tab_Compteur_3[[#This Row],[Quantité]])/Tab_Compteur_3[[#This Row],[Delta Jour]],""))</f>
        <v/>
      </c>
      <c r="H117" s="186" t="str">
        <f>IFERROR(Tab_Compteur_3[[#This Row],[Montant]]/Tab_Compteur_3[[#This Row],[Delta Jour]],"")</f>
        <v/>
      </c>
      <c r="I117" s="212" t="str">
        <f t="shared" si="4"/>
        <v/>
      </c>
      <c r="J117" s="209"/>
      <c r="K117" s="38"/>
      <c r="L117" s="38"/>
      <c r="M117" s="38"/>
    </row>
    <row r="118" spans="1:13">
      <c r="A118" s="55">
        <f t="shared" si="5"/>
        <v>1</v>
      </c>
      <c r="B118" s="231"/>
      <c r="C118" s="192"/>
      <c r="D118" s="191"/>
      <c r="E118" s="186"/>
      <c r="F118" s="186">
        <f t="shared" si="3"/>
        <v>0</v>
      </c>
      <c r="G118" t="str">
        <f>IF(IFERROR(IF(Str_TypeDonneesCpt3=Cpt_Index,Tab_Compteur_3[[#This Row],[Index]]-E117,Tab_Compteur_3[[#This Row],[Quantité]])/Tab_Compteur_3[[#This Row],[Delta Jour]],"")&lt;0,"",IFERROR(IF(Str_TypeDonneesCpt3=Cpt_Index,Tab_Compteur_3[[#This Row],[Index]]-E117,Tab_Compteur_3[[#This Row],[Quantité]])/Tab_Compteur_3[[#This Row],[Delta Jour]],""))</f>
        <v/>
      </c>
      <c r="H118" s="186" t="str">
        <f>IFERROR(Tab_Compteur_3[[#This Row],[Montant]]/Tab_Compteur_3[[#This Row],[Delta Jour]],"")</f>
        <v/>
      </c>
      <c r="I118" s="212" t="str">
        <f t="shared" si="4"/>
        <v/>
      </c>
      <c r="J118" s="209"/>
      <c r="K118" s="38"/>
      <c r="L118" s="38"/>
      <c r="M118" s="38"/>
    </row>
    <row r="119" spans="1:13">
      <c r="A119" s="55">
        <f t="shared" si="5"/>
        <v>1</v>
      </c>
      <c r="B119" s="231"/>
      <c r="C119" s="192"/>
      <c r="D119" s="191"/>
      <c r="E119" s="186"/>
      <c r="F119" s="186">
        <f t="shared" si="3"/>
        <v>0</v>
      </c>
      <c r="G119" t="str">
        <f>IF(IFERROR(IF(Str_TypeDonneesCpt3=Cpt_Index,Tab_Compteur_3[[#This Row],[Index]]-E118,Tab_Compteur_3[[#This Row],[Quantité]])/Tab_Compteur_3[[#This Row],[Delta Jour]],"")&lt;0,"",IFERROR(IF(Str_TypeDonneesCpt3=Cpt_Index,Tab_Compteur_3[[#This Row],[Index]]-E118,Tab_Compteur_3[[#This Row],[Quantité]])/Tab_Compteur_3[[#This Row],[Delta Jour]],""))</f>
        <v/>
      </c>
      <c r="H119" s="186" t="str">
        <f>IFERROR(Tab_Compteur_3[[#This Row],[Montant]]/Tab_Compteur_3[[#This Row],[Delta Jour]],"")</f>
        <v/>
      </c>
      <c r="I119" s="212" t="str">
        <f t="shared" si="4"/>
        <v/>
      </c>
      <c r="J119" s="209"/>
      <c r="K119" s="38"/>
      <c r="L119" s="38"/>
      <c r="M119" s="38"/>
    </row>
    <row r="120" spans="1:13">
      <c r="A120" s="55">
        <f t="shared" si="5"/>
        <v>1</v>
      </c>
      <c r="B120" s="231"/>
      <c r="C120" s="192"/>
      <c r="D120" s="191"/>
      <c r="E120" s="186"/>
      <c r="F120" s="186">
        <f t="shared" si="3"/>
        <v>0</v>
      </c>
      <c r="G120" t="str">
        <f>IF(IFERROR(IF(Str_TypeDonneesCpt3=Cpt_Index,Tab_Compteur_3[[#This Row],[Index]]-E119,Tab_Compteur_3[[#This Row],[Quantité]])/Tab_Compteur_3[[#This Row],[Delta Jour]],"")&lt;0,"",IFERROR(IF(Str_TypeDonneesCpt3=Cpt_Index,Tab_Compteur_3[[#This Row],[Index]]-E119,Tab_Compteur_3[[#This Row],[Quantité]])/Tab_Compteur_3[[#This Row],[Delta Jour]],""))</f>
        <v/>
      </c>
      <c r="H120" s="186" t="str">
        <f>IFERROR(Tab_Compteur_3[[#This Row],[Montant]]/Tab_Compteur_3[[#This Row],[Delta Jour]],"")</f>
        <v/>
      </c>
      <c r="I120" s="212" t="str">
        <f t="shared" si="4"/>
        <v/>
      </c>
      <c r="J120" s="209"/>
      <c r="K120" s="38"/>
      <c r="L120" s="38"/>
      <c r="M120" s="38"/>
    </row>
    <row r="121" spans="1:13">
      <c r="A121" s="55">
        <f t="shared" si="5"/>
        <v>1</v>
      </c>
      <c r="B121" s="231"/>
      <c r="C121" s="192"/>
      <c r="D121" s="191"/>
      <c r="E121" s="186"/>
      <c r="F121" s="186">
        <f t="shared" si="3"/>
        <v>0</v>
      </c>
      <c r="G121" t="str">
        <f>IF(IFERROR(IF(Str_TypeDonneesCpt3=Cpt_Index,Tab_Compteur_3[[#This Row],[Index]]-E120,Tab_Compteur_3[[#This Row],[Quantité]])/Tab_Compteur_3[[#This Row],[Delta Jour]],"")&lt;0,"",IFERROR(IF(Str_TypeDonneesCpt3=Cpt_Index,Tab_Compteur_3[[#This Row],[Index]]-E120,Tab_Compteur_3[[#This Row],[Quantité]])/Tab_Compteur_3[[#This Row],[Delta Jour]],""))</f>
        <v/>
      </c>
      <c r="H121" s="186" t="str">
        <f>IFERROR(Tab_Compteur_3[[#This Row],[Montant]]/Tab_Compteur_3[[#This Row],[Delta Jour]],"")</f>
        <v/>
      </c>
      <c r="I121" s="212" t="str">
        <f t="shared" si="4"/>
        <v/>
      </c>
      <c r="J121" s="209"/>
      <c r="K121" s="38"/>
      <c r="L121" s="38"/>
      <c r="M121" s="38"/>
    </row>
    <row r="122" spans="1:13">
      <c r="A122" s="55">
        <f t="shared" si="5"/>
        <v>1</v>
      </c>
      <c r="B122" s="231"/>
      <c r="C122" s="192"/>
      <c r="D122" s="191"/>
      <c r="E122" s="186"/>
      <c r="F122" s="186">
        <f t="shared" si="3"/>
        <v>0</v>
      </c>
      <c r="G122" t="str">
        <f>IF(IFERROR(IF(Str_TypeDonneesCpt3=Cpt_Index,Tab_Compteur_3[[#This Row],[Index]]-E121,Tab_Compteur_3[[#This Row],[Quantité]])/Tab_Compteur_3[[#This Row],[Delta Jour]],"")&lt;0,"",IFERROR(IF(Str_TypeDonneesCpt3=Cpt_Index,Tab_Compteur_3[[#This Row],[Index]]-E121,Tab_Compteur_3[[#This Row],[Quantité]])/Tab_Compteur_3[[#This Row],[Delta Jour]],""))</f>
        <v/>
      </c>
      <c r="H122" s="186" t="str">
        <f>IFERROR(Tab_Compteur_3[[#This Row],[Montant]]/Tab_Compteur_3[[#This Row],[Delta Jour]],"")</f>
        <v/>
      </c>
      <c r="I122" s="212" t="str">
        <f t="shared" si="4"/>
        <v/>
      </c>
      <c r="J122" s="209"/>
      <c r="K122" s="38"/>
      <c r="L122" s="38"/>
      <c r="M122" s="38"/>
    </row>
    <row r="123" spans="1:13">
      <c r="A123" s="55">
        <f t="shared" si="5"/>
        <v>1</v>
      </c>
      <c r="B123" s="231"/>
      <c r="C123" s="192"/>
      <c r="D123" s="191"/>
      <c r="E123" s="186"/>
      <c r="F123" s="186">
        <f t="shared" si="3"/>
        <v>0</v>
      </c>
      <c r="G123" t="str">
        <f>IF(IFERROR(IF(Str_TypeDonneesCpt3=Cpt_Index,Tab_Compteur_3[[#This Row],[Index]]-E122,Tab_Compteur_3[[#This Row],[Quantité]])/Tab_Compteur_3[[#This Row],[Delta Jour]],"")&lt;0,"",IFERROR(IF(Str_TypeDonneesCpt3=Cpt_Index,Tab_Compteur_3[[#This Row],[Index]]-E122,Tab_Compteur_3[[#This Row],[Quantité]])/Tab_Compteur_3[[#This Row],[Delta Jour]],""))</f>
        <v/>
      </c>
      <c r="H123" s="186" t="str">
        <f>IFERROR(Tab_Compteur_3[[#This Row],[Montant]]/Tab_Compteur_3[[#This Row],[Delta Jour]],"")</f>
        <v/>
      </c>
      <c r="I123" s="212" t="str">
        <f t="shared" si="4"/>
        <v/>
      </c>
      <c r="J123" s="209"/>
      <c r="K123" s="38"/>
      <c r="L123" s="38"/>
      <c r="M123" s="38"/>
    </row>
    <row r="124" spans="1:13">
      <c r="A124" s="55">
        <f t="shared" si="5"/>
        <v>1</v>
      </c>
      <c r="B124" s="231"/>
      <c r="C124" s="192"/>
      <c r="D124" s="191"/>
      <c r="E124" s="186"/>
      <c r="F124" s="186">
        <f t="shared" si="3"/>
        <v>0</v>
      </c>
      <c r="G124" t="str">
        <f>IF(IFERROR(IF(Str_TypeDonneesCpt3=Cpt_Index,Tab_Compteur_3[[#This Row],[Index]]-E123,Tab_Compteur_3[[#This Row],[Quantité]])/Tab_Compteur_3[[#This Row],[Delta Jour]],"")&lt;0,"",IFERROR(IF(Str_TypeDonneesCpt3=Cpt_Index,Tab_Compteur_3[[#This Row],[Index]]-E123,Tab_Compteur_3[[#This Row],[Quantité]])/Tab_Compteur_3[[#This Row],[Delta Jour]],""))</f>
        <v/>
      </c>
      <c r="H124" s="186" t="str">
        <f>IFERROR(Tab_Compteur_3[[#This Row],[Montant]]/Tab_Compteur_3[[#This Row],[Delta Jour]],"")</f>
        <v/>
      </c>
      <c r="I124" s="212" t="str">
        <f t="shared" si="4"/>
        <v/>
      </c>
      <c r="J124" s="209"/>
      <c r="K124" s="38"/>
      <c r="L124" s="38"/>
      <c r="M124" s="38"/>
    </row>
    <row r="125" spans="1:13">
      <c r="A125" s="55">
        <f t="shared" si="5"/>
        <v>1</v>
      </c>
      <c r="B125" s="231"/>
      <c r="C125" s="192"/>
      <c r="D125" s="191"/>
      <c r="E125" s="186"/>
      <c r="F125" s="186">
        <f t="shared" si="3"/>
        <v>0</v>
      </c>
      <c r="G125" t="str">
        <f>IF(IFERROR(IF(Str_TypeDonneesCpt3=Cpt_Index,Tab_Compteur_3[[#This Row],[Index]]-E124,Tab_Compteur_3[[#This Row],[Quantité]])/Tab_Compteur_3[[#This Row],[Delta Jour]],"")&lt;0,"",IFERROR(IF(Str_TypeDonneesCpt3=Cpt_Index,Tab_Compteur_3[[#This Row],[Index]]-E124,Tab_Compteur_3[[#This Row],[Quantité]])/Tab_Compteur_3[[#This Row],[Delta Jour]],""))</f>
        <v/>
      </c>
      <c r="H125" s="186" t="str">
        <f>IFERROR(Tab_Compteur_3[[#This Row],[Montant]]/Tab_Compteur_3[[#This Row],[Delta Jour]],"")</f>
        <v/>
      </c>
      <c r="I125" s="212" t="str">
        <f t="shared" si="4"/>
        <v/>
      </c>
      <c r="J125" s="209"/>
      <c r="K125" s="38"/>
      <c r="L125" s="38"/>
      <c r="M125" s="38"/>
    </row>
    <row r="126" spans="1:13">
      <c r="A126" s="55">
        <f t="shared" si="5"/>
        <v>1</v>
      </c>
      <c r="B126" s="231"/>
      <c r="C126" s="192"/>
      <c r="D126" s="191"/>
      <c r="E126" s="186"/>
      <c r="F126" s="186">
        <f t="shared" si="3"/>
        <v>0</v>
      </c>
      <c r="G126" t="str">
        <f>IF(IFERROR(IF(Str_TypeDonneesCpt3=Cpt_Index,Tab_Compteur_3[[#This Row],[Index]]-E125,Tab_Compteur_3[[#This Row],[Quantité]])/Tab_Compteur_3[[#This Row],[Delta Jour]],"")&lt;0,"",IFERROR(IF(Str_TypeDonneesCpt3=Cpt_Index,Tab_Compteur_3[[#This Row],[Index]]-E125,Tab_Compteur_3[[#This Row],[Quantité]])/Tab_Compteur_3[[#This Row],[Delta Jour]],""))</f>
        <v/>
      </c>
      <c r="H126" s="186" t="str">
        <f>IFERROR(Tab_Compteur_3[[#This Row],[Montant]]/Tab_Compteur_3[[#This Row],[Delta Jour]],"")</f>
        <v/>
      </c>
      <c r="I126" s="212" t="str">
        <f t="shared" si="4"/>
        <v/>
      </c>
      <c r="J126" s="209"/>
      <c r="K126" s="38"/>
      <c r="L126" s="38"/>
      <c r="M126" s="38"/>
    </row>
    <row r="127" spans="1:13">
      <c r="A127" s="55">
        <f t="shared" si="5"/>
        <v>1</v>
      </c>
      <c r="B127" s="231"/>
      <c r="C127" s="192"/>
      <c r="D127" s="191"/>
      <c r="E127" s="186"/>
      <c r="F127" s="186">
        <f t="shared" si="3"/>
        <v>0</v>
      </c>
      <c r="G127" t="str">
        <f>IF(IFERROR(IF(Str_TypeDonneesCpt3=Cpt_Index,Tab_Compteur_3[[#This Row],[Index]]-E126,Tab_Compteur_3[[#This Row],[Quantité]])/Tab_Compteur_3[[#This Row],[Delta Jour]],"")&lt;0,"",IFERROR(IF(Str_TypeDonneesCpt3=Cpt_Index,Tab_Compteur_3[[#This Row],[Index]]-E126,Tab_Compteur_3[[#This Row],[Quantité]])/Tab_Compteur_3[[#This Row],[Delta Jour]],""))</f>
        <v/>
      </c>
      <c r="H127" s="186" t="str">
        <f>IFERROR(Tab_Compteur_3[[#This Row],[Montant]]/Tab_Compteur_3[[#This Row],[Delta Jour]],"")</f>
        <v/>
      </c>
      <c r="I127" s="212" t="str">
        <f t="shared" si="4"/>
        <v/>
      </c>
      <c r="J127" s="209"/>
      <c r="K127" s="38"/>
      <c r="L127" s="38"/>
      <c r="M127" s="38"/>
    </row>
    <row r="128" spans="1:13">
      <c r="A128" s="55">
        <f t="shared" si="5"/>
        <v>1</v>
      </c>
      <c r="B128" s="231"/>
      <c r="C128" s="192"/>
      <c r="D128" s="191"/>
      <c r="E128" s="186"/>
      <c r="F128" s="186">
        <f t="shared" si="3"/>
        <v>0</v>
      </c>
      <c r="G128" t="str">
        <f>IF(IFERROR(IF(Str_TypeDonneesCpt3=Cpt_Index,Tab_Compteur_3[[#This Row],[Index]]-E127,Tab_Compteur_3[[#This Row],[Quantité]])/Tab_Compteur_3[[#This Row],[Delta Jour]],"")&lt;0,"",IFERROR(IF(Str_TypeDonneesCpt3=Cpt_Index,Tab_Compteur_3[[#This Row],[Index]]-E127,Tab_Compteur_3[[#This Row],[Quantité]])/Tab_Compteur_3[[#This Row],[Delta Jour]],""))</f>
        <v/>
      </c>
      <c r="H128" s="186" t="str">
        <f>IFERROR(Tab_Compteur_3[[#This Row],[Montant]]/Tab_Compteur_3[[#This Row],[Delta Jour]],"")</f>
        <v/>
      </c>
      <c r="I128" s="212" t="str">
        <f t="shared" si="4"/>
        <v/>
      </c>
      <c r="J128" s="209"/>
      <c r="K128" s="38"/>
      <c r="L128" s="38"/>
      <c r="M128" s="38"/>
    </row>
    <row r="129" spans="1:13">
      <c r="A129" s="55">
        <f t="shared" si="5"/>
        <v>1</v>
      </c>
      <c r="B129" s="231"/>
      <c r="C129" s="192"/>
      <c r="D129" s="191"/>
      <c r="E129" s="186"/>
      <c r="F129" s="186">
        <f t="shared" si="3"/>
        <v>0</v>
      </c>
      <c r="G129" t="str">
        <f>IF(IFERROR(IF(Str_TypeDonneesCpt3=Cpt_Index,Tab_Compteur_3[[#This Row],[Index]]-E128,Tab_Compteur_3[[#This Row],[Quantité]])/Tab_Compteur_3[[#This Row],[Delta Jour]],"")&lt;0,"",IFERROR(IF(Str_TypeDonneesCpt3=Cpt_Index,Tab_Compteur_3[[#This Row],[Index]]-E128,Tab_Compteur_3[[#This Row],[Quantité]])/Tab_Compteur_3[[#This Row],[Delta Jour]],""))</f>
        <v/>
      </c>
      <c r="H129" s="186" t="str">
        <f>IFERROR(Tab_Compteur_3[[#This Row],[Montant]]/Tab_Compteur_3[[#This Row],[Delta Jour]],"")</f>
        <v/>
      </c>
      <c r="I129" s="212" t="str">
        <f t="shared" si="4"/>
        <v/>
      </c>
      <c r="J129" s="209"/>
      <c r="K129" s="38"/>
      <c r="L129" s="38"/>
      <c r="M129" s="38"/>
    </row>
    <row r="130" spans="1:13">
      <c r="A130" s="55">
        <f t="shared" si="5"/>
        <v>1</v>
      </c>
      <c r="B130" s="231"/>
      <c r="C130" s="192"/>
      <c r="D130" s="191"/>
      <c r="E130" s="186"/>
      <c r="F130" s="186">
        <f t="shared" si="3"/>
        <v>0</v>
      </c>
      <c r="G130" t="str">
        <f>IF(IFERROR(IF(Str_TypeDonneesCpt3=Cpt_Index,Tab_Compteur_3[[#This Row],[Index]]-E129,Tab_Compteur_3[[#This Row],[Quantité]])/Tab_Compteur_3[[#This Row],[Delta Jour]],"")&lt;0,"",IFERROR(IF(Str_TypeDonneesCpt3=Cpt_Index,Tab_Compteur_3[[#This Row],[Index]]-E129,Tab_Compteur_3[[#This Row],[Quantité]])/Tab_Compteur_3[[#This Row],[Delta Jour]],""))</f>
        <v/>
      </c>
      <c r="H130" s="186" t="str">
        <f>IFERROR(Tab_Compteur_3[[#This Row],[Montant]]/Tab_Compteur_3[[#This Row],[Delta Jour]],"")</f>
        <v/>
      </c>
      <c r="I130" s="212" t="str">
        <f t="shared" si="4"/>
        <v/>
      </c>
      <c r="J130" s="209"/>
      <c r="K130" s="38"/>
      <c r="L130" s="38"/>
      <c r="M130" s="38"/>
    </row>
    <row r="131" spans="1:13">
      <c r="A131" s="55">
        <f t="shared" si="5"/>
        <v>1</v>
      </c>
      <c r="B131" s="231"/>
      <c r="C131" s="192"/>
      <c r="D131" s="191"/>
      <c r="E131" s="186"/>
      <c r="F131" s="186">
        <f t="shared" ref="F131:F194" si="6">IFERROR(B131-A131+1,"")</f>
        <v>0</v>
      </c>
      <c r="G131" t="str">
        <f>IF(IFERROR(IF(Str_TypeDonneesCpt3=Cpt_Index,Tab_Compteur_3[[#This Row],[Index]]-E130,Tab_Compteur_3[[#This Row],[Quantité]])/Tab_Compteur_3[[#This Row],[Delta Jour]],"")&lt;0,"",IFERROR(IF(Str_TypeDonneesCpt3=Cpt_Index,Tab_Compteur_3[[#This Row],[Index]]-E130,Tab_Compteur_3[[#This Row],[Quantité]])/Tab_Compteur_3[[#This Row],[Delta Jour]],""))</f>
        <v/>
      </c>
      <c r="H131" s="186" t="str">
        <f>IFERROR(Tab_Compteur_3[[#This Row],[Montant]]/Tab_Compteur_3[[#This Row],[Delta Jour]],"")</f>
        <v/>
      </c>
      <c r="I131" s="212" t="str">
        <f t="shared" ref="I131:I194" si="7">G131</f>
        <v/>
      </c>
      <c r="J131" s="209"/>
      <c r="K131" s="38"/>
      <c r="L131" s="38"/>
      <c r="M131" s="38"/>
    </row>
    <row r="132" spans="1:13">
      <c r="A132" s="55">
        <f t="shared" si="5"/>
        <v>1</v>
      </c>
      <c r="B132" s="231"/>
      <c r="C132" s="192"/>
      <c r="D132" s="191"/>
      <c r="E132" s="186"/>
      <c r="F132" s="186">
        <f t="shared" si="6"/>
        <v>0</v>
      </c>
      <c r="G132" t="str">
        <f>IF(IFERROR(IF(Str_TypeDonneesCpt3=Cpt_Index,Tab_Compteur_3[[#This Row],[Index]]-E131,Tab_Compteur_3[[#This Row],[Quantité]])/Tab_Compteur_3[[#This Row],[Delta Jour]],"")&lt;0,"",IFERROR(IF(Str_TypeDonneesCpt3=Cpt_Index,Tab_Compteur_3[[#This Row],[Index]]-E131,Tab_Compteur_3[[#This Row],[Quantité]])/Tab_Compteur_3[[#This Row],[Delta Jour]],""))</f>
        <v/>
      </c>
      <c r="H132" s="186" t="str">
        <f>IFERROR(Tab_Compteur_3[[#This Row],[Montant]]/Tab_Compteur_3[[#This Row],[Delta Jour]],"")</f>
        <v/>
      </c>
      <c r="I132" s="212" t="str">
        <f t="shared" si="7"/>
        <v/>
      </c>
      <c r="J132" s="209"/>
      <c r="K132" s="38"/>
      <c r="L132" s="38"/>
      <c r="M132" s="38"/>
    </row>
    <row r="133" spans="1:13">
      <c r="A133" s="55">
        <f t="shared" si="5"/>
        <v>1</v>
      </c>
      <c r="B133" s="231"/>
      <c r="C133" s="192"/>
      <c r="D133" s="191"/>
      <c r="E133" s="186"/>
      <c r="F133" s="186">
        <f t="shared" si="6"/>
        <v>0</v>
      </c>
      <c r="G133" t="str">
        <f>IF(IFERROR(IF(Str_TypeDonneesCpt3=Cpt_Index,Tab_Compteur_3[[#This Row],[Index]]-E132,Tab_Compteur_3[[#This Row],[Quantité]])/Tab_Compteur_3[[#This Row],[Delta Jour]],"")&lt;0,"",IFERROR(IF(Str_TypeDonneesCpt3=Cpt_Index,Tab_Compteur_3[[#This Row],[Index]]-E132,Tab_Compteur_3[[#This Row],[Quantité]])/Tab_Compteur_3[[#This Row],[Delta Jour]],""))</f>
        <v/>
      </c>
      <c r="H133" s="186" t="str">
        <f>IFERROR(Tab_Compteur_3[[#This Row],[Montant]]/Tab_Compteur_3[[#This Row],[Delta Jour]],"")</f>
        <v/>
      </c>
      <c r="I133" s="212" t="str">
        <f t="shared" si="7"/>
        <v/>
      </c>
      <c r="J133" s="209"/>
      <c r="K133" s="38"/>
      <c r="L133" s="38"/>
      <c r="M133" s="38"/>
    </row>
    <row r="134" spans="1:13">
      <c r="A134" s="55">
        <f t="shared" ref="A134:A197" si="8">IFERROR(B133+1,0)</f>
        <v>1</v>
      </c>
      <c r="B134" s="231"/>
      <c r="C134" s="192"/>
      <c r="D134" s="191"/>
      <c r="E134" s="186"/>
      <c r="F134" s="186">
        <f t="shared" si="6"/>
        <v>0</v>
      </c>
      <c r="G134" t="str">
        <f>IF(IFERROR(IF(Str_TypeDonneesCpt3=Cpt_Index,Tab_Compteur_3[[#This Row],[Index]]-E133,Tab_Compteur_3[[#This Row],[Quantité]])/Tab_Compteur_3[[#This Row],[Delta Jour]],"")&lt;0,"",IFERROR(IF(Str_TypeDonneesCpt3=Cpt_Index,Tab_Compteur_3[[#This Row],[Index]]-E133,Tab_Compteur_3[[#This Row],[Quantité]])/Tab_Compteur_3[[#This Row],[Delta Jour]],""))</f>
        <v/>
      </c>
      <c r="H134" s="186" t="str">
        <f>IFERROR(Tab_Compteur_3[[#This Row],[Montant]]/Tab_Compteur_3[[#This Row],[Delta Jour]],"")</f>
        <v/>
      </c>
      <c r="I134" s="212" t="str">
        <f t="shared" si="7"/>
        <v/>
      </c>
      <c r="J134" s="209"/>
      <c r="K134" s="38"/>
      <c r="L134" s="38"/>
      <c r="M134" s="38"/>
    </row>
    <row r="135" spans="1:13">
      <c r="A135" s="55">
        <f t="shared" si="8"/>
        <v>1</v>
      </c>
      <c r="B135" s="231"/>
      <c r="C135" s="192"/>
      <c r="D135" s="191"/>
      <c r="E135" s="186"/>
      <c r="F135" s="186">
        <f t="shared" si="6"/>
        <v>0</v>
      </c>
      <c r="G135" t="str">
        <f>IF(IFERROR(IF(Str_TypeDonneesCpt3=Cpt_Index,Tab_Compteur_3[[#This Row],[Index]]-E134,Tab_Compteur_3[[#This Row],[Quantité]])/Tab_Compteur_3[[#This Row],[Delta Jour]],"")&lt;0,"",IFERROR(IF(Str_TypeDonneesCpt3=Cpt_Index,Tab_Compteur_3[[#This Row],[Index]]-E134,Tab_Compteur_3[[#This Row],[Quantité]])/Tab_Compteur_3[[#This Row],[Delta Jour]],""))</f>
        <v/>
      </c>
      <c r="H135" s="186" t="str">
        <f>IFERROR(Tab_Compteur_3[[#This Row],[Montant]]/Tab_Compteur_3[[#This Row],[Delta Jour]],"")</f>
        <v/>
      </c>
      <c r="I135" s="212" t="str">
        <f t="shared" si="7"/>
        <v/>
      </c>
      <c r="J135" s="209"/>
      <c r="K135" s="38"/>
      <c r="L135" s="38"/>
      <c r="M135" s="38"/>
    </row>
    <row r="136" spans="1:13">
      <c r="A136" s="55">
        <f t="shared" si="8"/>
        <v>1</v>
      </c>
      <c r="B136" s="231"/>
      <c r="C136" s="192"/>
      <c r="D136" s="191"/>
      <c r="E136" s="186"/>
      <c r="F136" s="186">
        <f t="shared" si="6"/>
        <v>0</v>
      </c>
      <c r="G136" t="str">
        <f>IF(IFERROR(IF(Str_TypeDonneesCpt3=Cpt_Index,Tab_Compteur_3[[#This Row],[Index]]-E135,Tab_Compteur_3[[#This Row],[Quantité]])/Tab_Compteur_3[[#This Row],[Delta Jour]],"")&lt;0,"",IFERROR(IF(Str_TypeDonneesCpt3=Cpt_Index,Tab_Compteur_3[[#This Row],[Index]]-E135,Tab_Compteur_3[[#This Row],[Quantité]])/Tab_Compteur_3[[#This Row],[Delta Jour]],""))</f>
        <v/>
      </c>
      <c r="H136" s="186" t="str">
        <f>IFERROR(Tab_Compteur_3[[#This Row],[Montant]]/Tab_Compteur_3[[#This Row],[Delta Jour]],"")</f>
        <v/>
      </c>
      <c r="I136" s="212" t="str">
        <f t="shared" si="7"/>
        <v/>
      </c>
      <c r="J136" s="209"/>
      <c r="K136" s="38"/>
      <c r="L136" s="38"/>
      <c r="M136" s="38"/>
    </row>
    <row r="137" spans="1:13">
      <c r="A137" s="55">
        <f t="shared" si="8"/>
        <v>1</v>
      </c>
      <c r="B137" s="231"/>
      <c r="C137" s="192"/>
      <c r="D137" s="191"/>
      <c r="E137" s="186"/>
      <c r="F137" s="186">
        <f t="shared" si="6"/>
        <v>0</v>
      </c>
      <c r="G137" t="str">
        <f>IF(IFERROR(IF(Str_TypeDonneesCpt3=Cpt_Index,Tab_Compteur_3[[#This Row],[Index]]-E136,Tab_Compteur_3[[#This Row],[Quantité]])/Tab_Compteur_3[[#This Row],[Delta Jour]],"")&lt;0,"",IFERROR(IF(Str_TypeDonneesCpt3=Cpt_Index,Tab_Compteur_3[[#This Row],[Index]]-E136,Tab_Compteur_3[[#This Row],[Quantité]])/Tab_Compteur_3[[#This Row],[Delta Jour]],""))</f>
        <v/>
      </c>
      <c r="H137" s="186" t="str">
        <f>IFERROR(Tab_Compteur_3[[#This Row],[Montant]]/Tab_Compteur_3[[#This Row],[Delta Jour]],"")</f>
        <v/>
      </c>
      <c r="I137" s="212" t="str">
        <f t="shared" si="7"/>
        <v/>
      </c>
      <c r="J137" s="209"/>
      <c r="K137" s="38"/>
      <c r="L137" s="38"/>
      <c r="M137" s="38"/>
    </row>
    <row r="138" spans="1:13">
      <c r="A138" s="55">
        <f t="shared" si="8"/>
        <v>1</v>
      </c>
      <c r="B138" s="231"/>
      <c r="C138" s="192"/>
      <c r="D138" s="191"/>
      <c r="E138" s="186"/>
      <c r="F138" s="186">
        <f t="shared" si="6"/>
        <v>0</v>
      </c>
      <c r="G138" t="str">
        <f>IF(IFERROR(IF(Str_TypeDonneesCpt3=Cpt_Index,Tab_Compteur_3[[#This Row],[Index]]-E137,Tab_Compteur_3[[#This Row],[Quantité]])/Tab_Compteur_3[[#This Row],[Delta Jour]],"")&lt;0,"",IFERROR(IF(Str_TypeDonneesCpt3=Cpt_Index,Tab_Compteur_3[[#This Row],[Index]]-E137,Tab_Compteur_3[[#This Row],[Quantité]])/Tab_Compteur_3[[#This Row],[Delta Jour]],""))</f>
        <v/>
      </c>
      <c r="H138" s="186" t="str">
        <f>IFERROR(Tab_Compteur_3[[#This Row],[Montant]]/Tab_Compteur_3[[#This Row],[Delta Jour]],"")</f>
        <v/>
      </c>
      <c r="I138" s="212" t="str">
        <f t="shared" si="7"/>
        <v/>
      </c>
      <c r="J138" s="209"/>
      <c r="K138" s="38"/>
      <c r="L138" s="38"/>
      <c r="M138" s="38"/>
    </row>
    <row r="139" spans="1:13">
      <c r="A139" s="55">
        <f t="shared" si="8"/>
        <v>1</v>
      </c>
      <c r="B139" s="231"/>
      <c r="C139" s="192"/>
      <c r="D139" s="191"/>
      <c r="E139" s="186"/>
      <c r="F139" s="186">
        <f t="shared" si="6"/>
        <v>0</v>
      </c>
      <c r="G139" t="str">
        <f>IF(IFERROR(IF(Str_TypeDonneesCpt3=Cpt_Index,Tab_Compteur_3[[#This Row],[Index]]-E138,Tab_Compteur_3[[#This Row],[Quantité]])/Tab_Compteur_3[[#This Row],[Delta Jour]],"")&lt;0,"",IFERROR(IF(Str_TypeDonneesCpt3=Cpt_Index,Tab_Compteur_3[[#This Row],[Index]]-E138,Tab_Compteur_3[[#This Row],[Quantité]])/Tab_Compteur_3[[#This Row],[Delta Jour]],""))</f>
        <v/>
      </c>
      <c r="H139" s="186" t="str">
        <f>IFERROR(Tab_Compteur_3[[#This Row],[Montant]]/Tab_Compteur_3[[#This Row],[Delta Jour]],"")</f>
        <v/>
      </c>
      <c r="I139" s="212" t="str">
        <f t="shared" si="7"/>
        <v/>
      </c>
      <c r="J139" s="209"/>
      <c r="K139" s="38"/>
      <c r="L139" s="38"/>
      <c r="M139" s="38"/>
    </row>
    <row r="140" spans="1:13">
      <c r="A140" s="55">
        <f t="shared" si="8"/>
        <v>1</v>
      </c>
      <c r="B140" s="231"/>
      <c r="C140" s="192"/>
      <c r="D140" s="191"/>
      <c r="E140" s="186"/>
      <c r="F140" s="186">
        <f t="shared" si="6"/>
        <v>0</v>
      </c>
      <c r="G140" t="str">
        <f>IF(IFERROR(IF(Str_TypeDonneesCpt3=Cpt_Index,Tab_Compteur_3[[#This Row],[Index]]-E139,Tab_Compteur_3[[#This Row],[Quantité]])/Tab_Compteur_3[[#This Row],[Delta Jour]],"")&lt;0,"",IFERROR(IF(Str_TypeDonneesCpt3=Cpt_Index,Tab_Compteur_3[[#This Row],[Index]]-E139,Tab_Compteur_3[[#This Row],[Quantité]])/Tab_Compteur_3[[#This Row],[Delta Jour]],""))</f>
        <v/>
      </c>
      <c r="H140" s="186" t="str">
        <f>IFERROR(Tab_Compteur_3[[#This Row],[Montant]]/Tab_Compteur_3[[#This Row],[Delta Jour]],"")</f>
        <v/>
      </c>
      <c r="I140" s="212" t="str">
        <f t="shared" si="7"/>
        <v/>
      </c>
      <c r="J140" s="209"/>
      <c r="K140" s="38"/>
      <c r="L140" s="38"/>
      <c r="M140" s="38"/>
    </row>
    <row r="141" spans="1:13">
      <c r="A141" s="55">
        <f t="shared" si="8"/>
        <v>1</v>
      </c>
      <c r="B141" s="231"/>
      <c r="C141" s="192"/>
      <c r="D141" s="191"/>
      <c r="E141" s="186"/>
      <c r="F141" s="186">
        <f t="shared" si="6"/>
        <v>0</v>
      </c>
      <c r="G141" t="str">
        <f>IF(IFERROR(IF(Str_TypeDonneesCpt3=Cpt_Index,Tab_Compteur_3[[#This Row],[Index]]-E140,Tab_Compteur_3[[#This Row],[Quantité]])/Tab_Compteur_3[[#This Row],[Delta Jour]],"")&lt;0,"",IFERROR(IF(Str_TypeDonneesCpt3=Cpt_Index,Tab_Compteur_3[[#This Row],[Index]]-E140,Tab_Compteur_3[[#This Row],[Quantité]])/Tab_Compteur_3[[#This Row],[Delta Jour]],""))</f>
        <v/>
      </c>
      <c r="H141" s="186" t="str">
        <f>IFERROR(Tab_Compteur_3[[#This Row],[Montant]]/Tab_Compteur_3[[#This Row],[Delta Jour]],"")</f>
        <v/>
      </c>
      <c r="I141" s="212" t="str">
        <f t="shared" si="7"/>
        <v/>
      </c>
      <c r="J141" s="209"/>
      <c r="K141" s="38"/>
      <c r="L141" s="38"/>
      <c r="M141" s="38"/>
    </row>
    <row r="142" spans="1:13">
      <c r="A142" s="55">
        <f t="shared" si="8"/>
        <v>1</v>
      </c>
      <c r="B142" s="231"/>
      <c r="C142" s="192"/>
      <c r="D142" s="191"/>
      <c r="E142" s="186"/>
      <c r="F142" s="186">
        <f t="shared" si="6"/>
        <v>0</v>
      </c>
      <c r="G142" t="str">
        <f>IF(IFERROR(IF(Str_TypeDonneesCpt3=Cpt_Index,Tab_Compteur_3[[#This Row],[Index]]-E141,Tab_Compteur_3[[#This Row],[Quantité]])/Tab_Compteur_3[[#This Row],[Delta Jour]],"")&lt;0,"",IFERROR(IF(Str_TypeDonneesCpt3=Cpt_Index,Tab_Compteur_3[[#This Row],[Index]]-E141,Tab_Compteur_3[[#This Row],[Quantité]])/Tab_Compteur_3[[#This Row],[Delta Jour]],""))</f>
        <v/>
      </c>
      <c r="H142" s="186" t="str">
        <f>IFERROR(Tab_Compteur_3[[#This Row],[Montant]]/Tab_Compteur_3[[#This Row],[Delta Jour]],"")</f>
        <v/>
      </c>
      <c r="I142" s="212" t="str">
        <f t="shared" si="7"/>
        <v/>
      </c>
      <c r="J142" s="209"/>
      <c r="K142" s="38"/>
      <c r="L142" s="38"/>
      <c r="M142" s="38"/>
    </row>
    <row r="143" spans="1:13">
      <c r="A143" s="55">
        <f t="shared" si="8"/>
        <v>1</v>
      </c>
      <c r="B143" s="231"/>
      <c r="C143" s="192"/>
      <c r="D143" s="191"/>
      <c r="E143" s="186"/>
      <c r="F143" s="186">
        <f t="shared" si="6"/>
        <v>0</v>
      </c>
      <c r="G143" t="str">
        <f>IF(IFERROR(IF(Str_TypeDonneesCpt3=Cpt_Index,Tab_Compteur_3[[#This Row],[Index]]-E142,Tab_Compteur_3[[#This Row],[Quantité]])/Tab_Compteur_3[[#This Row],[Delta Jour]],"")&lt;0,"",IFERROR(IF(Str_TypeDonneesCpt3=Cpt_Index,Tab_Compteur_3[[#This Row],[Index]]-E142,Tab_Compteur_3[[#This Row],[Quantité]])/Tab_Compteur_3[[#This Row],[Delta Jour]],""))</f>
        <v/>
      </c>
      <c r="H143" s="186" t="str">
        <f>IFERROR(Tab_Compteur_3[[#This Row],[Montant]]/Tab_Compteur_3[[#This Row],[Delta Jour]],"")</f>
        <v/>
      </c>
      <c r="I143" s="212" t="str">
        <f t="shared" si="7"/>
        <v/>
      </c>
      <c r="J143" s="209"/>
      <c r="K143" s="38"/>
      <c r="L143" s="38"/>
      <c r="M143" s="38"/>
    </row>
    <row r="144" spans="1:13">
      <c r="A144" s="55">
        <f t="shared" si="8"/>
        <v>1</v>
      </c>
      <c r="B144" s="231"/>
      <c r="C144" s="192"/>
      <c r="D144" s="191"/>
      <c r="E144" s="186"/>
      <c r="F144" s="186">
        <f t="shared" si="6"/>
        <v>0</v>
      </c>
      <c r="G144" t="str">
        <f>IF(IFERROR(IF(Str_TypeDonneesCpt3=Cpt_Index,Tab_Compteur_3[[#This Row],[Index]]-E143,Tab_Compteur_3[[#This Row],[Quantité]])/Tab_Compteur_3[[#This Row],[Delta Jour]],"")&lt;0,"",IFERROR(IF(Str_TypeDonneesCpt3=Cpt_Index,Tab_Compteur_3[[#This Row],[Index]]-E143,Tab_Compteur_3[[#This Row],[Quantité]])/Tab_Compteur_3[[#This Row],[Delta Jour]],""))</f>
        <v/>
      </c>
      <c r="H144" s="186" t="str">
        <f>IFERROR(Tab_Compteur_3[[#This Row],[Montant]]/Tab_Compteur_3[[#This Row],[Delta Jour]],"")</f>
        <v/>
      </c>
      <c r="I144" s="212" t="str">
        <f t="shared" si="7"/>
        <v/>
      </c>
      <c r="J144" s="209"/>
      <c r="K144" s="38"/>
      <c r="L144" s="38"/>
      <c r="M144" s="38"/>
    </row>
    <row r="145" spans="1:13">
      <c r="A145" s="55">
        <f t="shared" si="8"/>
        <v>1</v>
      </c>
      <c r="B145" s="231"/>
      <c r="C145" s="192"/>
      <c r="D145" s="191"/>
      <c r="E145" s="186"/>
      <c r="F145" s="186">
        <f t="shared" si="6"/>
        <v>0</v>
      </c>
      <c r="G145" t="str">
        <f>IF(IFERROR(IF(Str_TypeDonneesCpt3=Cpt_Index,Tab_Compteur_3[[#This Row],[Index]]-E144,Tab_Compteur_3[[#This Row],[Quantité]])/Tab_Compteur_3[[#This Row],[Delta Jour]],"")&lt;0,"",IFERROR(IF(Str_TypeDonneesCpt3=Cpt_Index,Tab_Compteur_3[[#This Row],[Index]]-E144,Tab_Compteur_3[[#This Row],[Quantité]])/Tab_Compteur_3[[#This Row],[Delta Jour]],""))</f>
        <v/>
      </c>
      <c r="H145" s="186" t="str">
        <f>IFERROR(Tab_Compteur_3[[#This Row],[Montant]]/Tab_Compteur_3[[#This Row],[Delta Jour]],"")</f>
        <v/>
      </c>
      <c r="I145" s="212" t="str">
        <f t="shared" si="7"/>
        <v/>
      </c>
      <c r="J145" s="209"/>
      <c r="K145" s="38"/>
      <c r="L145" s="38"/>
      <c r="M145" s="38"/>
    </row>
    <row r="146" spans="1:13">
      <c r="A146" s="55">
        <f t="shared" si="8"/>
        <v>1</v>
      </c>
      <c r="B146" s="231"/>
      <c r="C146" s="192"/>
      <c r="D146" s="191"/>
      <c r="E146" s="186"/>
      <c r="F146" s="186">
        <f t="shared" si="6"/>
        <v>0</v>
      </c>
      <c r="G146" t="str">
        <f>IF(IFERROR(IF(Str_TypeDonneesCpt3=Cpt_Index,Tab_Compteur_3[[#This Row],[Index]]-E145,Tab_Compteur_3[[#This Row],[Quantité]])/Tab_Compteur_3[[#This Row],[Delta Jour]],"")&lt;0,"",IFERROR(IF(Str_TypeDonneesCpt3=Cpt_Index,Tab_Compteur_3[[#This Row],[Index]]-E145,Tab_Compteur_3[[#This Row],[Quantité]])/Tab_Compteur_3[[#This Row],[Delta Jour]],""))</f>
        <v/>
      </c>
      <c r="H146" s="186" t="str">
        <f>IFERROR(Tab_Compteur_3[[#This Row],[Montant]]/Tab_Compteur_3[[#This Row],[Delta Jour]],"")</f>
        <v/>
      </c>
      <c r="I146" s="212" t="str">
        <f t="shared" si="7"/>
        <v/>
      </c>
      <c r="J146" s="209"/>
      <c r="K146" s="38"/>
      <c r="L146" s="38"/>
      <c r="M146" s="38"/>
    </row>
    <row r="147" spans="1:13">
      <c r="A147" s="55">
        <f t="shared" si="8"/>
        <v>1</v>
      </c>
      <c r="B147" s="231"/>
      <c r="C147" s="192"/>
      <c r="D147" s="191"/>
      <c r="E147" s="186"/>
      <c r="F147" s="186">
        <f t="shared" si="6"/>
        <v>0</v>
      </c>
      <c r="G147" t="str">
        <f>IF(IFERROR(IF(Str_TypeDonneesCpt3=Cpt_Index,Tab_Compteur_3[[#This Row],[Index]]-E146,Tab_Compteur_3[[#This Row],[Quantité]])/Tab_Compteur_3[[#This Row],[Delta Jour]],"")&lt;0,"",IFERROR(IF(Str_TypeDonneesCpt3=Cpt_Index,Tab_Compteur_3[[#This Row],[Index]]-E146,Tab_Compteur_3[[#This Row],[Quantité]])/Tab_Compteur_3[[#This Row],[Delta Jour]],""))</f>
        <v/>
      </c>
      <c r="H147" s="186" t="str">
        <f>IFERROR(Tab_Compteur_3[[#This Row],[Montant]]/Tab_Compteur_3[[#This Row],[Delta Jour]],"")</f>
        <v/>
      </c>
      <c r="I147" s="212" t="str">
        <f t="shared" si="7"/>
        <v/>
      </c>
      <c r="J147" s="209"/>
      <c r="K147" s="38"/>
      <c r="L147" s="38"/>
      <c r="M147" s="38"/>
    </row>
    <row r="148" spans="1:13">
      <c r="A148" s="55">
        <f t="shared" si="8"/>
        <v>1</v>
      </c>
      <c r="B148" s="231"/>
      <c r="C148" s="189"/>
      <c r="D148" s="191"/>
      <c r="E148" s="186"/>
      <c r="F148" s="186">
        <f t="shared" si="6"/>
        <v>0</v>
      </c>
      <c r="G148" t="str">
        <f>IF(IFERROR(IF(Str_TypeDonneesCpt3=Cpt_Index,Tab_Compteur_3[[#This Row],[Index]]-E147,Tab_Compteur_3[[#This Row],[Quantité]])/Tab_Compteur_3[[#This Row],[Delta Jour]],"")&lt;0,"",IFERROR(IF(Str_TypeDonneesCpt3=Cpt_Index,Tab_Compteur_3[[#This Row],[Index]]-E147,Tab_Compteur_3[[#This Row],[Quantité]])/Tab_Compteur_3[[#This Row],[Delta Jour]],""))</f>
        <v/>
      </c>
      <c r="H148" s="186" t="str">
        <f>IFERROR(Tab_Compteur_3[[#This Row],[Montant]]/Tab_Compteur_3[[#This Row],[Delta Jour]],"")</f>
        <v/>
      </c>
      <c r="I148" s="212" t="str">
        <f t="shared" si="7"/>
        <v/>
      </c>
      <c r="J148" s="209"/>
      <c r="K148" s="38"/>
      <c r="L148" s="38"/>
      <c r="M148" s="38"/>
    </row>
    <row r="149" spans="1:13">
      <c r="A149" s="55">
        <f t="shared" si="8"/>
        <v>1</v>
      </c>
      <c r="B149" s="231"/>
      <c r="C149" s="189"/>
      <c r="D149" s="191"/>
      <c r="E149" s="186"/>
      <c r="F149" s="186">
        <f t="shared" si="6"/>
        <v>0</v>
      </c>
      <c r="G149" t="str">
        <f>IF(IFERROR(IF(Str_TypeDonneesCpt3=Cpt_Index,Tab_Compteur_3[[#This Row],[Index]]-E148,Tab_Compteur_3[[#This Row],[Quantité]])/Tab_Compteur_3[[#This Row],[Delta Jour]],"")&lt;0,"",IFERROR(IF(Str_TypeDonneesCpt3=Cpt_Index,Tab_Compteur_3[[#This Row],[Index]]-E148,Tab_Compteur_3[[#This Row],[Quantité]])/Tab_Compteur_3[[#This Row],[Delta Jour]],""))</f>
        <v/>
      </c>
      <c r="H149" s="186" t="str">
        <f>IFERROR(Tab_Compteur_3[[#This Row],[Montant]]/Tab_Compteur_3[[#This Row],[Delta Jour]],"")</f>
        <v/>
      </c>
      <c r="I149" s="212" t="str">
        <f t="shared" si="7"/>
        <v/>
      </c>
      <c r="J149" s="209"/>
      <c r="K149" s="38"/>
      <c r="L149" s="38"/>
      <c r="M149" s="38"/>
    </row>
    <row r="150" spans="1:13">
      <c r="A150" s="55">
        <f t="shared" si="8"/>
        <v>1</v>
      </c>
      <c r="B150" s="231"/>
      <c r="C150" s="189"/>
      <c r="D150" s="191"/>
      <c r="E150" s="186"/>
      <c r="F150" s="186">
        <f t="shared" si="6"/>
        <v>0</v>
      </c>
      <c r="G150" t="str">
        <f>IF(IFERROR(IF(Str_TypeDonneesCpt3=Cpt_Index,Tab_Compteur_3[[#This Row],[Index]]-E149,Tab_Compteur_3[[#This Row],[Quantité]])/Tab_Compteur_3[[#This Row],[Delta Jour]],"")&lt;0,"",IFERROR(IF(Str_TypeDonneesCpt3=Cpt_Index,Tab_Compteur_3[[#This Row],[Index]]-E149,Tab_Compteur_3[[#This Row],[Quantité]])/Tab_Compteur_3[[#This Row],[Delta Jour]],""))</f>
        <v/>
      </c>
      <c r="H150" s="186" t="str">
        <f>IFERROR(Tab_Compteur_3[[#This Row],[Montant]]/Tab_Compteur_3[[#This Row],[Delta Jour]],"")</f>
        <v/>
      </c>
      <c r="I150" s="212" t="str">
        <f t="shared" si="7"/>
        <v/>
      </c>
      <c r="J150" s="209"/>
      <c r="K150" s="38"/>
      <c r="L150" s="38"/>
      <c r="M150" s="38"/>
    </row>
    <row r="151" spans="1:13">
      <c r="A151" s="55">
        <f t="shared" si="8"/>
        <v>1</v>
      </c>
      <c r="B151" s="231"/>
      <c r="C151" s="189"/>
      <c r="D151" s="191"/>
      <c r="E151" s="186"/>
      <c r="F151" s="186">
        <f t="shared" si="6"/>
        <v>0</v>
      </c>
      <c r="G151" t="str">
        <f>IF(IFERROR(IF(Str_TypeDonneesCpt3=Cpt_Index,Tab_Compteur_3[[#This Row],[Index]]-E150,Tab_Compteur_3[[#This Row],[Quantité]])/Tab_Compteur_3[[#This Row],[Delta Jour]],"")&lt;0,"",IFERROR(IF(Str_TypeDonneesCpt3=Cpt_Index,Tab_Compteur_3[[#This Row],[Index]]-E150,Tab_Compteur_3[[#This Row],[Quantité]])/Tab_Compteur_3[[#This Row],[Delta Jour]],""))</f>
        <v/>
      </c>
      <c r="H151" s="186" t="str">
        <f>IFERROR(Tab_Compteur_3[[#This Row],[Montant]]/Tab_Compteur_3[[#This Row],[Delta Jour]],"")</f>
        <v/>
      </c>
      <c r="I151" s="212" t="str">
        <f t="shared" si="7"/>
        <v/>
      </c>
      <c r="J151" s="209"/>
      <c r="K151" s="38"/>
      <c r="L151" s="38"/>
      <c r="M151" s="38"/>
    </row>
    <row r="152" spans="1:13">
      <c r="A152" s="55">
        <f t="shared" si="8"/>
        <v>1</v>
      </c>
      <c r="B152" s="231"/>
      <c r="C152" s="189"/>
      <c r="D152" s="191"/>
      <c r="E152" s="186"/>
      <c r="F152" s="186">
        <f t="shared" si="6"/>
        <v>0</v>
      </c>
      <c r="G152" t="str">
        <f>IF(IFERROR(IF(Str_TypeDonneesCpt3=Cpt_Index,Tab_Compteur_3[[#This Row],[Index]]-E151,Tab_Compteur_3[[#This Row],[Quantité]])/Tab_Compteur_3[[#This Row],[Delta Jour]],"")&lt;0,"",IFERROR(IF(Str_TypeDonneesCpt3=Cpt_Index,Tab_Compteur_3[[#This Row],[Index]]-E151,Tab_Compteur_3[[#This Row],[Quantité]])/Tab_Compteur_3[[#This Row],[Delta Jour]],""))</f>
        <v/>
      </c>
      <c r="H152" s="186" t="str">
        <f>IFERROR(Tab_Compteur_3[[#This Row],[Montant]]/Tab_Compteur_3[[#This Row],[Delta Jour]],"")</f>
        <v/>
      </c>
      <c r="I152" s="212" t="str">
        <f t="shared" si="7"/>
        <v/>
      </c>
      <c r="J152" s="209"/>
      <c r="K152" s="38"/>
      <c r="L152" s="38"/>
      <c r="M152" s="38"/>
    </row>
    <row r="153" spans="1:13">
      <c r="A153" s="55">
        <f t="shared" si="8"/>
        <v>1</v>
      </c>
      <c r="B153" s="231"/>
      <c r="C153" s="189"/>
      <c r="D153" s="191"/>
      <c r="E153" s="186"/>
      <c r="F153" s="186">
        <f t="shared" si="6"/>
        <v>0</v>
      </c>
      <c r="G153" t="str">
        <f>IF(IFERROR(IF(Str_TypeDonneesCpt3=Cpt_Index,Tab_Compteur_3[[#This Row],[Index]]-E152,Tab_Compteur_3[[#This Row],[Quantité]])/Tab_Compteur_3[[#This Row],[Delta Jour]],"")&lt;0,"",IFERROR(IF(Str_TypeDonneesCpt3=Cpt_Index,Tab_Compteur_3[[#This Row],[Index]]-E152,Tab_Compteur_3[[#This Row],[Quantité]])/Tab_Compteur_3[[#This Row],[Delta Jour]],""))</f>
        <v/>
      </c>
      <c r="H153" s="186" t="str">
        <f>IFERROR(Tab_Compteur_3[[#This Row],[Montant]]/Tab_Compteur_3[[#This Row],[Delta Jour]],"")</f>
        <v/>
      </c>
      <c r="I153" s="212" t="str">
        <f t="shared" si="7"/>
        <v/>
      </c>
      <c r="J153" s="209"/>
      <c r="K153" s="38"/>
      <c r="L153" s="38"/>
      <c r="M153" s="38"/>
    </row>
    <row r="154" spans="1:13">
      <c r="A154" s="55">
        <f t="shared" si="8"/>
        <v>1</v>
      </c>
      <c r="B154" s="231"/>
      <c r="C154" s="189"/>
      <c r="D154" s="191"/>
      <c r="E154" s="186"/>
      <c r="F154" s="186">
        <f t="shared" si="6"/>
        <v>0</v>
      </c>
      <c r="G154" t="str">
        <f>IF(IFERROR(IF(Str_TypeDonneesCpt3=Cpt_Index,Tab_Compteur_3[[#This Row],[Index]]-E153,Tab_Compteur_3[[#This Row],[Quantité]])/Tab_Compteur_3[[#This Row],[Delta Jour]],"")&lt;0,"",IFERROR(IF(Str_TypeDonneesCpt3=Cpt_Index,Tab_Compteur_3[[#This Row],[Index]]-E153,Tab_Compteur_3[[#This Row],[Quantité]])/Tab_Compteur_3[[#This Row],[Delta Jour]],""))</f>
        <v/>
      </c>
      <c r="H154" s="186" t="str">
        <f>IFERROR(Tab_Compteur_3[[#This Row],[Montant]]/Tab_Compteur_3[[#This Row],[Delta Jour]],"")</f>
        <v/>
      </c>
      <c r="I154" s="212" t="str">
        <f t="shared" si="7"/>
        <v/>
      </c>
      <c r="J154" s="209"/>
      <c r="K154" s="38"/>
      <c r="L154" s="38"/>
      <c r="M154" s="38"/>
    </row>
    <row r="155" spans="1:13">
      <c r="A155" s="55">
        <f t="shared" si="8"/>
        <v>1</v>
      </c>
      <c r="B155" s="231"/>
      <c r="C155" s="189"/>
      <c r="D155" s="191"/>
      <c r="E155" s="186"/>
      <c r="F155" s="186">
        <f t="shared" si="6"/>
        <v>0</v>
      </c>
      <c r="G155" t="str">
        <f>IF(IFERROR(IF(Str_TypeDonneesCpt3=Cpt_Index,Tab_Compteur_3[[#This Row],[Index]]-E154,Tab_Compteur_3[[#This Row],[Quantité]])/Tab_Compteur_3[[#This Row],[Delta Jour]],"")&lt;0,"",IFERROR(IF(Str_TypeDonneesCpt3=Cpt_Index,Tab_Compteur_3[[#This Row],[Index]]-E154,Tab_Compteur_3[[#This Row],[Quantité]])/Tab_Compteur_3[[#This Row],[Delta Jour]],""))</f>
        <v/>
      </c>
      <c r="H155" s="186" t="str">
        <f>IFERROR(Tab_Compteur_3[[#This Row],[Montant]]/Tab_Compteur_3[[#This Row],[Delta Jour]],"")</f>
        <v/>
      </c>
      <c r="I155" s="212" t="str">
        <f t="shared" si="7"/>
        <v/>
      </c>
      <c r="J155" s="209"/>
      <c r="K155" s="38"/>
      <c r="L155" s="38"/>
      <c r="M155" s="38"/>
    </row>
    <row r="156" spans="1:13">
      <c r="A156" s="55">
        <f t="shared" si="8"/>
        <v>1</v>
      </c>
      <c r="B156" s="231"/>
      <c r="C156" s="189"/>
      <c r="D156" s="191"/>
      <c r="E156" s="186"/>
      <c r="F156" s="186">
        <f t="shared" si="6"/>
        <v>0</v>
      </c>
      <c r="G156" t="str">
        <f>IF(IFERROR(IF(Str_TypeDonneesCpt3=Cpt_Index,Tab_Compteur_3[[#This Row],[Index]]-E155,Tab_Compteur_3[[#This Row],[Quantité]])/Tab_Compteur_3[[#This Row],[Delta Jour]],"")&lt;0,"",IFERROR(IF(Str_TypeDonneesCpt3=Cpt_Index,Tab_Compteur_3[[#This Row],[Index]]-E155,Tab_Compteur_3[[#This Row],[Quantité]])/Tab_Compteur_3[[#This Row],[Delta Jour]],""))</f>
        <v/>
      </c>
      <c r="H156" s="186" t="str">
        <f>IFERROR(Tab_Compteur_3[[#This Row],[Montant]]/Tab_Compteur_3[[#This Row],[Delta Jour]],"")</f>
        <v/>
      </c>
      <c r="I156" s="212" t="str">
        <f t="shared" si="7"/>
        <v/>
      </c>
      <c r="J156" s="209"/>
      <c r="K156" s="38"/>
      <c r="L156" s="38"/>
      <c r="M156" s="38"/>
    </row>
    <row r="157" spans="1:13">
      <c r="A157" s="55">
        <f t="shared" si="8"/>
        <v>1</v>
      </c>
      <c r="B157" s="231"/>
      <c r="C157" s="189"/>
      <c r="D157" s="191"/>
      <c r="E157" s="186"/>
      <c r="F157" s="186">
        <f t="shared" si="6"/>
        <v>0</v>
      </c>
      <c r="G157" t="str">
        <f>IF(IFERROR(IF(Str_TypeDonneesCpt3=Cpt_Index,Tab_Compteur_3[[#This Row],[Index]]-E156,Tab_Compteur_3[[#This Row],[Quantité]])/Tab_Compteur_3[[#This Row],[Delta Jour]],"")&lt;0,"",IFERROR(IF(Str_TypeDonneesCpt3=Cpt_Index,Tab_Compteur_3[[#This Row],[Index]]-E156,Tab_Compteur_3[[#This Row],[Quantité]])/Tab_Compteur_3[[#This Row],[Delta Jour]],""))</f>
        <v/>
      </c>
      <c r="H157" s="186" t="str">
        <f>IFERROR(Tab_Compteur_3[[#This Row],[Montant]]/Tab_Compteur_3[[#This Row],[Delta Jour]],"")</f>
        <v/>
      </c>
      <c r="I157" s="212" t="str">
        <f t="shared" si="7"/>
        <v/>
      </c>
      <c r="J157" s="209"/>
      <c r="K157" s="38"/>
      <c r="L157" s="38"/>
      <c r="M157" s="38"/>
    </row>
    <row r="158" spans="1:13">
      <c r="A158" s="55">
        <f t="shared" si="8"/>
        <v>1</v>
      </c>
      <c r="B158" s="231"/>
      <c r="C158" s="189"/>
      <c r="D158" s="191"/>
      <c r="E158" s="186"/>
      <c r="F158" s="186">
        <f t="shared" si="6"/>
        <v>0</v>
      </c>
      <c r="G158" t="str">
        <f>IF(IFERROR(IF(Str_TypeDonneesCpt3=Cpt_Index,Tab_Compteur_3[[#This Row],[Index]]-E157,Tab_Compteur_3[[#This Row],[Quantité]])/Tab_Compteur_3[[#This Row],[Delta Jour]],"")&lt;0,"",IFERROR(IF(Str_TypeDonneesCpt3=Cpt_Index,Tab_Compteur_3[[#This Row],[Index]]-E157,Tab_Compteur_3[[#This Row],[Quantité]])/Tab_Compteur_3[[#This Row],[Delta Jour]],""))</f>
        <v/>
      </c>
      <c r="H158" s="186" t="str">
        <f>IFERROR(Tab_Compteur_3[[#This Row],[Montant]]/Tab_Compteur_3[[#This Row],[Delta Jour]],"")</f>
        <v/>
      </c>
      <c r="I158" s="212" t="str">
        <f t="shared" si="7"/>
        <v/>
      </c>
      <c r="J158" s="209"/>
      <c r="K158" s="38"/>
      <c r="L158" s="38"/>
      <c r="M158" s="38"/>
    </row>
    <row r="159" spans="1:13">
      <c r="A159" s="55">
        <f t="shared" si="8"/>
        <v>1</v>
      </c>
      <c r="B159" s="231"/>
      <c r="C159" s="189"/>
      <c r="D159" s="191"/>
      <c r="E159" s="186"/>
      <c r="F159" s="186">
        <f t="shared" si="6"/>
        <v>0</v>
      </c>
      <c r="G159" t="str">
        <f>IF(IFERROR(IF(Str_TypeDonneesCpt3=Cpt_Index,Tab_Compteur_3[[#This Row],[Index]]-E158,Tab_Compteur_3[[#This Row],[Quantité]])/Tab_Compteur_3[[#This Row],[Delta Jour]],"")&lt;0,"",IFERROR(IF(Str_TypeDonneesCpt3=Cpt_Index,Tab_Compteur_3[[#This Row],[Index]]-E158,Tab_Compteur_3[[#This Row],[Quantité]])/Tab_Compteur_3[[#This Row],[Delta Jour]],""))</f>
        <v/>
      </c>
      <c r="H159" s="186" t="str">
        <f>IFERROR(Tab_Compteur_3[[#This Row],[Montant]]/Tab_Compteur_3[[#This Row],[Delta Jour]],"")</f>
        <v/>
      </c>
      <c r="I159" s="212" t="str">
        <f t="shared" si="7"/>
        <v/>
      </c>
      <c r="J159" s="209"/>
      <c r="K159" s="38"/>
      <c r="L159" s="38"/>
      <c r="M159" s="38"/>
    </row>
    <row r="160" spans="1:13">
      <c r="A160" s="55">
        <f t="shared" si="8"/>
        <v>1</v>
      </c>
      <c r="B160" s="231"/>
      <c r="C160" s="200"/>
      <c r="D160" s="201"/>
      <c r="E160" s="186"/>
      <c r="F160" s="186">
        <f t="shared" si="6"/>
        <v>0</v>
      </c>
      <c r="G160" t="str">
        <f>IF(IFERROR(IF(Str_TypeDonneesCpt3=Cpt_Index,Tab_Compteur_3[[#This Row],[Index]]-E159,Tab_Compteur_3[[#This Row],[Quantité]])/Tab_Compteur_3[[#This Row],[Delta Jour]],"")&lt;0,"",IFERROR(IF(Str_TypeDonneesCpt3=Cpt_Index,Tab_Compteur_3[[#This Row],[Index]]-E159,Tab_Compteur_3[[#This Row],[Quantité]])/Tab_Compteur_3[[#This Row],[Delta Jour]],""))</f>
        <v/>
      </c>
      <c r="H160" s="186" t="str">
        <f>IFERROR(Tab_Compteur_3[[#This Row],[Montant]]/Tab_Compteur_3[[#This Row],[Delta Jour]],"")</f>
        <v/>
      </c>
      <c r="I160" s="212" t="str">
        <f t="shared" si="7"/>
        <v/>
      </c>
      <c r="J160" s="209"/>
      <c r="K160" s="38"/>
      <c r="L160" s="38"/>
      <c r="M160" s="38"/>
    </row>
    <row r="161" spans="1:13">
      <c r="A161" s="55">
        <f t="shared" si="8"/>
        <v>1</v>
      </c>
      <c r="B161" s="231"/>
      <c r="C161" s="200"/>
      <c r="D161" s="201"/>
      <c r="E161" s="186"/>
      <c r="F161" s="186">
        <f t="shared" si="6"/>
        <v>0</v>
      </c>
      <c r="G161" t="str">
        <f>IF(IFERROR(IF(Str_TypeDonneesCpt3=Cpt_Index,Tab_Compteur_3[[#This Row],[Index]]-E160,Tab_Compteur_3[[#This Row],[Quantité]])/Tab_Compteur_3[[#This Row],[Delta Jour]],"")&lt;0,"",IFERROR(IF(Str_TypeDonneesCpt3=Cpt_Index,Tab_Compteur_3[[#This Row],[Index]]-E160,Tab_Compteur_3[[#This Row],[Quantité]])/Tab_Compteur_3[[#This Row],[Delta Jour]],""))</f>
        <v/>
      </c>
      <c r="H161" s="186" t="str">
        <f>IFERROR(Tab_Compteur_3[[#This Row],[Montant]]/Tab_Compteur_3[[#This Row],[Delta Jour]],"")</f>
        <v/>
      </c>
      <c r="I161" s="212" t="str">
        <f t="shared" si="7"/>
        <v/>
      </c>
      <c r="J161" s="209"/>
      <c r="K161" s="38"/>
      <c r="L161" s="38"/>
      <c r="M161" s="38"/>
    </row>
    <row r="162" spans="1:13">
      <c r="A162" s="55">
        <f t="shared" si="8"/>
        <v>1</v>
      </c>
      <c r="B162" s="231"/>
      <c r="C162" s="200"/>
      <c r="D162" s="201"/>
      <c r="E162" s="186"/>
      <c r="F162" s="186">
        <f t="shared" si="6"/>
        <v>0</v>
      </c>
      <c r="G162" t="str">
        <f>IF(IFERROR(IF(Str_TypeDonneesCpt3=Cpt_Index,Tab_Compteur_3[[#This Row],[Index]]-E161,Tab_Compteur_3[[#This Row],[Quantité]])/Tab_Compteur_3[[#This Row],[Delta Jour]],"")&lt;0,"",IFERROR(IF(Str_TypeDonneesCpt3=Cpt_Index,Tab_Compteur_3[[#This Row],[Index]]-E161,Tab_Compteur_3[[#This Row],[Quantité]])/Tab_Compteur_3[[#This Row],[Delta Jour]],""))</f>
        <v/>
      </c>
      <c r="H162" s="186" t="str">
        <f>IFERROR(Tab_Compteur_3[[#This Row],[Montant]]/Tab_Compteur_3[[#This Row],[Delta Jour]],"")</f>
        <v/>
      </c>
      <c r="I162" s="212" t="str">
        <f t="shared" si="7"/>
        <v/>
      </c>
      <c r="J162" s="209"/>
      <c r="K162" s="38"/>
      <c r="L162" s="38"/>
      <c r="M162" s="38"/>
    </row>
    <row r="163" spans="1:13">
      <c r="A163" s="55">
        <f t="shared" si="8"/>
        <v>1</v>
      </c>
      <c r="B163" s="231"/>
      <c r="C163" s="200"/>
      <c r="D163" s="201"/>
      <c r="E163" s="186"/>
      <c r="F163" s="186">
        <f t="shared" si="6"/>
        <v>0</v>
      </c>
      <c r="G163" t="str">
        <f>IF(IFERROR(IF(Str_TypeDonneesCpt3=Cpt_Index,Tab_Compteur_3[[#This Row],[Index]]-E162,Tab_Compteur_3[[#This Row],[Quantité]])/Tab_Compteur_3[[#This Row],[Delta Jour]],"")&lt;0,"",IFERROR(IF(Str_TypeDonneesCpt3=Cpt_Index,Tab_Compteur_3[[#This Row],[Index]]-E162,Tab_Compteur_3[[#This Row],[Quantité]])/Tab_Compteur_3[[#This Row],[Delta Jour]],""))</f>
        <v/>
      </c>
      <c r="H163" s="186" t="str">
        <f>IFERROR(Tab_Compteur_3[[#This Row],[Montant]]/Tab_Compteur_3[[#This Row],[Delta Jour]],"")</f>
        <v/>
      </c>
      <c r="I163" s="212" t="str">
        <f t="shared" si="7"/>
        <v/>
      </c>
      <c r="J163" s="209"/>
      <c r="K163" s="38"/>
      <c r="L163" s="38"/>
      <c r="M163" s="38"/>
    </row>
    <row r="164" spans="1:13">
      <c r="A164" s="55">
        <f t="shared" si="8"/>
        <v>1</v>
      </c>
      <c r="B164" s="231"/>
      <c r="C164" s="200"/>
      <c r="D164" s="201"/>
      <c r="E164" s="186"/>
      <c r="F164" s="186">
        <f t="shared" si="6"/>
        <v>0</v>
      </c>
      <c r="G164" t="str">
        <f>IF(IFERROR(IF(Str_TypeDonneesCpt3=Cpt_Index,Tab_Compteur_3[[#This Row],[Index]]-E163,Tab_Compteur_3[[#This Row],[Quantité]])/Tab_Compteur_3[[#This Row],[Delta Jour]],"")&lt;0,"",IFERROR(IF(Str_TypeDonneesCpt3=Cpt_Index,Tab_Compteur_3[[#This Row],[Index]]-E163,Tab_Compteur_3[[#This Row],[Quantité]])/Tab_Compteur_3[[#This Row],[Delta Jour]],""))</f>
        <v/>
      </c>
      <c r="H164" s="186" t="str">
        <f>IFERROR(Tab_Compteur_3[[#This Row],[Montant]]/Tab_Compteur_3[[#This Row],[Delta Jour]],"")</f>
        <v/>
      </c>
      <c r="I164" s="212" t="str">
        <f t="shared" si="7"/>
        <v/>
      </c>
      <c r="J164" s="209"/>
      <c r="K164" s="38"/>
      <c r="L164" s="38"/>
      <c r="M164" s="38"/>
    </row>
    <row r="165" spans="1:13">
      <c r="A165" s="55">
        <f t="shared" si="8"/>
        <v>1</v>
      </c>
      <c r="B165" s="231"/>
      <c r="C165" s="200"/>
      <c r="D165" s="201"/>
      <c r="E165" s="186"/>
      <c r="F165" s="186">
        <f t="shared" si="6"/>
        <v>0</v>
      </c>
      <c r="G165" t="str">
        <f>IF(IFERROR(IF(Str_TypeDonneesCpt3=Cpt_Index,Tab_Compteur_3[[#This Row],[Index]]-E164,Tab_Compteur_3[[#This Row],[Quantité]])/Tab_Compteur_3[[#This Row],[Delta Jour]],"")&lt;0,"",IFERROR(IF(Str_TypeDonneesCpt3=Cpt_Index,Tab_Compteur_3[[#This Row],[Index]]-E164,Tab_Compteur_3[[#This Row],[Quantité]])/Tab_Compteur_3[[#This Row],[Delta Jour]],""))</f>
        <v/>
      </c>
      <c r="H165" s="186" t="str">
        <f>IFERROR(Tab_Compteur_3[[#This Row],[Montant]]/Tab_Compteur_3[[#This Row],[Delta Jour]],"")</f>
        <v/>
      </c>
      <c r="I165" s="212" t="str">
        <f t="shared" si="7"/>
        <v/>
      </c>
      <c r="J165" s="209"/>
      <c r="K165" s="38"/>
      <c r="L165" s="38"/>
      <c r="M165" s="38"/>
    </row>
    <row r="166" spans="1:13">
      <c r="A166" s="55">
        <f t="shared" si="8"/>
        <v>1</v>
      </c>
      <c r="B166" s="231"/>
      <c r="C166" s="200"/>
      <c r="D166" s="201"/>
      <c r="E166" s="186"/>
      <c r="F166" s="186">
        <f t="shared" si="6"/>
        <v>0</v>
      </c>
      <c r="G166" t="str">
        <f>IF(IFERROR(IF(Str_TypeDonneesCpt3=Cpt_Index,Tab_Compteur_3[[#This Row],[Index]]-E165,Tab_Compteur_3[[#This Row],[Quantité]])/Tab_Compteur_3[[#This Row],[Delta Jour]],"")&lt;0,"",IFERROR(IF(Str_TypeDonneesCpt3=Cpt_Index,Tab_Compteur_3[[#This Row],[Index]]-E165,Tab_Compteur_3[[#This Row],[Quantité]])/Tab_Compteur_3[[#This Row],[Delta Jour]],""))</f>
        <v/>
      </c>
      <c r="H166" s="186" t="str">
        <f>IFERROR(Tab_Compteur_3[[#This Row],[Montant]]/Tab_Compteur_3[[#This Row],[Delta Jour]],"")</f>
        <v/>
      </c>
      <c r="I166" s="212" t="str">
        <f t="shared" si="7"/>
        <v/>
      </c>
      <c r="J166" s="209"/>
      <c r="K166" s="38"/>
      <c r="L166" s="38"/>
      <c r="M166" s="38"/>
    </row>
    <row r="167" spans="1:13">
      <c r="A167" s="55">
        <f t="shared" si="8"/>
        <v>1</v>
      </c>
      <c r="B167" s="231"/>
      <c r="C167" s="200"/>
      <c r="D167" s="201"/>
      <c r="E167" s="186"/>
      <c r="F167" s="186">
        <f t="shared" si="6"/>
        <v>0</v>
      </c>
      <c r="G167" t="str">
        <f>IF(IFERROR(IF(Str_TypeDonneesCpt3=Cpt_Index,Tab_Compteur_3[[#This Row],[Index]]-E166,Tab_Compteur_3[[#This Row],[Quantité]])/Tab_Compteur_3[[#This Row],[Delta Jour]],"")&lt;0,"",IFERROR(IF(Str_TypeDonneesCpt3=Cpt_Index,Tab_Compteur_3[[#This Row],[Index]]-E166,Tab_Compteur_3[[#This Row],[Quantité]])/Tab_Compteur_3[[#This Row],[Delta Jour]],""))</f>
        <v/>
      </c>
      <c r="H167" s="186" t="str">
        <f>IFERROR(Tab_Compteur_3[[#This Row],[Montant]]/Tab_Compteur_3[[#This Row],[Delta Jour]],"")</f>
        <v/>
      </c>
      <c r="I167" s="212" t="str">
        <f t="shared" si="7"/>
        <v/>
      </c>
      <c r="J167" s="209"/>
      <c r="K167" s="38"/>
      <c r="L167" s="38"/>
      <c r="M167" s="38"/>
    </row>
    <row r="168" spans="1:13">
      <c r="A168" s="55">
        <f t="shared" si="8"/>
        <v>1</v>
      </c>
      <c r="B168" s="231"/>
      <c r="C168" s="200"/>
      <c r="D168" s="201"/>
      <c r="E168" s="186"/>
      <c r="F168" s="186">
        <f t="shared" si="6"/>
        <v>0</v>
      </c>
      <c r="G168" t="str">
        <f>IF(IFERROR(IF(Str_TypeDonneesCpt3=Cpt_Index,Tab_Compteur_3[[#This Row],[Index]]-E167,Tab_Compteur_3[[#This Row],[Quantité]])/Tab_Compteur_3[[#This Row],[Delta Jour]],"")&lt;0,"",IFERROR(IF(Str_TypeDonneesCpt3=Cpt_Index,Tab_Compteur_3[[#This Row],[Index]]-E167,Tab_Compteur_3[[#This Row],[Quantité]])/Tab_Compteur_3[[#This Row],[Delta Jour]],""))</f>
        <v/>
      </c>
      <c r="H168" s="186" t="str">
        <f>IFERROR(Tab_Compteur_3[[#This Row],[Montant]]/Tab_Compteur_3[[#This Row],[Delta Jour]],"")</f>
        <v/>
      </c>
      <c r="I168" s="212" t="str">
        <f t="shared" si="7"/>
        <v/>
      </c>
      <c r="J168" s="209"/>
      <c r="K168" s="38"/>
      <c r="L168" s="38"/>
      <c r="M168" s="38"/>
    </row>
    <row r="169" spans="1:13">
      <c r="A169" s="55">
        <f t="shared" si="8"/>
        <v>1</v>
      </c>
      <c r="B169" s="231"/>
      <c r="C169" s="200"/>
      <c r="D169" s="201"/>
      <c r="E169" s="186"/>
      <c r="F169" s="186">
        <f t="shared" si="6"/>
        <v>0</v>
      </c>
      <c r="G169" t="str">
        <f>IF(IFERROR(IF(Str_TypeDonneesCpt3=Cpt_Index,Tab_Compteur_3[[#This Row],[Index]]-E168,Tab_Compteur_3[[#This Row],[Quantité]])/Tab_Compteur_3[[#This Row],[Delta Jour]],"")&lt;0,"",IFERROR(IF(Str_TypeDonneesCpt3=Cpt_Index,Tab_Compteur_3[[#This Row],[Index]]-E168,Tab_Compteur_3[[#This Row],[Quantité]])/Tab_Compteur_3[[#This Row],[Delta Jour]],""))</f>
        <v/>
      </c>
      <c r="H169" s="186" t="str">
        <f>IFERROR(Tab_Compteur_3[[#This Row],[Montant]]/Tab_Compteur_3[[#This Row],[Delta Jour]],"")</f>
        <v/>
      </c>
      <c r="I169" s="212" t="str">
        <f t="shared" si="7"/>
        <v/>
      </c>
      <c r="J169" s="209"/>
      <c r="K169" s="38"/>
      <c r="L169" s="38"/>
      <c r="M169" s="38"/>
    </row>
    <row r="170" spans="1:13">
      <c r="A170" s="55">
        <f t="shared" si="8"/>
        <v>1</v>
      </c>
      <c r="B170" s="231"/>
      <c r="C170" s="200"/>
      <c r="D170" s="201"/>
      <c r="E170" s="186"/>
      <c r="F170" s="186">
        <f t="shared" si="6"/>
        <v>0</v>
      </c>
      <c r="G170" t="str">
        <f>IF(IFERROR(IF(Str_TypeDonneesCpt3=Cpt_Index,Tab_Compteur_3[[#This Row],[Index]]-E169,Tab_Compteur_3[[#This Row],[Quantité]])/Tab_Compteur_3[[#This Row],[Delta Jour]],"")&lt;0,"",IFERROR(IF(Str_TypeDonneesCpt3=Cpt_Index,Tab_Compteur_3[[#This Row],[Index]]-E169,Tab_Compteur_3[[#This Row],[Quantité]])/Tab_Compteur_3[[#This Row],[Delta Jour]],""))</f>
        <v/>
      </c>
      <c r="H170" s="186" t="str">
        <f>IFERROR(Tab_Compteur_3[[#This Row],[Montant]]/Tab_Compteur_3[[#This Row],[Delta Jour]],"")</f>
        <v/>
      </c>
      <c r="I170" s="212" t="str">
        <f t="shared" si="7"/>
        <v/>
      </c>
      <c r="J170" s="209"/>
      <c r="K170" s="38"/>
      <c r="L170" s="38"/>
      <c r="M170" s="38"/>
    </row>
    <row r="171" spans="1:13">
      <c r="A171" s="55">
        <f t="shared" si="8"/>
        <v>1</v>
      </c>
      <c r="B171" s="231"/>
      <c r="C171" s="200"/>
      <c r="D171" s="201"/>
      <c r="E171" s="186"/>
      <c r="F171" s="186">
        <f t="shared" si="6"/>
        <v>0</v>
      </c>
      <c r="G171" t="str">
        <f>IF(IFERROR(IF(Str_TypeDonneesCpt3=Cpt_Index,Tab_Compteur_3[[#This Row],[Index]]-E170,Tab_Compteur_3[[#This Row],[Quantité]])/Tab_Compteur_3[[#This Row],[Delta Jour]],"")&lt;0,"",IFERROR(IF(Str_TypeDonneesCpt3=Cpt_Index,Tab_Compteur_3[[#This Row],[Index]]-E170,Tab_Compteur_3[[#This Row],[Quantité]])/Tab_Compteur_3[[#This Row],[Delta Jour]],""))</f>
        <v/>
      </c>
      <c r="H171" s="186" t="str">
        <f>IFERROR(Tab_Compteur_3[[#This Row],[Montant]]/Tab_Compteur_3[[#This Row],[Delta Jour]],"")</f>
        <v/>
      </c>
      <c r="I171" s="212" t="str">
        <f t="shared" si="7"/>
        <v/>
      </c>
      <c r="J171" s="209"/>
      <c r="K171" s="38"/>
      <c r="L171" s="38"/>
      <c r="M171" s="38"/>
    </row>
    <row r="172" spans="1:13">
      <c r="A172" s="55">
        <f t="shared" si="8"/>
        <v>1</v>
      </c>
      <c r="B172" s="231"/>
      <c r="C172" s="200"/>
      <c r="D172" s="201"/>
      <c r="E172" s="186"/>
      <c r="F172" s="186">
        <f t="shared" si="6"/>
        <v>0</v>
      </c>
      <c r="G172" t="str">
        <f>IF(IFERROR(IF(Str_TypeDonneesCpt3=Cpt_Index,Tab_Compteur_3[[#This Row],[Index]]-E171,Tab_Compteur_3[[#This Row],[Quantité]])/Tab_Compteur_3[[#This Row],[Delta Jour]],"")&lt;0,"",IFERROR(IF(Str_TypeDonneesCpt3=Cpt_Index,Tab_Compteur_3[[#This Row],[Index]]-E171,Tab_Compteur_3[[#This Row],[Quantité]])/Tab_Compteur_3[[#This Row],[Delta Jour]],""))</f>
        <v/>
      </c>
      <c r="H172" s="186" t="str">
        <f>IFERROR(Tab_Compteur_3[[#This Row],[Montant]]/Tab_Compteur_3[[#This Row],[Delta Jour]],"")</f>
        <v/>
      </c>
      <c r="I172" s="212" t="str">
        <f t="shared" si="7"/>
        <v/>
      </c>
      <c r="J172" s="209"/>
      <c r="K172" s="38"/>
      <c r="L172" s="38"/>
      <c r="M172" s="38"/>
    </row>
    <row r="173" spans="1:13">
      <c r="A173" s="55">
        <f t="shared" si="8"/>
        <v>1</v>
      </c>
      <c r="B173" s="231"/>
      <c r="C173" s="200"/>
      <c r="D173" s="201"/>
      <c r="E173" s="186"/>
      <c r="F173" s="186">
        <f t="shared" si="6"/>
        <v>0</v>
      </c>
      <c r="G173" t="str">
        <f>IF(IFERROR(IF(Str_TypeDonneesCpt3=Cpt_Index,Tab_Compteur_3[[#This Row],[Index]]-E172,Tab_Compteur_3[[#This Row],[Quantité]])/Tab_Compteur_3[[#This Row],[Delta Jour]],"")&lt;0,"",IFERROR(IF(Str_TypeDonneesCpt3=Cpt_Index,Tab_Compteur_3[[#This Row],[Index]]-E172,Tab_Compteur_3[[#This Row],[Quantité]])/Tab_Compteur_3[[#This Row],[Delta Jour]],""))</f>
        <v/>
      </c>
      <c r="H173" s="186" t="str">
        <f>IFERROR(Tab_Compteur_3[[#This Row],[Montant]]/Tab_Compteur_3[[#This Row],[Delta Jour]],"")</f>
        <v/>
      </c>
      <c r="I173" s="212" t="str">
        <f t="shared" si="7"/>
        <v/>
      </c>
      <c r="J173" s="209"/>
      <c r="K173" s="38"/>
      <c r="L173" s="38"/>
      <c r="M173" s="38"/>
    </row>
    <row r="174" spans="1:13">
      <c r="A174" s="55">
        <f t="shared" si="8"/>
        <v>1</v>
      </c>
      <c r="B174" s="231"/>
      <c r="C174" s="200"/>
      <c r="D174" s="201"/>
      <c r="E174" s="186"/>
      <c r="F174" s="186">
        <f t="shared" si="6"/>
        <v>0</v>
      </c>
      <c r="G174" t="str">
        <f>IF(IFERROR(IF(Str_TypeDonneesCpt3=Cpt_Index,Tab_Compteur_3[[#This Row],[Index]]-E173,Tab_Compteur_3[[#This Row],[Quantité]])/Tab_Compteur_3[[#This Row],[Delta Jour]],"")&lt;0,"",IFERROR(IF(Str_TypeDonneesCpt3=Cpt_Index,Tab_Compteur_3[[#This Row],[Index]]-E173,Tab_Compteur_3[[#This Row],[Quantité]])/Tab_Compteur_3[[#This Row],[Delta Jour]],""))</f>
        <v/>
      </c>
      <c r="H174" s="186" t="str">
        <f>IFERROR(Tab_Compteur_3[[#This Row],[Montant]]/Tab_Compteur_3[[#This Row],[Delta Jour]],"")</f>
        <v/>
      </c>
      <c r="I174" s="212" t="str">
        <f t="shared" si="7"/>
        <v/>
      </c>
      <c r="J174" s="209"/>
      <c r="K174" s="38"/>
      <c r="L174" s="38"/>
      <c r="M174" s="38"/>
    </row>
    <row r="175" spans="1:13">
      <c r="A175" s="55">
        <f t="shared" si="8"/>
        <v>1</v>
      </c>
      <c r="B175" s="231"/>
      <c r="C175" s="200"/>
      <c r="D175" s="201"/>
      <c r="E175" s="186"/>
      <c r="F175" s="186">
        <f t="shared" si="6"/>
        <v>0</v>
      </c>
      <c r="G175" t="str">
        <f>IF(IFERROR(IF(Str_TypeDonneesCpt3=Cpt_Index,Tab_Compteur_3[[#This Row],[Index]]-E174,Tab_Compteur_3[[#This Row],[Quantité]])/Tab_Compteur_3[[#This Row],[Delta Jour]],"")&lt;0,"",IFERROR(IF(Str_TypeDonneesCpt3=Cpt_Index,Tab_Compteur_3[[#This Row],[Index]]-E174,Tab_Compteur_3[[#This Row],[Quantité]])/Tab_Compteur_3[[#This Row],[Delta Jour]],""))</f>
        <v/>
      </c>
      <c r="H175" s="186" t="str">
        <f>IFERROR(Tab_Compteur_3[[#This Row],[Montant]]/Tab_Compteur_3[[#This Row],[Delta Jour]],"")</f>
        <v/>
      </c>
      <c r="I175" s="212" t="str">
        <f t="shared" si="7"/>
        <v/>
      </c>
      <c r="J175" s="209"/>
      <c r="K175" s="38"/>
      <c r="L175" s="38"/>
      <c r="M175" s="38"/>
    </row>
    <row r="176" spans="1:13">
      <c r="A176" s="55">
        <f t="shared" si="8"/>
        <v>1</v>
      </c>
      <c r="B176" s="231"/>
      <c r="C176" s="200"/>
      <c r="D176" s="201"/>
      <c r="E176" s="186"/>
      <c r="F176" s="186">
        <f t="shared" si="6"/>
        <v>0</v>
      </c>
      <c r="G176" t="str">
        <f>IF(IFERROR(IF(Str_TypeDonneesCpt3=Cpt_Index,Tab_Compteur_3[[#This Row],[Index]]-E175,Tab_Compteur_3[[#This Row],[Quantité]])/Tab_Compteur_3[[#This Row],[Delta Jour]],"")&lt;0,"",IFERROR(IF(Str_TypeDonneesCpt3=Cpt_Index,Tab_Compteur_3[[#This Row],[Index]]-E175,Tab_Compteur_3[[#This Row],[Quantité]])/Tab_Compteur_3[[#This Row],[Delta Jour]],""))</f>
        <v/>
      </c>
      <c r="H176" s="186" t="str">
        <f>IFERROR(Tab_Compteur_3[[#This Row],[Montant]]/Tab_Compteur_3[[#This Row],[Delta Jour]],"")</f>
        <v/>
      </c>
      <c r="I176" s="212" t="str">
        <f t="shared" si="7"/>
        <v/>
      </c>
      <c r="J176" s="209"/>
      <c r="K176" s="38"/>
      <c r="L176" s="38"/>
      <c r="M176" s="38"/>
    </row>
    <row r="177" spans="1:13">
      <c r="A177" s="55">
        <f t="shared" si="8"/>
        <v>1</v>
      </c>
      <c r="B177" s="231"/>
      <c r="C177" s="200"/>
      <c r="D177" s="201"/>
      <c r="E177" s="186"/>
      <c r="F177" s="186">
        <f t="shared" si="6"/>
        <v>0</v>
      </c>
      <c r="G177" t="str">
        <f>IF(IFERROR(IF(Str_TypeDonneesCpt3=Cpt_Index,Tab_Compteur_3[[#This Row],[Index]]-E176,Tab_Compteur_3[[#This Row],[Quantité]])/Tab_Compteur_3[[#This Row],[Delta Jour]],"")&lt;0,"",IFERROR(IF(Str_TypeDonneesCpt3=Cpt_Index,Tab_Compteur_3[[#This Row],[Index]]-E176,Tab_Compteur_3[[#This Row],[Quantité]])/Tab_Compteur_3[[#This Row],[Delta Jour]],""))</f>
        <v/>
      </c>
      <c r="H177" s="186" t="str">
        <f>IFERROR(Tab_Compteur_3[[#This Row],[Montant]]/Tab_Compteur_3[[#This Row],[Delta Jour]],"")</f>
        <v/>
      </c>
      <c r="I177" s="212" t="str">
        <f t="shared" si="7"/>
        <v/>
      </c>
      <c r="J177" s="209"/>
      <c r="K177" s="38"/>
      <c r="L177" s="38"/>
      <c r="M177" s="38"/>
    </row>
    <row r="178" spans="1:13">
      <c r="A178" s="55">
        <f t="shared" si="8"/>
        <v>1</v>
      </c>
      <c r="B178" s="231"/>
      <c r="C178" s="200"/>
      <c r="D178" s="201"/>
      <c r="E178" s="186"/>
      <c r="F178" s="186">
        <f t="shared" si="6"/>
        <v>0</v>
      </c>
      <c r="G178" t="str">
        <f>IF(IFERROR(IF(Str_TypeDonneesCpt3=Cpt_Index,Tab_Compteur_3[[#This Row],[Index]]-E177,Tab_Compteur_3[[#This Row],[Quantité]])/Tab_Compteur_3[[#This Row],[Delta Jour]],"")&lt;0,"",IFERROR(IF(Str_TypeDonneesCpt3=Cpt_Index,Tab_Compteur_3[[#This Row],[Index]]-E177,Tab_Compteur_3[[#This Row],[Quantité]])/Tab_Compteur_3[[#This Row],[Delta Jour]],""))</f>
        <v/>
      </c>
      <c r="H178" s="186" t="str">
        <f>IFERROR(Tab_Compteur_3[[#This Row],[Montant]]/Tab_Compteur_3[[#This Row],[Delta Jour]],"")</f>
        <v/>
      </c>
      <c r="I178" s="212" t="str">
        <f t="shared" si="7"/>
        <v/>
      </c>
      <c r="J178" s="209"/>
      <c r="K178" s="38"/>
      <c r="L178" s="38"/>
      <c r="M178" s="38"/>
    </row>
    <row r="179" spans="1:13">
      <c r="A179" s="55">
        <f t="shared" si="8"/>
        <v>1</v>
      </c>
      <c r="B179" s="231"/>
      <c r="C179" s="200"/>
      <c r="D179" s="201"/>
      <c r="E179" s="186"/>
      <c r="F179" s="186">
        <f t="shared" si="6"/>
        <v>0</v>
      </c>
      <c r="G179" t="str">
        <f>IF(IFERROR(IF(Str_TypeDonneesCpt3=Cpt_Index,Tab_Compteur_3[[#This Row],[Index]]-E178,Tab_Compteur_3[[#This Row],[Quantité]])/Tab_Compteur_3[[#This Row],[Delta Jour]],"")&lt;0,"",IFERROR(IF(Str_TypeDonneesCpt3=Cpt_Index,Tab_Compteur_3[[#This Row],[Index]]-E178,Tab_Compteur_3[[#This Row],[Quantité]])/Tab_Compteur_3[[#This Row],[Delta Jour]],""))</f>
        <v/>
      </c>
      <c r="H179" s="186" t="str">
        <f>IFERROR(Tab_Compteur_3[[#This Row],[Montant]]/Tab_Compteur_3[[#This Row],[Delta Jour]],"")</f>
        <v/>
      </c>
      <c r="I179" s="212" t="str">
        <f t="shared" si="7"/>
        <v/>
      </c>
      <c r="J179" s="209"/>
      <c r="K179" s="38"/>
      <c r="L179" s="38"/>
      <c r="M179" s="38"/>
    </row>
    <row r="180" spans="1:13">
      <c r="A180" s="55">
        <f t="shared" si="8"/>
        <v>1</v>
      </c>
      <c r="B180" s="231"/>
      <c r="C180" s="200"/>
      <c r="D180" s="201"/>
      <c r="E180" s="186"/>
      <c r="F180" s="186">
        <f t="shared" si="6"/>
        <v>0</v>
      </c>
      <c r="G180" t="str">
        <f>IF(IFERROR(IF(Str_TypeDonneesCpt3=Cpt_Index,Tab_Compteur_3[[#This Row],[Index]]-E179,Tab_Compteur_3[[#This Row],[Quantité]])/Tab_Compteur_3[[#This Row],[Delta Jour]],"")&lt;0,"",IFERROR(IF(Str_TypeDonneesCpt3=Cpt_Index,Tab_Compteur_3[[#This Row],[Index]]-E179,Tab_Compteur_3[[#This Row],[Quantité]])/Tab_Compteur_3[[#This Row],[Delta Jour]],""))</f>
        <v/>
      </c>
      <c r="H180" s="186" t="str">
        <f>IFERROR(Tab_Compteur_3[[#This Row],[Montant]]/Tab_Compteur_3[[#This Row],[Delta Jour]],"")</f>
        <v/>
      </c>
      <c r="I180" s="212" t="str">
        <f t="shared" si="7"/>
        <v/>
      </c>
      <c r="J180" s="209"/>
      <c r="K180" s="38"/>
      <c r="L180" s="38"/>
      <c r="M180" s="38"/>
    </row>
    <row r="181" spans="1:13">
      <c r="A181" s="55">
        <f t="shared" si="8"/>
        <v>1</v>
      </c>
      <c r="B181" s="231"/>
      <c r="C181" s="200"/>
      <c r="D181" s="201"/>
      <c r="E181" s="186"/>
      <c r="F181" s="186">
        <f t="shared" si="6"/>
        <v>0</v>
      </c>
      <c r="G181" t="str">
        <f>IF(IFERROR(IF(Str_TypeDonneesCpt3=Cpt_Index,Tab_Compteur_3[[#This Row],[Index]]-E180,Tab_Compteur_3[[#This Row],[Quantité]])/Tab_Compteur_3[[#This Row],[Delta Jour]],"")&lt;0,"",IFERROR(IF(Str_TypeDonneesCpt3=Cpt_Index,Tab_Compteur_3[[#This Row],[Index]]-E180,Tab_Compteur_3[[#This Row],[Quantité]])/Tab_Compteur_3[[#This Row],[Delta Jour]],""))</f>
        <v/>
      </c>
      <c r="H181" s="186" t="str">
        <f>IFERROR(Tab_Compteur_3[[#This Row],[Montant]]/Tab_Compteur_3[[#This Row],[Delta Jour]],"")</f>
        <v/>
      </c>
      <c r="I181" s="212" t="str">
        <f t="shared" si="7"/>
        <v/>
      </c>
      <c r="J181" s="209"/>
      <c r="K181" s="38"/>
      <c r="L181" s="38"/>
      <c r="M181" s="38"/>
    </row>
    <row r="182" spans="1:13">
      <c r="A182" s="55">
        <f t="shared" si="8"/>
        <v>1</v>
      </c>
      <c r="B182" s="231"/>
      <c r="C182" s="200"/>
      <c r="D182" s="201"/>
      <c r="E182" s="186"/>
      <c r="F182" s="186">
        <f t="shared" si="6"/>
        <v>0</v>
      </c>
      <c r="G182" t="str">
        <f>IF(IFERROR(IF(Str_TypeDonneesCpt3=Cpt_Index,Tab_Compteur_3[[#This Row],[Index]]-E181,Tab_Compteur_3[[#This Row],[Quantité]])/Tab_Compteur_3[[#This Row],[Delta Jour]],"")&lt;0,"",IFERROR(IF(Str_TypeDonneesCpt3=Cpt_Index,Tab_Compteur_3[[#This Row],[Index]]-E181,Tab_Compteur_3[[#This Row],[Quantité]])/Tab_Compteur_3[[#This Row],[Delta Jour]],""))</f>
        <v/>
      </c>
      <c r="H182" s="186" t="str">
        <f>IFERROR(Tab_Compteur_3[[#This Row],[Montant]]/Tab_Compteur_3[[#This Row],[Delta Jour]],"")</f>
        <v/>
      </c>
      <c r="I182" s="212" t="str">
        <f t="shared" si="7"/>
        <v/>
      </c>
      <c r="J182" s="209"/>
      <c r="K182" s="38"/>
      <c r="L182" s="38"/>
      <c r="M182" s="38"/>
    </row>
    <row r="183" spans="1:13">
      <c r="A183" s="55">
        <f t="shared" si="8"/>
        <v>1</v>
      </c>
      <c r="B183" s="231"/>
      <c r="C183" s="200"/>
      <c r="D183" s="201"/>
      <c r="E183" s="186"/>
      <c r="F183" s="186">
        <f t="shared" si="6"/>
        <v>0</v>
      </c>
      <c r="G183" t="str">
        <f>IF(IFERROR(IF(Str_TypeDonneesCpt3=Cpt_Index,Tab_Compteur_3[[#This Row],[Index]]-E182,Tab_Compteur_3[[#This Row],[Quantité]])/Tab_Compteur_3[[#This Row],[Delta Jour]],"")&lt;0,"",IFERROR(IF(Str_TypeDonneesCpt3=Cpt_Index,Tab_Compteur_3[[#This Row],[Index]]-E182,Tab_Compteur_3[[#This Row],[Quantité]])/Tab_Compteur_3[[#This Row],[Delta Jour]],""))</f>
        <v/>
      </c>
      <c r="H183" s="186" t="str">
        <f>IFERROR(Tab_Compteur_3[[#This Row],[Montant]]/Tab_Compteur_3[[#This Row],[Delta Jour]],"")</f>
        <v/>
      </c>
      <c r="I183" s="212" t="str">
        <f t="shared" si="7"/>
        <v/>
      </c>
      <c r="J183" s="209"/>
      <c r="K183" s="38"/>
      <c r="L183" s="38"/>
      <c r="M183" s="38"/>
    </row>
    <row r="184" spans="1:13">
      <c r="A184" s="55">
        <f t="shared" si="8"/>
        <v>1</v>
      </c>
      <c r="B184" s="231"/>
      <c r="C184" s="200"/>
      <c r="D184" s="201"/>
      <c r="E184" s="186"/>
      <c r="F184" s="186">
        <f t="shared" si="6"/>
        <v>0</v>
      </c>
      <c r="G184" t="str">
        <f>IF(IFERROR(IF(Str_TypeDonneesCpt3=Cpt_Index,Tab_Compteur_3[[#This Row],[Index]]-E183,Tab_Compteur_3[[#This Row],[Quantité]])/Tab_Compteur_3[[#This Row],[Delta Jour]],"")&lt;0,"",IFERROR(IF(Str_TypeDonneesCpt3=Cpt_Index,Tab_Compteur_3[[#This Row],[Index]]-E183,Tab_Compteur_3[[#This Row],[Quantité]])/Tab_Compteur_3[[#This Row],[Delta Jour]],""))</f>
        <v/>
      </c>
      <c r="H184" s="186" t="str">
        <f>IFERROR(Tab_Compteur_3[[#This Row],[Montant]]/Tab_Compteur_3[[#This Row],[Delta Jour]],"")</f>
        <v/>
      </c>
      <c r="I184" s="212" t="str">
        <f t="shared" si="7"/>
        <v/>
      </c>
      <c r="J184" s="209"/>
      <c r="K184" s="38"/>
      <c r="L184" s="38"/>
      <c r="M184" s="38"/>
    </row>
    <row r="185" spans="1:13">
      <c r="A185" s="55">
        <f t="shared" si="8"/>
        <v>1</v>
      </c>
      <c r="B185" s="231"/>
      <c r="C185" s="200"/>
      <c r="D185" s="201"/>
      <c r="E185" s="186"/>
      <c r="F185" s="186">
        <f t="shared" si="6"/>
        <v>0</v>
      </c>
      <c r="G185" t="str">
        <f>IF(IFERROR(IF(Str_TypeDonneesCpt3=Cpt_Index,Tab_Compteur_3[[#This Row],[Index]]-E184,Tab_Compteur_3[[#This Row],[Quantité]])/Tab_Compteur_3[[#This Row],[Delta Jour]],"")&lt;0,"",IFERROR(IF(Str_TypeDonneesCpt3=Cpt_Index,Tab_Compteur_3[[#This Row],[Index]]-E184,Tab_Compteur_3[[#This Row],[Quantité]])/Tab_Compteur_3[[#This Row],[Delta Jour]],""))</f>
        <v/>
      </c>
      <c r="H185" s="186" t="str">
        <f>IFERROR(Tab_Compteur_3[[#This Row],[Montant]]/Tab_Compteur_3[[#This Row],[Delta Jour]],"")</f>
        <v/>
      </c>
      <c r="I185" s="212" t="str">
        <f t="shared" si="7"/>
        <v/>
      </c>
      <c r="J185" s="209"/>
      <c r="K185" s="38"/>
      <c r="L185" s="38"/>
      <c r="M185" s="38"/>
    </row>
    <row r="186" spans="1:13">
      <c r="A186" s="55">
        <f t="shared" si="8"/>
        <v>1</v>
      </c>
      <c r="B186" s="231"/>
      <c r="C186" s="200"/>
      <c r="D186" s="201"/>
      <c r="E186" s="186"/>
      <c r="F186" s="186">
        <f t="shared" si="6"/>
        <v>0</v>
      </c>
      <c r="G186" t="str">
        <f>IF(IFERROR(IF(Str_TypeDonneesCpt3=Cpt_Index,Tab_Compteur_3[[#This Row],[Index]]-E185,Tab_Compteur_3[[#This Row],[Quantité]])/Tab_Compteur_3[[#This Row],[Delta Jour]],"")&lt;0,"",IFERROR(IF(Str_TypeDonneesCpt3=Cpt_Index,Tab_Compteur_3[[#This Row],[Index]]-E185,Tab_Compteur_3[[#This Row],[Quantité]])/Tab_Compteur_3[[#This Row],[Delta Jour]],""))</f>
        <v/>
      </c>
      <c r="H186" s="186" t="str">
        <f>IFERROR(Tab_Compteur_3[[#This Row],[Montant]]/Tab_Compteur_3[[#This Row],[Delta Jour]],"")</f>
        <v/>
      </c>
      <c r="I186" s="212" t="str">
        <f t="shared" si="7"/>
        <v/>
      </c>
      <c r="J186" s="209"/>
      <c r="K186" s="38"/>
      <c r="L186" s="38"/>
      <c r="M186" s="38"/>
    </row>
    <row r="187" spans="1:13">
      <c r="A187" s="55">
        <f t="shared" si="8"/>
        <v>1</v>
      </c>
      <c r="B187" s="231"/>
      <c r="C187" s="200"/>
      <c r="D187" s="201"/>
      <c r="E187" s="186"/>
      <c r="F187" s="186">
        <f t="shared" si="6"/>
        <v>0</v>
      </c>
      <c r="G187" t="str">
        <f>IF(IFERROR(IF(Str_TypeDonneesCpt3=Cpt_Index,Tab_Compteur_3[[#This Row],[Index]]-E186,Tab_Compteur_3[[#This Row],[Quantité]])/Tab_Compteur_3[[#This Row],[Delta Jour]],"")&lt;0,"",IFERROR(IF(Str_TypeDonneesCpt3=Cpt_Index,Tab_Compteur_3[[#This Row],[Index]]-E186,Tab_Compteur_3[[#This Row],[Quantité]])/Tab_Compteur_3[[#This Row],[Delta Jour]],""))</f>
        <v/>
      </c>
      <c r="H187" s="186" t="str">
        <f>IFERROR(Tab_Compteur_3[[#This Row],[Montant]]/Tab_Compteur_3[[#This Row],[Delta Jour]],"")</f>
        <v/>
      </c>
      <c r="I187" s="212" t="str">
        <f t="shared" si="7"/>
        <v/>
      </c>
      <c r="J187" s="209"/>
      <c r="K187" s="38"/>
      <c r="L187" s="38"/>
      <c r="M187" s="38"/>
    </row>
    <row r="188" spans="1:13">
      <c r="A188" s="55">
        <f t="shared" si="8"/>
        <v>1</v>
      </c>
      <c r="B188" s="231"/>
      <c r="C188" s="200"/>
      <c r="D188" s="201"/>
      <c r="E188" s="186"/>
      <c r="F188" s="186">
        <f t="shared" si="6"/>
        <v>0</v>
      </c>
      <c r="G188" t="str">
        <f>IF(IFERROR(IF(Str_TypeDonneesCpt3=Cpt_Index,Tab_Compteur_3[[#This Row],[Index]]-E187,Tab_Compteur_3[[#This Row],[Quantité]])/Tab_Compteur_3[[#This Row],[Delta Jour]],"")&lt;0,"",IFERROR(IF(Str_TypeDonneesCpt3=Cpt_Index,Tab_Compteur_3[[#This Row],[Index]]-E187,Tab_Compteur_3[[#This Row],[Quantité]])/Tab_Compteur_3[[#This Row],[Delta Jour]],""))</f>
        <v/>
      </c>
      <c r="H188" s="186" t="str">
        <f>IFERROR(Tab_Compteur_3[[#This Row],[Montant]]/Tab_Compteur_3[[#This Row],[Delta Jour]],"")</f>
        <v/>
      </c>
      <c r="I188" s="212" t="str">
        <f t="shared" si="7"/>
        <v/>
      </c>
      <c r="J188" s="209"/>
      <c r="K188" s="38"/>
      <c r="L188" s="38"/>
      <c r="M188" s="38"/>
    </row>
    <row r="189" spans="1:13">
      <c r="A189" s="55">
        <f t="shared" si="8"/>
        <v>1</v>
      </c>
      <c r="B189" s="231"/>
      <c r="C189" s="200"/>
      <c r="D189" s="201"/>
      <c r="E189" s="186"/>
      <c r="F189" s="186">
        <f t="shared" si="6"/>
        <v>0</v>
      </c>
      <c r="G189" t="str">
        <f>IF(IFERROR(IF(Str_TypeDonneesCpt3=Cpt_Index,Tab_Compteur_3[[#This Row],[Index]]-E188,Tab_Compteur_3[[#This Row],[Quantité]])/Tab_Compteur_3[[#This Row],[Delta Jour]],"")&lt;0,"",IFERROR(IF(Str_TypeDonneesCpt3=Cpt_Index,Tab_Compteur_3[[#This Row],[Index]]-E188,Tab_Compteur_3[[#This Row],[Quantité]])/Tab_Compteur_3[[#This Row],[Delta Jour]],""))</f>
        <v/>
      </c>
      <c r="H189" s="186" t="str">
        <f>IFERROR(Tab_Compteur_3[[#This Row],[Montant]]/Tab_Compteur_3[[#This Row],[Delta Jour]],"")</f>
        <v/>
      </c>
      <c r="I189" s="212" t="str">
        <f t="shared" si="7"/>
        <v/>
      </c>
      <c r="J189" s="209"/>
      <c r="K189" s="38"/>
      <c r="L189" s="38"/>
      <c r="M189" s="38"/>
    </row>
    <row r="190" spans="1:13">
      <c r="A190" s="55">
        <f t="shared" si="8"/>
        <v>1</v>
      </c>
      <c r="B190" s="231"/>
      <c r="C190" s="200"/>
      <c r="D190" s="201"/>
      <c r="E190" s="186"/>
      <c r="F190" s="186">
        <f t="shared" si="6"/>
        <v>0</v>
      </c>
      <c r="G190" t="str">
        <f>IF(IFERROR(IF(Str_TypeDonneesCpt3=Cpt_Index,Tab_Compteur_3[[#This Row],[Index]]-E189,Tab_Compteur_3[[#This Row],[Quantité]])/Tab_Compteur_3[[#This Row],[Delta Jour]],"")&lt;0,"",IFERROR(IF(Str_TypeDonneesCpt3=Cpt_Index,Tab_Compteur_3[[#This Row],[Index]]-E189,Tab_Compteur_3[[#This Row],[Quantité]])/Tab_Compteur_3[[#This Row],[Delta Jour]],""))</f>
        <v/>
      </c>
      <c r="H190" s="186" t="str">
        <f>IFERROR(Tab_Compteur_3[[#This Row],[Montant]]/Tab_Compteur_3[[#This Row],[Delta Jour]],"")</f>
        <v/>
      </c>
      <c r="I190" s="212" t="str">
        <f t="shared" si="7"/>
        <v/>
      </c>
      <c r="J190" s="209"/>
      <c r="K190" s="38"/>
      <c r="L190" s="38"/>
      <c r="M190" s="38"/>
    </row>
    <row r="191" spans="1:13">
      <c r="A191" s="55">
        <f t="shared" si="8"/>
        <v>1</v>
      </c>
      <c r="B191" s="231"/>
      <c r="C191" s="200"/>
      <c r="D191" s="201"/>
      <c r="E191" s="186"/>
      <c r="F191" s="186">
        <f t="shared" si="6"/>
        <v>0</v>
      </c>
      <c r="G191" t="str">
        <f>IF(IFERROR(IF(Str_TypeDonneesCpt3=Cpt_Index,Tab_Compteur_3[[#This Row],[Index]]-E190,Tab_Compteur_3[[#This Row],[Quantité]])/Tab_Compteur_3[[#This Row],[Delta Jour]],"")&lt;0,"",IFERROR(IF(Str_TypeDonneesCpt3=Cpt_Index,Tab_Compteur_3[[#This Row],[Index]]-E190,Tab_Compteur_3[[#This Row],[Quantité]])/Tab_Compteur_3[[#This Row],[Delta Jour]],""))</f>
        <v/>
      </c>
      <c r="H191" s="186" t="str">
        <f>IFERROR(Tab_Compteur_3[[#This Row],[Montant]]/Tab_Compteur_3[[#This Row],[Delta Jour]],"")</f>
        <v/>
      </c>
      <c r="I191" s="212" t="str">
        <f t="shared" si="7"/>
        <v/>
      </c>
      <c r="J191" s="209"/>
      <c r="K191" s="38"/>
      <c r="L191" s="38"/>
      <c r="M191" s="38"/>
    </row>
    <row r="192" spans="1:13">
      <c r="A192" s="55">
        <f t="shared" si="8"/>
        <v>1</v>
      </c>
      <c r="B192" s="231"/>
      <c r="C192" s="200"/>
      <c r="D192" s="201"/>
      <c r="E192" s="186"/>
      <c r="F192" s="186">
        <f t="shared" si="6"/>
        <v>0</v>
      </c>
      <c r="G192" t="str">
        <f>IF(IFERROR(IF(Str_TypeDonneesCpt3=Cpt_Index,Tab_Compteur_3[[#This Row],[Index]]-E191,Tab_Compteur_3[[#This Row],[Quantité]])/Tab_Compteur_3[[#This Row],[Delta Jour]],"")&lt;0,"",IFERROR(IF(Str_TypeDonneesCpt3=Cpt_Index,Tab_Compteur_3[[#This Row],[Index]]-E191,Tab_Compteur_3[[#This Row],[Quantité]])/Tab_Compteur_3[[#This Row],[Delta Jour]],""))</f>
        <v/>
      </c>
      <c r="H192" s="186" t="str">
        <f>IFERROR(Tab_Compteur_3[[#This Row],[Montant]]/Tab_Compteur_3[[#This Row],[Delta Jour]],"")</f>
        <v/>
      </c>
      <c r="I192" s="212" t="str">
        <f t="shared" si="7"/>
        <v/>
      </c>
      <c r="J192" s="209"/>
      <c r="K192" s="38"/>
      <c r="L192" s="38"/>
      <c r="M192" s="38"/>
    </row>
    <row r="193" spans="1:13">
      <c r="A193" s="55">
        <f t="shared" si="8"/>
        <v>1</v>
      </c>
      <c r="B193" s="231"/>
      <c r="C193" s="200"/>
      <c r="D193" s="201"/>
      <c r="E193" s="186"/>
      <c r="F193" s="186">
        <f t="shared" si="6"/>
        <v>0</v>
      </c>
      <c r="G193" t="str">
        <f>IF(IFERROR(IF(Str_TypeDonneesCpt3=Cpt_Index,Tab_Compteur_3[[#This Row],[Index]]-E192,Tab_Compteur_3[[#This Row],[Quantité]])/Tab_Compteur_3[[#This Row],[Delta Jour]],"")&lt;0,"",IFERROR(IF(Str_TypeDonneesCpt3=Cpt_Index,Tab_Compteur_3[[#This Row],[Index]]-E192,Tab_Compteur_3[[#This Row],[Quantité]])/Tab_Compteur_3[[#This Row],[Delta Jour]],""))</f>
        <v/>
      </c>
      <c r="H193" s="186" t="str">
        <f>IFERROR(Tab_Compteur_3[[#This Row],[Montant]]/Tab_Compteur_3[[#This Row],[Delta Jour]],"")</f>
        <v/>
      </c>
      <c r="I193" s="212" t="str">
        <f t="shared" si="7"/>
        <v/>
      </c>
      <c r="J193" s="209"/>
      <c r="K193" s="38"/>
      <c r="L193" s="38"/>
      <c r="M193" s="38"/>
    </row>
    <row r="194" spans="1:13">
      <c r="A194" s="55">
        <f t="shared" si="8"/>
        <v>1</v>
      </c>
      <c r="B194" s="231"/>
      <c r="C194" s="200"/>
      <c r="D194" s="201"/>
      <c r="E194" s="186"/>
      <c r="F194" s="186">
        <f t="shared" si="6"/>
        <v>0</v>
      </c>
      <c r="G194" t="str">
        <f>IF(IFERROR(IF(Str_TypeDonneesCpt3=Cpt_Index,Tab_Compteur_3[[#This Row],[Index]]-E193,Tab_Compteur_3[[#This Row],[Quantité]])/Tab_Compteur_3[[#This Row],[Delta Jour]],"")&lt;0,"",IFERROR(IF(Str_TypeDonneesCpt3=Cpt_Index,Tab_Compteur_3[[#This Row],[Index]]-E193,Tab_Compteur_3[[#This Row],[Quantité]])/Tab_Compteur_3[[#This Row],[Delta Jour]],""))</f>
        <v/>
      </c>
      <c r="H194" s="186" t="str">
        <f>IFERROR(Tab_Compteur_3[[#This Row],[Montant]]/Tab_Compteur_3[[#This Row],[Delta Jour]],"")</f>
        <v/>
      </c>
      <c r="I194" s="212" t="str">
        <f t="shared" si="7"/>
        <v/>
      </c>
      <c r="J194" s="209"/>
      <c r="K194" s="38"/>
      <c r="L194" s="38"/>
      <c r="M194" s="38"/>
    </row>
    <row r="195" spans="1:13">
      <c r="A195" s="55">
        <f t="shared" si="8"/>
        <v>1</v>
      </c>
      <c r="B195" s="231"/>
      <c r="C195" s="200"/>
      <c r="D195" s="201"/>
      <c r="E195" s="186"/>
      <c r="F195" s="186">
        <f t="shared" ref="F195:F243" si="9">IFERROR(B195-A195+1,"")</f>
        <v>0</v>
      </c>
      <c r="G195" t="str">
        <f>IF(IFERROR(IF(Str_TypeDonneesCpt3=Cpt_Index,Tab_Compteur_3[[#This Row],[Index]]-E194,Tab_Compteur_3[[#This Row],[Quantité]])/Tab_Compteur_3[[#This Row],[Delta Jour]],"")&lt;0,"",IFERROR(IF(Str_TypeDonneesCpt3=Cpt_Index,Tab_Compteur_3[[#This Row],[Index]]-E194,Tab_Compteur_3[[#This Row],[Quantité]])/Tab_Compteur_3[[#This Row],[Delta Jour]],""))</f>
        <v/>
      </c>
      <c r="H195" s="186" t="str">
        <f>IFERROR(Tab_Compteur_3[[#This Row],[Montant]]/Tab_Compteur_3[[#This Row],[Delta Jour]],"")</f>
        <v/>
      </c>
      <c r="I195" s="212" t="str">
        <f t="shared" ref="I195:I243" si="10">G195</f>
        <v/>
      </c>
      <c r="J195" s="209"/>
      <c r="K195" s="38"/>
      <c r="L195" s="38"/>
      <c r="M195" s="38"/>
    </row>
    <row r="196" spans="1:13">
      <c r="A196" s="55">
        <f t="shared" si="8"/>
        <v>1</v>
      </c>
      <c r="B196" s="231"/>
      <c r="C196" s="200"/>
      <c r="D196" s="201"/>
      <c r="E196" s="186"/>
      <c r="F196" s="186">
        <f t="shared" si="9"/>
        <v>0</v>
      </c>
      <c r="G196" t="str">
        <f>IF(IFERROR(IF(Str_TypeDonneesCpt3=Cpt_Index,Tab_Compteur_3[[#This Row],[Index]]-E195,Tab_Compteur_3[[#This Row],[Quantité]])/Tab_Compteur_3[[#This Row],[Delta Jour]],"")&lt;0,"",IFERROR(IF(Str_TypeDonneesCpt3=Cpt_Index,Tab_Compteur_3[[#This Row],[Index]]-E195,Tab_Compteur_3[[#This Row],[Quantité]])/Tab_Compteur_3[[#This Row],[Delta Jour]],""))</f>
        <v/>
      </c>
      <c r="H196" s="186" t="str">
        <f>IFERROR(Tab_Compteur_3[[#This Row],[Montant]]/Tab_Compteur_3[[#This Row],[Delta Jour]],"")</f>
        <v/>
      </c>
      <c r="I196" s="212" t="str">
        <f t="shared" si="10"/>
        <v/>
      </c>
      <c r="J196" s="209"/>
      <c r="K196" s="38"/>
      <c r="L196" s="38"/>
      <c r="M196" s="38"/>
    </row>
    <row r="197" spans="1:13">
      <c r="A197" s="55">
        <f t="shared" si="8"/>
        <v>1</v>
      </c>
      <c r="B197" s="231"/>
      <c r="C197" s="200"/>
      <c r="D197" s="201"/>
      <c r="E197" s="186"/>
      <c r="F197" s="186">
        <f t="shared" si="9"/>
        <v>0</v>
      </c>
      <c r="G197" t="str">
        <f>IF(IFERROR(IF(Str_TypeDonneesCpt3=Cpt_Index,Tab_Compteur_3[[#This Row],[Index]]-E196,Tab_Compteur_3[[#This Row],[Quantité]])/Tab_Compteur_3[[#This Row],[Delta Jour]],"")&lt;0,"",IFERROR(IF(Str_TypeDonneesCpt3=Cpt_Index,Tab_Compteur_3[[#This Row],[Index]]-E196,Tab_Compteur_3[[#This Row],[Quantité]])/Tab_Compteur_3[[#This Row],[Delta Jour]],""))</f>
        <v/>
      </c>
      <c r="H197" s="186" t="str">
        <f>IFERROR(Tab_Compteur_3[[#This Row],[Montant]]/Tab_Compteur_3[[#This Row],[Delta Jour]],"")</f>
        <v/>
      </c>
      <c r="I197" s="212" t="str">
        <f t="shared" si="10"/>
        <v/>
      </c>
      <c r="J197" s="209"/>
      <c r="K197" s="38"/>
      <c r="L197" s="38"/>
      <c r="M197" s="38"/>
    </row>
    <row r="198" spans="1:13">
      <c r="A198" s="55">
        <f t="shared" ref="A198:A243" si="11">IFERROR(B197+1,0)</f>
        <v>1</v>
      </c>
      <c r="B198" s="231"/>
      <c r="C198" s="200"/>
      <c r="D198" s="201"/>
      <c r="E198" s="186"/>
      <c r="F198" s="186">
        <f t="shared" si="9"/>
        <v>0</v>
      </c>
      <c r="G198" t="str">
        <f>IF(IFERROR(IF(Str_TypeDonneesCpt3=Cpt_Index,Tab_Compteur_3[[#This Row],[Index]]-E197,Tab_Compteur_3[[#This Row],[Quantité]])/Tab_Compteur_3[[#This Row],[Delta Jour]],"")&lt;0,"",IFERROR(IF(Str_TypeDonneesCpt3=Cpt_Index,Tab_Compteur_3[[#This Row],[Index]]-E197,Tab_Compteur_3[[#This Row],[Quantité]])/Tab_Compteur_3[[#This Row],[Delta Jour]],""))</f>
        <v/>
      </c>
      <c r="H198" s="186" t="str">
        <f>IFERROR(Tab_Compteur_3[[#This Row],[Montant]]/Tab_Compteur_3[[#This Row],[Delta Jour]],"")</f>
        <v/>
      </c>
      <c r="I198" s="212" t="str">
        <f t="shared" si="10"/>
        <v/>
      </c>
      <c r="J198" s="209"/>
      <c r="K198" s="38"/>
      <c r="L198" s="38"/>
      <c r="M198" s="38"/>
    </row>
    <row r="199" spans="1:13">
      <c r="A199" s="55">
        <f t="shared" si="11"/>
        <v>1</v>
      </c>
      <c r="B199" s="231"/>
      <c r="C199" s="200"/>
      <c r="D199" s="201"/>
      <c r="E199" s="186"/>
      <c r="F199" s="186">
        <f t="shared" si="9"/>
        <v>0</v>
      </c>
      <c r="G199" t="str">
        <f>IF(IFERROR(IF(Str_TypeDonneesCpt3=Cpt_Index,Tab_Compteur_3[[#This Row],[Index]]-E198,Tab_Compteur_3[[#This Row],[Quantité]])/Tab_Compteur_3[[#This Row],[Delta Jour]],"")&lt;0,"",IFERROR(IF(Str_TypeDonneesCpt3=Cpt_Index,Tab_Compteur_3[[#This Row],[Index]]-E198,Tab_Compteur_3[[#This Row],[Quantité]])/Tab_Compteur_3[[#This Row],[Delta Jour]],""))</f>
        <v/>
      </c>
      <c r="H199" s="186" t="str">
        <f>IFERROR(Tab_Compteur_3[[#This Row],[Montant]]/Tab_Compteur_3[[#This Row],[Delta Jour]],"")</f>
        <v/>
      </c>
      <c r="I199" s="212" t="str">
        <f t="shared" si="10"/>
        <v/>
      </c>
      <c r="J199" s="209"/>
      <c r="K199" s="38"/>
      <c r="L199" s="38"/>
      <c r="M199" s="38"/>
    </row>
    <row r="200" spans="1:13">
      <c r="A200" s="55">
        <f t="shared" si="11"/>
        <v>1</v>
      </c>
      <c r="B200" s="231"/>
      <c r="C200" s="200"/>
      <c r="D200" s="201"/>
      <c r="E200" s="186"/>
      <c r="F200" s="186">
        <f t="shared" si="9"/>
        <v>0</v>
      </c>
      <c r="G200" t="str">
        <f>IF(IFERROR(IF(Str_TypeDonneesCpt3=Cpt_Index,Tab_Compteur_3[[#This Row],[Index]]-E199,Tab_Compteur_3[[#This Row],[Quantité]])/Tab_Compteur_3[[#This Row],[Delta Jour]],"")&lt;0,"",IFERROR(IF(Str_TypeDonneesCpt3=Cpt_Index,Tab_Compteur_3[[#This Row],[Index]]-E199,Tab_Compteur_3[[#This Row],[Quantité]])/Tab_Compteur_3[[#This Row],[Delta Jour]],""))</f>
        <v/>
      </c>
      <c r="H200" s="186" t="str">
        <f>IFERROR(Tab_Compteur_3[[#This Row],[Montant]]/Tab_Compteur_3[[#This Row],[Delta Jour]],"")</f>
        <v/>
      </c>
      <c r="I200" s="212" t="str">
        <f t="shared" si="10"/>
        <v/>
      </c>
      <c r="J200" s="209"/>
      <c r="K200" s="38"/>
      <c r="L200" s="38"/>
      <c r="M200" s="38"/>
    </row>
    <row r="201" spans="1:13">
      <c r="A201" s="55">
        <f t="shared" si="11"/>
        <v>1</v>
      </c>
      <c r="B201" s="231"/>
      <c r="C201" s="200"/>
      <c r="D201" s="201"/>
      <c r="E201" s="186"/>
      <c r="F201" s="186">
        <f t="shared" si="9"/>
        <v>0</v>
      </c>
      <c r="G201" t="str">
        <f>IF(IFERROR(IF(Str_TypeDonneesCpt3=Cpt_Index,Tab_Compteur_3[[#This Row],[Index]]-E200,Tab_Compteur_3[[#This Row],[Quantité]])/Tab_Compteur_3[[#This Row],[Delta Jour]],"")&lt;0,"",IFERROR(IF(Str_TypeDonneesCpt3=Cpt_Index,Tab_Compteur_3[[#This Row],[Index]]-E200,Tab_Compteur_3[[#This Row],[Quantité]])/Tab_Compteur_3[[#This Row],[Delta Jour]],""))</f>
        <v/>
      </c>
      <c r="H201" s="186" t="str">
        <f>IFERROR(Tab_Compteur_3[[#This Row],[Montant]]/Tab_Compteur_3[[#This Row],[Delta Jour]],"")</f>
        <v/>
      </c>
      <c r="I201" s="212" t="str">
        <f t="shared" si="10"/>
        <v/>
      </c>
      <c r="J201" s="209"/>
      <c r="K201" s="38"/>
      <c r="L201" s="38"/>
      <c r="M201" s="38"/>
    </row>
    <row r="202" spans="1:13">
      <c r="A202" s="55">
        <f t="shared" si="11"/>
        <v>1</v>
      </c>
      <c r="B202" s="231"/>
      <c r="C202" s="200"/>
      <c r="D202" s="201"/>
      <c r="E202" s="186"/>
      <c r="F202" s="186">
        <f t="shared" si="9"/>
        <v>0</v>
      </c>
      <c r="G202" t="str">
        <f>IF(IFERROR(IF(Str_TypeDonneesCpt3=Cpt_Index,Tab_Compteur_3[[#This Row],[Index]]-E201,Tab_Compteur_3[[#This Row],[Quantité]])/Tab_Compteur_3[[#This Row],[Delta Jour]],"")&lt;0,"",IFERROR(IF(Str_TypeDonneesCpt3=Cpt_Index,Tab_Compteur_3[[#This Row],[Index]]-E201,Tab_Compteur_3[[#This Row],[Quantité]])/Tab_Compteur_3[[#This Row],[Delta Jour]],""))</f>
        <v/>
      </c>
      <c r="H202" s="186" t="str">
        <f>IFERROR(Tab_Compteur_3[[#This Row],[Montant]]/Tab_Compteur_3[[#This Row],[Delta Jour]],"")</f>
        <v/>
      </c>
      <c r="I202" s="212" t="str">
        <f t="shared" si="10"/>
        <v/>
      </c>
      <c r="J202" s="209"/>
      <c r="K202" s="38"/>
      <c r="L202" s="38"/>
      <c r="M202" s="38"/>
    </row>
    <row r="203" spans="1:13">
      <c r="A203" s="55">
        <f t="shared" si="11"/>
        <v>1</v>
      </c>
      <c r="B203" s="231"/>
      <c r="C203" s="200"/>
      <c r="D203" s="201"/>
      <c r="E203" s="186"/>
      <c r="F203" s="186">
        <f t="shared" si="9"/>
        <v>0</v>
      </c>
      <c r="G203" t="str">
        <f>IF(IFERROR(IF(Str_TypeDonneesCpt3=Cpt_Index,Tab_Compteur_3[[#This Row],[Index]]-E202,Tab_Compteur_3[[#This Row],[Quantité]])/Tab_Compteur_3[[#This Row],[Delta Jour]],"")&lt;0,"",IFERROR(IF(Str_TypeDonneesCpt3=Cpt_Index,Tab_Compteur_3[[#This Row],[Index]]-E202,Tab_Compteur_3[[#This Row],[Quantité]])/Tab_Compteur_3[[#This Row],[Delta Jour]],""))</f>
        <v/>
      </c>
      <c r="H203" s="186" t="str">
        <f>IFERROR(Tab_Compteur_3[[#This Row],[Montant]]/Tab_Compteur_3[[#This Row],[Delta Jour]],"")</f>
        <v/>
      </c>
      <c r="I203" s="212" t="str">
        <f t="shared" si="10"/>
        <v/>
      </c>
      <c r="J203" s="209"/>
      <c r="K203" s="38"/>
      <c r="L203" s="38"/>
      <c r="M203" s="38"/>
    </row>
    <row r="204" spans="1:13">
      <c r="A204" s="55">
        <f t="shared" si="11"/>
        <v>1</v>
      </c>
      <c r="B204" s="231"/>
      <c r="C204" s="200"/>
      <c r="D204" s="201"/>
      <c r="E204" s="186"/>
      <c r="F204" s="186">
        <f t="shared" si="9"/>
        <v>0</v>
      </c>
      <c r="G204" t="str">
        <f>IF(IFERROR(IF(Str_TypeDonneesCpt3=Cpt_Index,Tab_Compteur_3[[#This Row],[Index]]-E203,Tab_Compteur_3[[#This Row],[Quantité]])/Tab_Compteur_3[[#This Row],[Delta Jour]],"")&lt;0,"",IFERROR(IF(Str_TypeDonneesCpt3=Cpt_Index,Tab_Compteur_3[[#This Row],[Index]]-E203,Tab_Compteur_3[[#This Row],[Quantité]])/Tab_Compteur_3[[#This Row],[Delta Jour]],""))</f>
        <v/>
      </c>
      <c r="H204" s="186" t="str">
        <f>IFERROR(Tab_Compteur_3[[#This Row],[Montant]]/Tab_Compteur_3[[#This Row],[Delta Jour]],"")</f>
        <v/>
      </c>
      <c r="I204" s="212" t="str">
        <f t="shared" si="10"/>
        <v/>
      </c>
      <c r="J204" s="209"/>
      <c r="K204" s="38"/>
      <c r="L204" s="38"/>
      <c r="M204" s="38"/>
    </row>
    <row r="205" spans="1:13">
      <c r="A205" s="55">
        <f t="shared" si="11"/>
        <v>1</v>
      </c>
      <c r="B205" s="231"/>
      <c r="C205" s="200"/>
      <c r="D205" s="201"/>
      <c r="E205" s="186"/>
      <c r="F205" s="186">
        <f t="shared" si="9"/>
        <v>0</v>
      </c>
      <c r="G205" t="str">
        <f>IF(IFERROR(IF(Str_TypeDonneesCpt3=Cpt_Index,Tab_Compteur_3[[#This Row],[Index]]-E204,Tab_Compteur_3[[#This Row],[Quantité]])/Tab_Compteur_3[[#This Row],[Delta Jour]],"")&lt;0,"",IFERROR(IF(Str_TypeDonneesCpt3=Cpt_Index,Tab_Compteur_3[[#This Row],[Index]]-E204,Tab_Compteur_3[[#This Row],[Quantité]])/Tab_Compteur_3[[#This Row],[Delta Jour]],""))</f>
        <v/>
      </c>
      <c r="H205" s="186" t="str">
        <f>IFERROR(Tab_Compteur_3[[#This Row],[Montant]]/Tab_Compteur_3[[#This Row],[Delta Jour]],"")</f>
        <v/>
      </c>
      <c r="I205" s="212" t="str">
        <f t="shared" si="10"/>
        <v/>
      </c>
      <c r="J205" s="209"/>
      <c r="K205" s="38"/>
      <c r="L205" s="38"/>
      <c r="M205" s="38"/>
    </row>
    <row r="206" spans="1:13">
      <c r="A206" s="55">
        <f t="shared" si="11"/>
        <v>1</v>
      </c>
      <c r="B206" s="231"/>
      <c r="C206" s="200"/>
      <c r="D206" s="201"/>
      <c r="E206" s="186"/>
      <c r="F206" s="186">
        <f t="shared" si="9"/>
        <v>0</v>
      </c>
      <c r="G206" t="str">
        <f>IF(IFERROR(IF(Str_TypeDonneesCpt3=Cpt_Index,Tab_Compteur_3[[#This Row],[Index]]-E205,Tab_Compteur_3[[#This Row],[Quantité]])/Tab_Compteur_3[[#This Row],[Delta Jour]],"")&lt;0,"",IFERROR(IF(Str_TypeDonneesCpt3=Cpt_Index,Tab_Compteur_3[[#This Row],[Index]]-E205,Tab_Compteur_3[[#This Row],[Quantité]])/Tab_Compteur_3[[#This Row],[Delta Jour]],""))</f>
        <v/>
      </c>
      <c r="H206" s="186" t="str">
        <f>IFERROR(Tab_Compteur_3[[#This Row],[Montant]]/Tab_Compteur_3[[#This Row],[Delta Jour]],"")</f>
        <v/>
      </c>
      <c r="I206" s="212" t="str">
        <f t="shared" si="10"/>
        <v/>
      </c>
      <c r="J206" s="209"/>
      <c r="K206" s="38"/>
      <c r="L206" s="38"/>
      <c r="M206" s="38"/>
    </row>
    <row r="207" spans="1:13">
      <c r="A207" s="55">
        <f t="shared" si="11"/>
        <v>1</v>
      </c>
      <c r="B207" s="231"/>
      <c r="C207" s="200"/>
      <c r="D207" s="201"/>
      <c r="E207" s="186"/>
      <c r="F207" s="186">
        <f t="shared" si="9"/>
        <v>0</v>
      </c>
      <c r="G207" t="str">
        <f>IF(IFERROR(IF(Str_TypeDonneesCpt3=Cpt_Index,Tab_Compteur_3[[#This Row],[Index]]-E206,Tab_Compteur_3[[#This Row],[Quantité]])/Tab_Compteur_3[[#This Row],[Delta Jour]],"")&lt;0,"",IFERROR(IF(Str_TypeDonneesCpt3=Cpt_Index,Tab_Compteur_3[[#This Row],[Index]]-E206,Tab_Compteur_3[[#This Row],[Quantité]])/Tab_Compteur_3[[#This Row],[Delta Jour]],""))</f>
        <v/>
      </c>
      <c r="H207" s="186" t="str">
        <f>IFERROR(Tab_Compteur_3[[#This Row],[Montant]]/Tab_Compteur_3[[#This Row],[Delta Jour]],"")</f>
        <v/>
      </c>
      <c r="I207" s="212" t="str">
        <f t="shared" si="10"/>
        <v/>
      </c>
      <c r="J207" s="209"/>
      <c r="K207" s="38"/>
      <c r="L207" s="38"/>
      <c r="M207" s="38"/>
    </row>
    <row r="208" spans="1:13">
      <c r="A208" s="55">
        <f t="shared" si="11"/>
        <v>1</v>
      </c>
      <c r="B208" s="231"/>
      <c r="C208" s="200"/>
      <c r="D208" s="201"/>
      <c r="E208" s="186"/>
      <c r="F208" s="186">
        <f t="shared" si="9"/>
        <v>0</v>
      </c>
      <c r="G208" t="str">
        <f>IF(IFERROR(IF(Str_TypeDonneesCpt3=Cpt_Index,Tab_Compteur_3[[#This Row],[Index]]-E207,Tab_Compteur_3[[#This Row],[Quantité]])/Tab_Compteur_3[[#This Row],[Delta Jour]],"")&lt;0,"",IFERROR(IF(Str_TypeDonneesCpt3=Cpt_Index,Tab_Compteur_3[[#This Row],[Index]]-E207,Tab_Compteur_3[[#This Row],[Quantité]])/Tab_Compteur_3[[#This Row],[Delta Jour]],""))</f>
        <v/>
      </c>
      <c r="H208" s="186" t="str">
        <f>IFERROR(Tab_Compteur_3[[#This Row],[Montant]]/Tab_Compteur_3[[#This Row],[Delta Jour]],"")</f>
        <v/>
      </c>
      <c r="I208" s="212" t="str">
        <f t="shared" si="10"/>
        <v/>
      </c>
      <c r="J208" s="209"/>
      <c r="K208" s="38"/>
      <c r="L208" s="38"/>
      <c r="M208" s="38"/>
    </row>
    <row r="209" spans="1:13">
      <c r="A209" s="55">
        <f t="shared" si="11"/>
        <v>1</v>
      </c>
      <c r="B209" s="231"/>
      <c r="C209" s="200"/>
      <c r="D209" s="201"/>
      <c r="E209" s="186"/>
      <c r="F209" s="186">
        <f t="shared" si="9"/>
        <v>0</v>
      </c>
      <c r="G209" t="str">
        <f>IF(IFERROR(IF(Str_TypeDonneesCpt3=Cpt_Index,Tab_Compteur_3[[#This Row],[Index]]-E208,Tab_Compteur_3[[#This Row],[Quantité]])/Tab_Compteur_3[[#This Row],[Delta Jour]],"")&lt;0,"",IFERROR(IF(Str_TypeDonneesCpt3=Cpt_Index,Tab_Compteur_3[[#This Row],[Index]]-E208,Tab_Compteur_3[[#This Row],[Quantité]])/Tab_Compteur_3[[#This Row],[Delta Jour]],""))</f>
        <v/>
      </c>
      <c r="H209" s="186" t="str">
        <f>IFERROR(Tab_Compteur_3[[#This Row],[Montant]]/Tab_Compteur_3[[#This Row],[Delta Jour]],"")</f>
        <v/>
      </c>
      <c r="I209" s="212" t="str">
        <f t="shared" si="10"/>
        <v/>
      </c>
      <c r="J209" s="209"/>
      <c r="K209" s="38"/>
      <c r="L209" s="38"/>
      <c r="M209" s="38"/>
    </row>
    <row r="210" spans="1:13">
      <c r="A210" s="55">
        <f t="shared" si="11"/>
        <v>1</v>
      </c>
      <c r="B210" s="231"/>
      <c r="C210" s="200"/>
      <c r="D210" s="201"/>
      <c r="E210" s="186"/>
      <c r="F210" s="186">
        <f t="shared" si="9"/>
        <v>0</v>
      </c>
      <c r="G210" t="str">
        <f>IF(IFERROR(IF(Str_TypeDonneesCpt3=Cpt_Index,Tab_Compteur_3[[#This Row],[Index]]-E209,Tab_Compteur_3[[#This Row],[Quantité]])/Tab_Compteur_3[[#This Row],[Delta Jour]],"")&lt;0,"",IFERROR(IF(Str_TypeDonneesCpt3=Cpt_Index,Tab_Compteur_3[[#This Row],[Index]]-E209,Tab_Compteur_3[[#This Row],[Quantité]])/Tab_Compteur_3[[#This Row],[Delta Jour]],""))</f>
        <v/>
      </c>
      <c r="H210" s="186" t="str">
        <f>IFERROR(Tab_Compteur_3[[#This Row],[Montant]]/Tab_Compteur_3[[#This Row],[Delta Jour]],"")</f>
        <v/>
      </c>
      <c r="I210" s="212" t="str">
        <f t="shared" si="10"/>
        <v/>
      </c>
      <c r="J210" s="209"/>
      <c r="K210" s="38"/>
      <c r="L210" s="38"/>
      <c r="M210" s="38"/>
    </row>
    <row r="211" spans="1:13">
      <c r="A211" s="55">
        <f t="shared" si="11"/>
        <v>1</v>
      </c>
      <c r="B211" s="231"/>
      <c r="C211" s="200"/>
      <c r="D211" s="201"/>
      <c r="E211" s="186"/>
      <c r="F211" s="186">
        <f t="shared" si="9"/>
        <v>0</v>
      </c>
      <c r="G211" t="str">
        <f>IF(IFERROR(IF(Str_TypeDonneesCpt3=Cpt_Index,Tab_Compteur_3[[#This Row],[Index]]-E210,Tab_Compteur_3[[#This Row],[Quantité]])/Tab_Compteur_3[[#This Row],[Delta Jour]],"")&lt;0,"",IFERROR(IF(Str_TypeDonneesCpt3=Cpt_Index,Tab_Compteur_3[[#This Row],[Index]]-E210,Tab_Compteur_3[[#This Row],[Quantité]])/Tab_Compteur_3[[#This Row],[Delta Jour]],""))</f>
        <v/>
      </c>
      <c r="H211" s="186" t="str">
        <f>IFERROR(Tab_Compteur_3[[#This Row],[Montant]]/Tab_Compteur_3[[#This Row],[Delta Jour]],"")</f>
        <v/>
      </c>
      <c r="I211" s="212" t="str">
        <f t="shared" si="10"/>
        <v/>
      </c>
      <c r="J211" s="209"/>
      <c r="K211" s="38"/>
      <c r="L211" s="38"/>
      <c r="M211" s="38"/>
    </row>
    <row r="212" spans="1:13">
      <c r="A212" s="55">
        <f t="shared" si="11"/>
        <v>1</v>
      </c>
      <c r="B212" s="231"/>
      <c r="C212" s="200"/>
      <c r="D212" s="201"/>
      <c r="E212" s="186"/>
      <c r="F212" s="186">
        <f t="shared" si="9"/>
        <v>0</v>
      </c>
      <c r="G212" t="str">
        <f>IF(IFERROR(IF(Str_TypeDonneesCpt3=Cpt_Index,Tab_Compteur_3[[#This Row],[Index]]-E211,Tab_Compteur_3[[#This Row],[Quantité]])/Tab_Compteur_3[[#This Row],[Delta Jour]],"")&lt;0,"",IFERROR(IF(Str_TypeDonneesCpt3=Cpt_Index,Tab_Compteur_3[[#This Row],[Index]]-E211,Tab_Compteur_3[[#This Row],[Quantité]])/Tab_Compteur_3[[#This Row],[Delta Jour]],""))</f>
        <v/>
      </c>
      <c r="H212" s="186" t="str">
        <f>IFERROR(Tab_Compteur_3[[#This Row],[Montant]]/Tab_Compteur_3[[#This Row],[Delta Jour]],"")</f>
        <v/>
      </c>
      <c r="I212" s="212" t="str">
        <f t="shared" si="10"/>
        <v/>
      </c>
      <c r="J212" s="209"/>
      <c r="K212" s="38"/>
      <c r="L212" s="38"/>
      <c r="M212" s="38"/>
    </row>
    <row r="213" spans="1:13">
      <c r="A213" s="55">
        <f t="shared" si="11"/>
        <v>1</v>
      </c>
      <c r="B213" s="231"/>
      <c r="C213" s="200"/>
      <c r="D213" s="201"/>
      <c r="E213" s="186"/>
      <c r="F213" s="186">
        <f t="shared" si="9"/>
        <v>0</v>
      </c>
      <c r="G213" t="str">
        <f>IF(IFERROR(IF(Str_TypeDonneesCpt3=Cpt_Index,Tab_Compteur_3[[#This Row],[Index]]-E212,Tab_Compteur_3[[#This Row],[Quantité]])/Tab_Compteur_3[[#This Row],[Delta Jour]],"")&lt;0,"",IFERROR(IF(Str_TypeDonneesCpt3=Cpt_Index,Tab_Compteur_3[[#This Row],[Index]]-E212,Tab_Compteur_3[[#This Row],[Quantité]])/Tab_Compteur_3[[#This Row],[Delta Jour]],""))</f>
        <v/>
      </c>
      <c r="H213" s="186" t="str">
        <f>IFERROR(Tab_Compteur_3[[#This Row],[Montant]]/Tab_Compteur_3[[#This Row],[Delta Jour]],"")</f>
        <v/>
      </c>
      <c r="I213" s="212" t="str">
        <f t="shared" si="10"/>
        <v/>
      </c>
      <c r="J213" s="209"/>
      <c r="K213" s="38"/>
      <c r="L213" s="38"/>
      <c r="M213" s="38"/>
    </row>
    <row r="214" spans="1:13">
      <c r="A214" s="55">
        <f t="shared" si="11"/>
        <v>1</v>
      </c>
      <c r="B214" s="231"/>
      <c r="C214" s="200"/>
      <c r="D214" s="201"/>
      <c r="E214" s="186"/>
      <c r="F214" s="186">
        <f t="shared" si="9"/>
        <v>0</v>
      </c>
      <c r="G214" t="str">
        <f>IF(IFERROR(IF(Str_TypeDonneesCpt3=Cpt_Index,Tab_Compteur_3[[#This Row],[Index]]-E213,Tab_Compteur_3[[#This Row],[Quantité]])/Tab_Compteur_3[[#This Row],[Delta Jour]],"")&lt;0,"",IFERROR(IF(Str_TypeDonneesCpt3=Cpt_Index,Tab_Compteur_3[[#This Row],[Index]]-E213,Tab_Compteur_3[[#This Row],[Quantité]])/Tab_Compteur_3[[#This Row],[Delta Jour]],""))</f>
        <v/>
      </c>
      <c r="H214" s="186" t="str">
        <f>IFERROR(Tab_Compteur_3[[#This Row],[Montant]]/Tab_Compteur_3[[#This Row],[Delta Jour]],"")</f>
        <v/>
      </c>
      <c r="I214" s="212" t="str">
        <f t="shared" si="10"/>
        <v/>
      </c>
      <c r="J214" s="209"/>
      <c r="K214" s="38"/>
      <c r="L214" s="38"/>
      <c r="M214" s="38"/>
    </row>
    <row r="215" spans="1:13">
      <c r="A215" s="55">
        <f t="shared" si="11"/>
        <v>1</v>
      </c>
      <c r="B215" s="231"/>
      <c r="C215" s="200"/>
      <c r="D215" s="201"/>
      <c r="E215" s="186"/>
      <c r="F215" s="186">
        <f t="shared" si="9"/>
        <v>0</v>
      </c>
      <c r="G215" t="str">
        <f>IF(IFERROR(IF(Str_TypeDonneesCpt3=Cpt_Index,Tab_Compteur_3[[#This Row],[Index]]-E214,Tab_Compteur_3[[#This Row],[Quantité]])/Tab_Compteur_3[[#This Row],[Delta Jour]],"")&lt;0,"",IFERROR(IF(Str_TypeDonneesCpt3=Cpt_Index,Tab_Compteur_3[[#This Row],[Index]]-E214,Tab_Compteur_3[[#This Row],[Quantité]])/Tab_Compteur_3[[#This Row],[Delta Jour]],""))</f>
        <v/>
      </c>
      <c r="H215" s="186" t="str">
        <f>IFERROR(Tab_Compteur_3[[#This Row],[Montant]]/Tab_Compteur_3[[#This Row],[Delta Jour]],"")</f>
        <v/>
      </c>
      <c r="I215" s="212" t="str">
        <f t="shared" si="10"/>
        <v/>
      </c>
      <c r="J215" s="209"/>
      <c r="K215" s="38"/>
      <c r="L215" s="38"/>
      <c r="M215" s="38"/>
    </row>
    <row r="216" spans="1:13">
      <c r="A216" s="55">
        <f t="shared" si="11"/>
        <v>1</v>
      </c>
      <c r="B216" s="231"/>
      <c r="C216" s="200"/>
      <c r="D216" s="201"/>
      <c r="E216" s="186"/>
      <c r="F216" s="186">
        <f t="shared" si="9"/>
        <v>0</v>
      </c>
      <c r="G216" t="str">
        <f>IF(IFERROR(IF(Str_TypeDonneesCpt3=Cpt_Index,Tab_Compteur_3[[#This Row],[Index]]-E215,Tab_Compteur_3[[#This Row],[Quantité]])/Tab_Compteur_3[[#This Row],[Delta Jour]],"")&lt;0,"",IFERROR(IF(Str_TypeDonneesCpt3=Cpt_Index,Tab_Compteur_3[[#This Row],[Index]]-E215,Tab_Compteur_3[[#This Row],[Quantité]])/Tab_Compteur_3[[#This Row],[Delta Jour]],""))</f>
        <v/>
      </c>
      <c r="H216" s="186" t="str">
        <f>IFERROR(Tab_Compteur_3[[#This Row],[Montant]]/Tab_Compteur_3[[#This Row],[Delta Jour]],"")</f>
        <v/>
      </c>
      <c r="I216" s="212" t="str">
        <f t="shared" si="10"/>
        <v/>
      </c>
      <c r="J216" s="209"/>
      <c r="K216" s="38"/>
      <c r="L216" s="38"/>
      <c r="M216" s="38"/>
    </row>
    <row r="217" spans="1:13">
      <c r="A217" s="55">
        <f t="shared" si="11"/>
        <v>1</v>
      </c>
      <c r="B217" s="231"/>
      <c r="C217" s="200"/>
      <c r="D217" s="201"/>
      <c r="E217" s="186"/>
      <c r="F217" s="186">
        <f t="shared" si="9"/>
        <v>0</v>
      </c>
      <c r="G217" t="str">
        <f>IF(IFERROR(IF(Str_TypeDonneesCpt3=Cpt_Index,Tab_Compteur_3[[#This Row],[Index]]-E216,Tab_Compteur_3[[#This Row],[Quantité]])/Tab_Compteur_3[[#This Row],[Delta Jour]],"")&lt;0,"",IFERROR(IF(Str_TypeDonneesCpt3=Cpt_Index,Tab_Compteur_3[[#This Row],[Index]]-E216,Tab_Compteur_3[[#This Row],[Quantité]])/Tab_Compteur_3[[#This Row],[Delta Jour]],""))</f>
        <v/>
      </c>
      <c r="H217" s="186" t="str">
        <f>IFERROR(Tab_Compteur_3[[#This Row],[Montant]]/Tab_Compteur_3[[#This Row],[Delta Jour]],"")</f>
        <v/>
      </c>
      <c r="I217" s="212" t="str">
        <f t="shared" si="10"/>
        <v/>
      </c>
      <c r="J217" s="209"/>
      <c r="K217" s="38"/>
      <c r="L217" s="38"/>
      <c r="M217" s="38"/>
    </row>
    <row r="218" spans="1:13">
      <c r="A218" s="55">
        <f t="shared" si="11"/>
        <v>1</v>
      </c>
      <c r="B218" s="231"/>
      <c r="C218" s="200"/>
      <c r="D218" s="201"/>
      <c r="E218" s="186"/>
      <c r="F218" s="186">
        <f t="shared" si="9"/>
        <v>0</v>
      </c>
      <c r="G218" t="str">
        <f>IF(IFERROR(IF(Str_TypeDonneesCpt3=Cpt_Index,Tab_Compteur_3[[#This Row],[Index]]-E217,Tab_Compteur_3[[#This Row],[Quantité]])/Tab_Compteur_3[[#This Row],[Delta Jour]],"")&lt;0,"",IFERROR(IF(Str_TypeDonneesCpt3=Cpt_Index,Tab_Compteur_3[[#This Row],[Index]]-E217,Tab_Compteur_3[[#This Row],[Quantité]])/Tab_Compteur_3[[#This Row],[Delta Jour]],""))</f>
        <v/>
      </c>
      <c r="H218" s="186" t="str">
        <f>IFERROR(Tab_Compteur_3[[#This Row],[Montant]]/Tab_Compteur_3[[#This Row],[Delta Jour]],"")</f>
        <v/>
      </c>
      <c r="I218" s="212" t="str">
        <f t="shared" si="10"/>
        <v/>
      </c>
      <c r="J218" s="209"/>
      <c r="K218" s="38"/>
      <c r="L218" s="38"/>
      <c r="M218" s="38"/>
    </row>
    <row r="219" spans="1:13">
      <c r="A219" s="55">
        <f t="shared" si="11"/>
        <v>1</v>
      </c>
      <c r="B219" s="231"/>
      <c r="C219" s="200"/>
      <c r="D219" s="201"/>
      <c r="E219" s="186"/>
      <c r="F219" s="186">
        <f t="shared" si="9"/>
        <v>0</v>
      </c>
      <c r="G219" t="str">
        <f>IF(IFERROR(IF(Str_TypeDonneesCpt3=Cpt_Index,Tab_Compteur_3[[#This Row],[Index]]-E218,Tab_Compteur_3[[#This Row],[Quantité]])/Tab_Compteur_3[[#This Row],[Delta Jour]],"")&lt;0,"",IFERROR(IF(Str_TypeDonneesCpt3=Cpt_Index,Tab_Compteur_3[[#This Row],[Index]]-E218,Tab_Compteur_3[[#This Row],[Quantité]])/Tab_Compteur_3[[#This Row],[Delta Jour]],""))</f>
        <v/>
      </c>
      <c r="H219" s="186" t="str">
        <f>IFERROR(Tab_Compteur_3[[#This Row],[Montant]]/Tab_Compteur_3[[#This Row],[Delta Jour]],"")</f>
        <v/>
      </c>
      <c r="I219" s="212" t="str">
        <f t="shared" si="10"/>
        <v/>
      </c>
      <c r="J219" s="209"/>
      <c r="K219" s="38"/>
      <c r="L219" s="38"/>
      <c r="M219" s="38"/>
    </row>
    <row r="220" spans="1:13">
      <c r="A220" s="55">
        <f t="shared" si="11"/>
        <v>1</v>
      </c>
      <c r="B220" s="231"/>
      <c r="C220" s="200"/>
      <c r="D220" s="201"/>
      <c r="E220" s="186"/>
      <c r="F220" s="186">
        <f t="shared" si="9"/>
        <v>0</v>
      </c>
      <c r="G220" t="str">
        <f>IF(IFERROR(IF(Str_TypeDonneesCpt3=Cpt_Index,Tab_Compteur_3[[#This Row],[Index]]-E219,Tab_Compteur_3[[#This Row],[Quantité]])/Tab_Compteur_3[[#This Row],[Delta Jour]],"")&lt;0,"",IFERROR(IF(Str_TypeDonneesCpt3=Cpt_Index,Tab_Compteur_3[[#This Row],[Index]]-E219,Tab_Compteur_3[[#This Row],[Quantité]])/Tab_Compteur_3[[#This Row],[Delta Jour]],""))</f>
        <v/>
      </c>
      <c r="H220" s="186" t="str">
        <f>IFERROR(Tab_Compteur_3[[#This Row],[Montant]]/Tab_Compteur_3[[#This Row],[Delta Jour]],"")</f>
        <v/>
      </c>
      <c r="I220" s="212" t="str">
        <f t="shared" si="10"/>
        <v/>
      </c>
      <c r="J220" s="209"/>
      <c r="K220" s="38"/>
      <c r="L220" s="38"/>
      <c r="M220" s="38"/>
    </row>
    <row r="221" spans="1:13">
      <c r="A221" s="55">
        <f t="shared" si="11"/>
        <v>1</v>
      </c>
      <c r="B221" s="231"/>
      <c r="C221" s="200"/>
      <c r="D221" s="201"/>
      <c r="E221" s="186"/>
      <c r="F221" s="186">
        <f t="shared" si="9"/>
        <v>0</v>
      </c>
      <c r="G221" t="str">
        <f>IF(IFERROR(IF(Str_TypeDonneesCpt3=Cpt_Index,Tab_Compteur_3[[#This Row],[Index]]-E220,Tab_Compteur_3[[#This Row],[Quantité]])/Tab_Compteur_3[[#This Row],[Delta Jour]],"")&lt;0,"",IFERROR(IF(Str_TypeDonneesCpt3=Cpt_Index,Tab_Compteur_3[[#This Row],[Index]]-E220,Tab_Compteur_3[[#This Row],[Quantité]])/Tab_Compteur_3[[#This Row],[Delta Jour]],""))</f>
        <v/>
      </c>
      <c r="H221" s="186" t="str">
        <f>IFERROR(Tab_Compteur_3[[#This Row],[Montant]]/Tab_Compteur_3[[#This Row],[Delta Jour]],"")</f>
        <v/>
      </c>
      <c r="I221" s="212" t="str">
        <f t="shared" si="10"/>
        <v/>
      </c>
      <c r="J221" s="209"/>
      <c r="K221" s="38"/>
      <c r="L221" s="38"/>
      <c r="M221" s="38"/>
    </row>
    <row r="222" spans="1:13">
      <c r="A222" s="55">
        <f t="shared" si="11"/>
        <v>1</v>
      </c>
      <c r="B222" s="231"/>
      <c r="C222" s="200"/>
      <c r="D222" s="201"/>
      <c r="E222" s="186"/>
      <c r="F222" s="186">
        <f t="shared" si="9"/>
        <v>0</v>
      </c>
      <c r="G222" t="str">
        <f>IF(IFERROR(IF(Str_TypeDonneesCpt3=Cpt_Index,Tab_Compteur_3[[#This Row],[Index]]-E221,Tab_Compteur_3[[#This Row],[Quantité]])/Tab_Compteur_3[[#This Row],[Delta Jour]],"")&lt;0,"",IFERROR(IF(Str_TypeDonneesCpt3=Cpt_Index,Tab_Compteur_3[[#This Row],[Index]]-E221,Tab_Compteur_3[[#This Row],[Quantité]])/Tab_Compteur_3[[#This Row],[Delta Jour]],""))</f>
        <v/>
      </c>
      <c r="H222" s="186" t="str">
        <f>IFERROR(Tab_Compteur_3[[#This Row],[Montant]]/Tab_Compteur_3[[#This Row],[Delta Jour]],"")</f>
        <v/>
      </c>
      <c r="I222" s="212" t="str">
        <f t="shared" si="10"/>
        <v/>
      </c>
      <c r="J222" s="209"/>
      <c r="K222" s="38"/>
      <c r="L222" s="38"/>
      <c r="M222" s="38"/>
    </row>
    <row r="223" spans="1:13">
      <c r="A223" s="55">
        <f t="shared" si="11"/>
        <v>1</v>
      </c>
      <c r="B223" s="231"/>
      <c r="C223" s="200"/>
      <c r="D223" s="201"/>
      <c r="E223" s="186"/>
      <c r="F223" s="186">
        <f t="shared" si="9"/>
        <v>0</v>
      </c>
      <c r="G223" t="str">
        <f>IF(IFERROR(IF(Str_TypeDonneesCpt3=Cpt_Index,Tab_Compteur_3[[#This Row],[Index]]-E222,Tab_Compteur_3[[#This Row],[Quantité]])/Tab_Compteur_3[[#This Row],[Delta Jour]],"")&lt;0,"",IFERROR(IF(Str_TypeDonneesCpt3=Cpt_Index,Tab_Compteur_3[[#This Row],[Index]]-E222,Tab_Compteur_3[[#This Row],[Quantité]])/Tab_Compteur_3[[#This Row],[Delta Jour]],""))</f>
        <v/>
      </c>
      <c r="H223" s="186" t="str">
        <f>IFERROR(Tab_Compteur_3[[#This Row],[Montant]]/Tab_Compteur_3[[#This Row],[Delta Jour]],"")</f>
        <v/>
      </c>
      <c r="I223" s="212" t="str">
        <f t="shared" si="10"/>
        <v/>
      </c>
      <c r="J223" s="209"/>
      <c r="K223" s="38"/>
      <c r="L223" s="38"/>
      <c r="M223" s="38"/>
    </row>
    <row r="224" spans="1:13">
      <c r="A224" s="55">
        <f t="shared" si="11"/>
        <v>1</v>
      </c>
      <c r="B224" s="231"/>
      <c r="C224" s="200"/>
      <c r="D224" s="201"/>
      <c r="E224" s="186"/>
      <c r="F224" s="186">
        <f t="shared" si="9"/>
        <v>0</v>
      </c>
      <c r="G224" t="str">
        <f>IF(IFERROR(IF(Str_TypeDonneesCpt3=Cpt_Index,Tab_Compteur_3[[#This Row],[Index]]-E223,Tab_Compteur_3[[#This Row],[Quantité]])/Tab_Compteur_3[[#This Row],[Delta Jour]],"")&lt;0,"",IFERROR(IF(Str_TypeDonneesCpt3=Cpt_Index,Tab_Compteur_3[[#This Row],[Index]]-E223,Tab_Compteur_3[[#This Row],[Quantité]])/Tab_Compteur_3[[#This Row],[Delta Jour]],""))</f>
        <v/>
      </c>
      <c r="H224" s="186" t="str">
        <f>IFERROR(Tab_Compteur_3[[#This Row],[Montant]]/Tab_Compteur_3[[#This Row],[Delta Jour]],"")</f>
        <v/>
      </c>
      <c r="I224" s="212" t="str">
        <f t="shared" si="10"/>
        <v/>
      </c>
      <c r="J224" s="209"/>
      <c r="K224" s="38"/>
      <c r="L224" s="38"/>
      <c r="M224" s="38"/>
    </row>
    <row r="225" spans="1:13">
      <c r="A225" s="55">
        <f t="shared" si="11"/>
        <v>1</v>
      </c>
      <c r="B225" s="231"/>
      <c r="C225" s="200"/>
      <c r="D225" s="201"/>
      <c r="E225" s="186"/>
      <c r="F225" s="186">
        <f t="shared" si="9"/>
        <v>0</v>
      </c>
      <c r="G225" t="str">
        <f>IF(IFERROR(IF(Str_TypeDonneesCpt3=Cpt_Index,Tab_Compteur_3[[#This Row],[Index]]-E224,Tab_Compteur_3[[#This Row],[Quantité]])/Tab_Compteur_3[[#This Row],[Delta Jour]],"")&lt;0,"",IFERROR(IF(Str_TypeDonneesCpt3=Cpt_Index,Tab_Compteur_3[[#This Row],[Index]]-E224,Tab_Compteur_3[[#This Row],[Quantité]])/Tab_Compteur_3[[#This Row],[Delta Jour]],""))</f>
        <v/>
      </c>
      <c r="H225" s="186" t="str">
        <f>IFERROR(Tab_Compteur_3[[#This Row],[Montant]]/Tab_Compteur_3[[#This Row],[Delta Jour]],"")</f>
        <v/>
      </c>
      <c r="I225" s="212" t="str">
        <f t="shared" si="10"/>
        <v/>
      </c>
      <c r="J225" s="209"/>
      <c r="K225" s="38"/>
      <c r="L225" s="38"/>
      <c r="M225" s="38"/>
    </row>
    <row r="226" spans="1:13">
      <c r="A226" s="55">
        <f t="shared" si="11"/>
        <v>1</v>
      </c>
      <c r="B226" s="231"/>
      <c r="C226" s="200"/>
      <c r="D226" s="201"/>
      <c r="E226" s="186"/>
      <c r="F226" s="186">
        <f t="shared" si="9"/>
        <v>0</v>
      </c>
      <c r="G226" t="str">
        <f>IF(IFERROR(IF(Str_TypeDonneesCpt3=Cpt_Index,Tab_Compteur_3[[#This Row],[Index]]-E225,Tab_Compteur_3[[#This Row],[Quantité]])/Tab_Compteur_3[[#This Row],[Delta Jour]],"")&lt;0,"",IFERROR(IF(Str_TypeDonneesCpt3=Cpt_Index,Tab_Compteur_3[[#This Row],[Index]]-E225,Tab_Compteur_3[[#This Row],[Quantité]])/Tab_Compteur_3[[#This Row],[Delta Jour]],""))</f>
        <v/>
      </c>
      <c r="H226" s="186" t="str">
        <f>IFERROR(Tab_Compteur_3[[#This Row],[Montant]]/Tab_Compteur_3[[#This Row],[Delta Jour]],"")</f>
        <v/>
      </c>
      <c r="I226" s="212" t="str">
        <f t="shared" si="10"/>
        <v/>
      </c>
      <c r="J226" s="209"/>
      <c r="K226" s="38"/>
      <c r="L226" s="38"/>
      <c r="M226" s="38"/>
    </row>
    <row r="227" spans="1:13">
      <c r="A227" s="55">
        <f t="shared" si="11"/>
        <v>1</v>
      </c>
      <c r="B227" s="231"/>
      <c r="C227" s="200"/>
      <c r="D227" s="201"/>
      <c r="E227" s="186"/>
      <c r="F227" s="186">
        <f t="shared" si="9"/>
        <v>0</v>
      </c>
      <c r="G227" t="str">
        <f>IF(IFERROR(IF(Str_TypeDonneesCpt3=Cpt_Index,Tab_Compteur_3[[#This Row],[Index]]-E226,Tab_Compteur_3[[#This Row],[Quantité]])/Tab_Compteur_3[[#This Row],[Delta Jour]],"")&lt;0,"",IFERROR(IF(Str_TypeDonneesCpt3=Cpt_Index,Tab_Compteur_3[[#This Row],[Index]]-E226,Tab_Compteur_3[[#This Row],[Quantité]])/Tab_Compteur_3[[#This Row],[Delta Jour]],""))</f>
        <v/>
      </c>
      <c r="H227" s="186" t="str">
        <f>IFERROR(Tab_Compteur_3[[#This Row],[Montant]]/Tab_Compteur_3[[#This Row],[Delta Jour]],"")</f>
        <v/>
      </c>
      <c r="I227" s="212" t="str">
        <f t="shared" si="10"/>
        <v/>
      </c>
      <c r="J227" s="209"/>
      <c r="K227" s="38"/>
      <c r="L227" s="38"/>
      <c r="M227" s="38"/>
    </row>
    <row r="228" spans="1:13">
      <c r="A228" s="55">
        <f t="shared" si="11"/>
        <v>1</v>
      </c>
      <c r="B228" s="231"/>
      <c r="C228" s="200"/>
      <c r="D228" s="201"/>
      <c r="E228" s="186"/>
      <c r="F228" s="186">
        <f t="shared" si="9"/>
        <v>0</v>
      </c>
      <c r="G228" t="str">
        <f>IF(IFERROR(IF(Str_TypeDonneesCpt3=Cpt_Index,Tab_Compteur_3[[#This Row],[Index]]-E227,Tab_Compteur_3[[#This Row],[Quantité]])/Tab_Compteur_3[[#This Row],[Delta Jour]],"")&lt;0,"",IFERROR(IF(Str_TypeDonneesCpt3=Cpt_Index,Tab_Compteur_3[[#This Row],[Index]]-E227,Tab_Compteur_3[[#This Row],[Quantité]])/Tab_Compteur_3[[#This Row],[Delta Jour]],""))</f>
        <v/>
      </c>
      <c r="H228" s="186" t="str">
        <f>IFERROR(Tab_Compteur_3[[#This Row],[Montant]]/Tab_Compteur_3[[#This Row],[Delta Jour]],"")</f>
        <v/>
      </c>
      <c r="I228" s="212" t="str">
        <f t="shared" si="10"/>
        <v/>
      </c>
      <c r="J228" s="209"/>
      <c r="K228" s="38"/>
      <c r="L228" s="38"/>
      <c r="M228" s="38"/>
    </row>
    <row r="229" spans="1:13">
      <c r="A229" s="55">
        <f t="shared" si="11"/>
        <v>1</v>
      </c>
      <c r="B229" s="231"/>
      <c r="C229" s="200"/>
      <c r="D229" s="201"/>
      <c r="E229" s="186"/>
      <c r="F229" s="186">
        <f t="shared" si="9"/>
        <v>0</v>
      </c>
      <c r="G229" t="str">
        <f>IF(IFERROR(IF(Str_TypeDonneesCpt3=Cpt_Index,Tab_Compteur_3[[#This Row],[Index]]-E228,Tab_Compteur_3[[#This Row],[Quantité]])/Tab_Compteur_3[[#This Row],[Delta Jour]],"")&lt;0,"",IFERROR(IF(Str_TypeDonneesCpt3=Cpt_Index,Tab_Compteur_3[[#This Row],[Index]]-E228,Tab_Compteur_3[[#This Row],[Quantité]])/Tab_Compteur_3[[#This Row],[Delta Jour]],""))</f>
        <v/>
      </c>
      <c r="H229" s="186" t="str">
        <f>IFERROR(Tab_Compteur_3[[#This Row],[Montant]]/Tab_Compteur_3[[#This Row],[Delta Jour]],"")</f>
        <v/>
      </c>
      <c r="I229" s="212" t="str">
        <f t="shared" si="10"/>
        <v/>
      </c>
      <c r="J229" s="209"/>
      <c r="K229" s="38"/>
      <c r="L229" s="38"/>
      <c r="M229" s="38"/>
    </row>
    <row r="230" spans="1:13">
      <c r="A230" s="55">
        <f t="shared" si="11"/>
        <v>1</v>
      </c>
      <c r="B230" s="231"/>
      <c r="C230" s="200"/>
      <c r="D230" s="201"/>
      <c r="E230" s="186"/>
      <c r="F230" s="186">
        <f t="shared" si="9"/>
        <v>0</v>
      </c>
      <c r="G230" t="str">
        <f>IF(IFERROR(IF(Str_TypeDonneesCpt3=Cpt_Index,Tab_Compteur_3[[#This Row],[Index]]-E229,Tab_Compteur_3[[#This Row],[Quantité]])/Tab_Compteur_3[[#This Row],[Delta Jour]],"")&lt;0,"",IFERROR(IF(Str_TypeDonneesCpt3=Cpt_Index,Tab_Compteur_3[[#This Row],[Index]]-E229,Tab_Compteur_3[[#This Row],[Quantité]])/Tab_Compteur_3[[#This Row],[Delta Jour]],""))</f>
        <v/>
      </c>
      <c r="H230" s="186" t="str">
        <f>IFERROR(Tab_Compteur_3[[#This Row],[Montant]]/Tab_Compteur_3[[#This Row],[Delta Jour]],"")</f>
        <v/>
      </c>
      <c r="I230" s="212" t="str">
        <f t="shared" si="10"/>
        <v/>
      </c>
      <c r="J230" s="209"/>
      <c r="K230" s="38"/>
      <c r="L230" s="38"/>
      <c r="M230" s="38"/>
    </row>
    <row r="231" spans="1:13">
      <c r="A231" s="55">
        <f t="shared" si="11"/>
        <v>1</v>
      </c>
      <c r="B231" s="231"/>
      <c r="C231" s="200"/>
      <c r="D231" s="201"/>
      <c r="E231" s="186"/>
      <c r="F231" s="186">
        <f t="shared" si="9"/>
        <v>0</v>
      </c>
      <c r="G231" t="str">
        <f>IF(IFERROR(IF(Str_TypeDonneesCpt3=Cpt_Index,Tab_Compteur_3[[#This Row],[Index]]-E230,Tab_Compteur_3[[#This Row],[Quantité]])/Tab_Compteur_3[[#This Row],[Delta Jour]],"")&lt;0,"",IFERROR(IF(Str_TypeDonneesCpt3=Cpt_Index,Tab_Compteur_3[[#This Row],[Index]]-E230,Tab_Compteur_3[[#This Row],[Quantité]])/Tab_Compteur_3[[#This Row],[Delta Jour]],""))</f>
        <v/>
      </c>
      <c r="H231" s="186" t="str">
        <f>IFERROR(Tab_Compteur_3[[#This Row],[Montant]]/Tab_Compteur_3[[#This Row],[Delta Jour]],"")</f>
        <v/>
      </c>
      <c r="I231" s="212" t="str">
        <f t="shared" si="10"/>
        <v/>
      </c>
      <c r="J231" s="209"/>
      <c r="K231" s="38"/>
      <c r="L231" s="38"/>
      <c r="M231" s="38"/>
    </row>
    <row r="232" spans="1:13">
      <c r="A232" s="55">
        <f t="shared" si="11"/>
        <v>1</v>
      </c>
      <c r="B232" s="231"/>
      <c r="C232" s="200"/>
      <c r="D232" s="201"/>
      <c r="E232" s="186"/>
      <c r="F232" s="186">
        <f t="shared" si="9"/>
        <v>0</v>
      </c>
      <c r="G232" t="str">
        <f>IF(IFERROR(IF(Str_TypeDonneesCpt3=Cpt_Index,Tab_Compteur_3[[#This Row],[Index]]-E231,Tab_Compteur_3[[#This Row],[Quantité]])/Tab_Compteur_3[[#This Row],[Delta Jour]],"")&lt;0,"",IFERROR(IF(Str_TypeDonneesCpt3=Cpt_Index,Tab_Compteur_3[[#This Row],[Index]]-E231,Tab_Compteur_3[[#This Row],[Quantité]])/Tab_Compteur_3[[#This Row],[Delta Jour]],""))</f>
        <v/>
      </c>
      <c r="H232" s="186" t="str">
        <f>IFERROR(Tab_Compteur_3[[#This Row],[Montant]]/Tab_Compteur_3[[#This Row],[Delta Jour]],"")</f>
        <v/>
      </c>
      <c r="I232" s="212" t="str">
        <f t="shared" si="10"/>
        <v/>
      </c>
      <c r="J232" s="209"/>
      <c r="K232" s="38"/>
      <c r="L232" s="38"/>
      <c r="M232" s="38"/>
    </row>
    <row r="233" spans="1:13">
      <c r="A233" s="55">
        <f t="shared" si="11"/>
        <v>1</v>
      </c>
      <c r="B233" s="231"/>
      <c r="C233" s="200"/>
      <c r="D233" s="201"/>
      <c r="E233" s="186"/>
      <c r="F233" s="186">
        <f t="shared" si="9"/>
        <v>0</v>
      </c>
      <c r="G233" t="str">
        <f>IF(IFERROR(IF(Str_TypeDonneesCpt3=Cpt_Index,Tab_Compteur_3[[#This Row],[Index]]-E232,Tab_Compteur_3[[#This Row],[Quantité]])/Tab_Compteur_3[[#This Row],[Delta Jour]],"")&lt;0,"",IFERROR(IF(Str_TypeDonneesCpt3=Cpt_Index,Tab_Compteur_3[[#This Row],[Index]]-E232,Tab_Compteur_3[[#This Row],[Quantité]])/Tab_Compteur_3[[#This Row],[Delta Jour]],""))</f>
        <v/>
      </c>
      <c r="H233" s="186" t="str">
        <f>IFERROR(Tab_Compteur_3[[#This Row],[Montant]]/Tab_Compteur_3[[#This Row],[Delta Jour]],"")</f>
        <v/>
      </c>
      <c r="I233" s="212" t="str">
        <f t="shared" si="10"/>
        <v/>
      </c>
      <c r="J233" s="209"/>
      <c r="K233" s="38"/>
      <c r="L233" s="38"/>
      <c r="M233" s="38"/>
    </row>
    <row r="234" spans="1:13">
      <c r="A234" s="55">
        <f t="shared" si="11"/>
        <v>1</v>
      </c>
      <c r="B234" s="231"/>
      <c r="C234" s="200"/>
      <c r="D234" s="201"/>
      <c r="E234" s="186"/>
      <c r="F234" s="186">
        <f t="shared" si="9"/>
        <v>0</v>
      </c>
      <c r="G234" t="str">
        <f>IF(IFERROR(IF(Str_TypeDonneesCpt3=Cpt_Index,Tab_Compteur_3[[#This Row],[Index]]-E233,Tab_Compteur_3[[#This Row],[Quantité]])/Tab_Compteur_3[[#This Row],[Delta Jour]],"")&lt;0,"",IFERROR(IF(Str_TypeDonneesCpt3=Cpt_Index,Tab_Compteur_3[[#This Row],[Index]]-E233,Tab_Compteur_3[[#This Row],[Quantité]])/Tab_Compteur_3[[#This Row],[Delta Jour]],""))</f>
        <v/>
      </c>
      <c r="H234" s="186" t="str">
        <f>IFERROR(Tab_Compteur_3[[#This Row],[Montant]]/Tab_Compteur_3[[#This Row],[Delta Jour]],"")</f>
        <v/>
      </c>
      <c r="I234" s="212" t="str">
        <f t="shared" si="10"/>
        <v/>
      </c>
      <c r="J234" s="209"/>
      <c r="K234" s="38"/>
      <c r="L234" s="38"/>
      <c r="M234" s="38"/>
    </row>
    <row r="235" spans="1:13">
      <c r="A235" s="55">
        <f t="shared" si="11"/>
        <v>1</v>
      </c>
      <c r="B235" s="231"/>
      <c r="C235" s="200"/>
      <c r="D235" s="201"/>
      <c r="E235" s="186"/>
      <c r="F235" s="186">
        <f t="shared" si="9"/>
        <v>0</v>
      </c>
      <c r="G235" t="str">
        <f>IF(IFERROR(IF(Str_TypeDonneesCpt3=Cpt_Index,Tab_Compteur_3[[#This Row],[Index]]-E234,Tab_Compteur_3[[#This Row],[Quantité]])/Tab_Compteur_3[[#This Row],[Delta Jour]],"")&lt;0,"",IFERROR(IF(Str_TypeDonneesCpt3=Cpt_Index,Tab_Compteur_3[[#This Row],[Index]]-E234,Tab_Compteur_3[[#This Row],[Quantité]])/Tab_Compteur_3[[#This Row],[Delta Jour]],""))</f>
        <v/>
      </c>
      <c r="H235" s="186" t="str">
        <f>IFERROR(Tab_Compteur_3[[#This Row],[Montant]]/Tab_Compteur_3[[#This Row],[Delta Jour]],"")</f>
        <v/>
      </c>
      <c r="I235" s="212" t="str">
        <f t="shared" si="10"/>
        <v/>
      </c>
      <c r="J235" s="209"/>
      <c r="K235" s="38"/>
      <c r="L235" s="38"/>
      <c r="M235" s="38"/>
    </row>
    <row r="236" spans="1:13">
      <c r="A236" s="55">
        <f t="shared" si="11"/>
        <v>1</v>
      </c>
      <c r="B236" s="231"/>
      <c r="C236" s="200"/>
      <c r="D236" s="201"/>
      <c r="E236" s="186"/>
      <c r="F236" s="186">
        <f t="shared" si="9"/>
        <v>0</v>
      </c>
      <c r="G236" t="str">
        <f>IF(IFERROR(IF(Str_TypeDonneesCpt3=Cpt_Index,Tab_Compteur_3[[#This Row],[Index]]-E235,Tab_Compteur_3[[#This Row],[Quantité]])/Tab_Compteur_3[[#This Row],[Delta Jour]],"")&lt;0,"",IFERROR(IF(Str_TypeDonneesCpt3=Cpt_Index,Tab_Compteur_3[[#This Row],[Index]]-E235,Tab_Compteur_3[[#This Row],[Quantité]])/Tab_Compteur_3[[#This Row],[Delta Jour]],""))</f>
        <v/>
      </c>
      <c r="H236" s="186" t="str">
        <f>IFERROR(Tab_Compteur_3[[#This Row],[Montant]]/Tab_Compteur_3[[#This Row],[Delta Jour]],"")</f>
        <v/>
      </c>
      <c r="I236" s="212" t="str">
        <f t="shared" si="10"/>
        <v/>
      </c>
      <c r="J236" s="209"/>
      <c r="K236" s="38"/>
      <c r="L236" s="38"/>
      <c r="M236" s="38"/>
    </row>
    <row r="237" spans="1:13">
      <c r="A237" s="55">
        <f t="shared" si="11"/>
        <v>1</v>
      </c>
      <c r="B237" s="231"/>
      <c r="C237" s="200"/>
      <c r="D237" s="201"/>
      <c r="E237" s="186"/>
      <c r="F237" s="186">
        <f t="shared" si="9"/>
        <v>0</v>
      </c>
      <c r="G237" t="str">
        <f>IF(IFERROR(IF(Str_TypeDonneesCpt3=Cpt_Index,Tab_Compteur_3[[#This Row],[Index]]-E236,Tab_Compteur_3[[#This Row],[Quantité]])/Tab_Compteur_3[[#This Row],[Delta Jour]],"")&lt;0,"",IFERROR(IF(Str_TypeDonneesCpt3=Cpt_Index,Tab_Compteur_3[[#This Row],[Index]]-E236,Tab_Compteur_3[[#This Row],[Quantité]])/Tab_Compteur_3[[#This Row],[Delta Jour]],""))</f>
        <v/>
      </c>
      <c r="H237" s="186" t="str">
        <f>IFERROR(Tab_Compteur_3[[#This Row],[Montant]]/Tab_Compteur_3[[#This Row],[Delta Jour]],"")</f>
        <v/>
      </c>
      <c r="I237" s="212" t="str">
        <f t="shared" si="10"/>
        <v/>
      </c>
      <c r="J237" s="209"/>
      <c r="K237" s="38"/>
      <c r="L237" s="38"/>
      <c r="M237" s="38"/>
    </row>
    <row r="238" spans="1:13">
      <c r="A238" s="55">
        <f t="shared" si="11"/>
        <v>1</v>
      </c>
      <c r="B238" s="231"/>
      <c r="C238" s="200"/>
      <c r="D238" s="201"/>
      <c r="E238" s="186"/>
      <c r="F238" s="186">
        <f t="shared" si="9"/>
        <v>0</v>
      </c>
      <c r="G238" t="str">
        <f>IF(IFERROR(IF(Str_TypeDonneesCpt3=Cpt_Index,Tab_Compteur_3[[#This Row],[Index]]-E237,Tab_Compteur_3[[#This Row],[Quantité]])/Tab_Compteur_3[[#This Row],[Delta Jour]],"")&lt;0,"",IFERROR(IF(Str_TypeDonneesCpt3=Cpt_Index,Tab_Compteur_3[[#This Row],[Index]]-E237,Tab_Compteur_3[[#This Row],[Quantité]])/Tab_Compteur_3[[#This Row],[Delta Jour]],""))</f>
        <v/>
      </c>
      <c r="H238" s="186" t="str">
        <f>IFERROR(Tab_Compteur_3[[#This Row],[Montant]]/Tab_Compteur_3[[#This Row],[Delta Jour]],"")</f>
        <v/>
      </c>
      <c r="I238" s="212" t="str">
        <f t="shared" si="10"/>
        <v/>
      </c>
      <c r="J238" s="209"/>
      <c r="K238" s="38"/>
      <c r="L238" s="38"/>
      <c r="M238" s="38"/>
    </row>
    <row r="239" spans="1:13">
      <c r="A239" s="55">
        <f t="shared" si="11"/>
        <v>1</v>
      </c>
      <c r="B239" s="231"/>
      <c r="C239" s="202"/>
      <c r="D239" s="201"/>
      <c r="E239" s="186"/>
      <c r="F239" s="186">
        <f t="shared" si="9"/>
        <v>0</v>
      </c>
      <c r="G239" t="str">
        <f>IF(IFERROR(IF(Str_TypeDonneesCpt3=Cpt_Index,Tab_Compteur_3[[#This Row],[Index]]-E238,Tab_Compteur_3[[#This Row],[Quantité]])/Tab_Compteur_3[[#This Row],[Delta Jour]],"")&lt;0,"",IFERROR(IF(Str_TypeDonneesCpt3=Cpt_Index,Tab_Compteur_3[[#This Row],[Index]]-E238,Tab_Compteur_3[[#This Row],[Quantité]])/Tab_Compteur_3[[#This Row],[Delta Jour]],""))</f>
        <v/>
      </c>
      <c r="H239" s="186" t="str">
        <f>IFERROR(Tab_Compteur_3[[#This Row],[Montant]]/Tab_Compteur_3[[#This Row],[Delta Jour]],"")</f>
        <v/>
      </c>
      <c r="I239" s="212" t="str">
        <f t="shared" si="10"/>
        <v/>
      </c>
      <c r="J239" s="209"/>
      <c r="K239" s="38"/>
      <c r="L239" s="38"/>
      <c r="M239" s="38"/>
    </row>
    <row r="240" spans="1:13">
      <c r="A240" s="55">
        <f t="shared" si="11"/>
        <v>1</v>
      </c>
      <c r="B240" s="231"/>
      <c r="C240" s="202"/>
      <c r="D240" s="201"/>
      <c r="E240" s="186"/>
      <c r="F240" s="186">
        <f t="shared" si="9"/>
        <v>0</v>
      </c>
      <c r="G240" t="str">
        <f>IF(IFERROR(IF(Str_TypeDonneesCpt3=Cpt_Index,Tab_Compteur_3[[#This Row],[Index]]-E239,Tab_Compteur_3[[#This Row],[Quantité]])/Tab_Compteur_3[[#This Row],[Delta Jour]],"")&lt;0,"",IFERROR(IF(Str_TypeDonneesCpt3=Cpt_Index,Tab_Compteur_3[[#This Row],[Index]]-E239,Tab_Compteur_3[[#This Row],[Quantité]])/Tab_Compteur_3[[#This Row],[Delta Jour]],""))</f>
        <v/>
      </c>
      <c r="H240" s="186" t="str">
        <f>IFERROR(Tab_Compteur_3[[#This Row],[Montant]]/Tab_Compteur_3[[#This Row],[Delta Jour]],"")</f>
        <v/>
      </c>
      <c r="I240" s="212" t="str">
        <f t="shared" si="10"/>
        <v/>
      </c>
      <c r="J240" s="209"/>
      <c r="K240" s="38"/>
      <c r="L240" s="38"/>
      <c r="M240" s="38"/>
    </row>
    <row r="241" spans="1:13">
      <c r="A241" s="55">
        <f t="shared" si="11"/>
        <v>1</v>
      </c>
      <c r="B241" s="231"/>
      <c r="C241" s="202"/>
      <c r="D241" s="201"/>
      <c r="E241" s="186"/>
      <c r="F241" s="186">
        <f t="shared" si="9"/>
        <v>0</v>
      </c>
      <c r="G241" t="str">
        <f>IF(IFERROR(IF(Str_TypeDonneesCpt3=Cpt_Index,Tab_Compteur_3[[#This Row],[Index]]-E240,Tab_Compteur_3[[#This Row],[Quantité]])/Tab_Compteur_3[[#This Row],[Delta Jour]],"")&lt;0,"",IFERROR(IF(Str_TypeDonneesCpt3=Cpt_Index,Tab_Compteur_3[[#This Row],[Index]]-E240,Tab_Compteur_3[[#This Row],[Quantité]])/Tab_Compteur_3[[#This Row],[Delta Jour]],""))</f>
        <v/>
      </c>
      <c r="H241" s="186" t="str">
        <f>IFERROR(Tab_Compteur_3[[#This Row],[Montant]]/Tab_Compteur_3[[#This Row],[Delta Jour]],"")</f>
        <v/>
      </c>
      <c r="I241" s="212" t="str">
        <f t="shared" si="10"/>
        <v/>
      </c>
      <c r="J241" s="209"/>
      <c r="K241" s="38"/>
      <c r="L241" s="38"/>
      <c r="M241" s="38"/>
    </row>
    <row r="242" spans="1:13">
      <c r="A242" s="55">
        <f t="shared" si="11"/>
        <v>1</v>
      </c>
      <c r="B242" s="231"/>
      <c r="C242" s="202"/>
      <c r="D242" s="201"/>
      <c r="E242" s="186"/>
      <c r="F242" s="186">
        <f t="shared" si="9"/>
        <v>0</v>
      </c>
      <c r="G242" t="str">
        <f>IF(IFERROR(IF(Str_TypeDonneesCpt3=Cpt_Index,Tab_Compteur_3[[#This Row],[Index]]-E241,Tab_Compteur_3[[#This Row],[Quantité]])/Tab_Compteur_3[[#This Row],[Delta Jour]],"")&lt;0,"",IFERROR(IF(Str_TypeDonneesCpt3=Cpt_Index,Tab_Compteur_3[[#This Row],[Index]]-E241,Tab_Compteur_3[[#This Row],[Quantité]])/Tab_Compteur_3[[#This Row],[Delta Jour]],""))</f>
        <v/>
      </c>
      <c r="H242" s="186" t="str">
        <f>IFERROR(Tab_Compteur_3[[#This Row],[Montant]]/Tab_Compteur_3[[#This Row],[Delta Jour]],"")</f>
        <v/>
      </c>
      <c r="I242" s="212" t="str">
        <f t="shared" si="10"/>
        <v/>
      </c>
      <c r="J242" s="209"/>
      <c r="K242" s="38"/>
      <c r="L242" s="38"/>
      <c r="M242" s="38"/>
    </row>
    <row r="243" spans="1:13" ht="15.75" customHeight="1">
      <c r="A243" s="55">
        <f t="shared" si="11"/>
        <v>1</v>
      </c>
      <c r="B243" s="231"/>
      <c r="C243" s="202"/>
      <c r="D243" s="201"/>
      <c r="E243" s="186"/>
      <c r="F243" s="186">
        <f t="shared" si="9"/>
        <v>0</v>
      </c>
      <c r="G243" t="str">
        <f>IF(IFERROR(IF(Str_TypeDonneesCpt3=Cpt_Index,Tab_Compteur_3[[#This Row],[Index]]-E242,Tab_Compteur_3[[#This Row],[Quantité]])/Tab_Compteur_3[[#This Row],[Delta Jour]],"")&lt;0,"",IFERROR(IF(Str_TypeDonneesCpt3=Cpt_Index,Tab_Compteur_3[[#This Row],[Index]]-E242,Tab_Compteur_3[[#This Row],[Quantité]])/Tab_Compteur_3[[#This Row],[Delta Jour]],""))</f>
        <v/>
      </c>
      <c r="H243" s="186" t="str">
        <f>IFERROR(Tab_Compteur_3[[#This Row],[Montant]]/Tab_Compteur_3[[#This Row],[Delta Jour]],"")</f>
        <v/>
      </c>
      <c r="I243" s="212" t="str">
        <f t="shared" si="10"/>
        <v/>
      </c>
      <c r="J243" s="209"/>
    </row>
  </sheetData>
  <sheetProtection sheet="1" selectLockedCells="1"/>
  <protectedRanges>
    <protectedRange sqref="D5:D243 C5:C104 A4:D4 A5:B243" name="Données_compteur3_1"/>
    <protectedRange sqref="C105:C243 L2:N2 E3:E1048576 K35 J37:M243 J9:M10 J34:J36 L34:M36 K3:M3 J3:J8 K5:M8 I3:I243 J244:N1048576" name="Données_compteur3"/>
    <protectedRange sqref="J11:M33" name="Données_compteur3_3"/>
    <protectedRange sqref="E2 I2" name="Compteur_1_1"/>
    <protectedRange sqref="K4:L4" name="Compteur_1"/>
    <protectedRange sqref="L1 E1 I1" name="Compteur_1_2"/>
    <protectedRange sqref="K34 K36" name="Données_compteur3_2"/>
  </protectedRanges>
  <mergeCells count="1">
    <mergeCell ref="K11:M33"/>
  </mergeCells>
  <conditionalFormatting sqref="B4:B243">
    <cfRule type="expression" dxfId="12"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7"/>
  <dimension ref="A1:O243"/>
  <sheetViews>
    <sheetView workbookViewId="0">
      <pane ySplit="3" topLeftCell="A4" activePane="bottomLeft" state="frozen"/>
      <selection pane="bottomLeft" activeCell="B7" sqref="B7"/>
    </sheetView>
  </sheetViews>
  <sheetFormatPr baseColWidth="10" defaultColWidth="0" defaultRowHeight="15" zeroHeight="1"/>
  <cols>
    <col min="1" max="1" width="11.42578125" customWidth="1"/>
    <col min="2" max="2" width="19.42578125" style="186" customWidth="1"/>
    <col min="3" max="3" width="13.85546875" customWidth="1"/>
    <col min="4" max="4" width="15.42578125" style="124" customWidth="1"/>
    <col min="5" max="5" width="11.42578125" customWidth="1"/>
    <col min="6" max="6" width="11.42578125" hidden="1" customWidth="1"/>
    <col min="7" max="7" width="21.5703125" hidden="1" customWidth="1"/>
    <col min="8" max="8" width="12.85546875" hidden="1" customWidth="1"/>
    <col min="9" max="9" width="10.85546875" customWidth="1"/>
    <col min="10" max="10" width="13.7109375" style="208" customWidth="1"/>
    <col min="11" max="11" width="21.7109375" customWidth="1"/>
    <col min="12" max="13" width="11.42578125" customWidth="1"/>
    <col min="14" max="14" width="21.7109375" customWidth="1"/>
    <col min="15" max="15" width="0" hidden="1" customWidth="1"/>
    <col min="16" max="16384" width="11.42578125" hidden="1"/>
  </cols>
  <sheetData>
    <row r="1" spans="1:13" ht="35.25" customHeight="1">
      <c r="A1" s="57" t="s">
        <v>397</v>
      </c>
      <c r="B1" s="227" t="s">
        <v>398</v>
      </c>
      <c r="C1" s="129" t="s">
        <v>399</v>
      </c>
      <c r="D1" s="59" t="str">
        <f>CONCATENATE("Montant ",Controle_des_données!$A$40)</f>
        <v>Montant TTC</v>
      </c>
      <c r="E1" s="30" t="s">
        <v>215</v>
      </c>
      <c r="F1" s="29" t="s">
        <v>400</v>
      </c>
      <c r="G1" s="30" t="s">
        <v>401</v>
      </c>
      <c r="H1" s="30" t="s">
        <v>402</v>
      </c>
      <c r="I1" s="30" t="s">
        <v>403</v>
      </c>
      <c r="J1" s="181" t="s">
        <v>404</v>
      </c>
      <c r="K1" s="172" t="s">
        <v>19</v>
      </c>
      <c r="L1" s="179" t="str">
        <f>IF(Site!C41="", "Compteur 4",Site!C41)</f>
        <v>Compteur 4</v>
      </c>
    </row>
    <row r="2" spans="1:13" ht="20.25" hidden="1" customHeight="1">
      <c r="A2" s="57" t="s">
        <v>397</v>
      </c>
      <c r="B2" s="232" t="s">
        <v>398</v>
      </c>
      <c r="C2" s="58" t="s">
        <v>399</v>
      </c>
      <c r="D2" s="140" t="s">
        <v>433</v>
      </c>
      <c r="E2" s="30" t="s">
        <v>215</v>
      </c>
      <c r="F2" s="29" t="s">
        <v>400</v>
      </c>
      <c r="G2" s="30" t="s">
        <v>401</v>
      </c>
      <c r="H2" s="30" t="s">
        <v>402</v>
      </c>
      <c r="I2" s="208" t="s">
        <v>403</v>
      </c>
      <c r="J2" s="30" t="s">
        <v>404</v>
      </c>
      <c r="K2" s="172" t="s">
        <v>19</v>
      </c>
      <c r="L2" s="600">
        <f>Site!C41</f>
        <v>0</v>
      </c>
      <c r="M2" s="601"/>
    </row>
    <row r="3" spans="1:13" hidden="1">
      <c r="A3" s="3"/>
      <c r="B3" s="231">
        <f>A4-1</f>
        <v>-1</v>
      </c>
      <c r="C3" s="56">
        <v>0</v>
      </c>
      <c r="D3" s="124">
        <v>0</v>
      </c>
      <c r="E3">
        <v>0</v>
      </c>
      <c r="F3">
        <f t="shared" ref="F3:F66" si="0">IFERROR(B3-A3+1,"")</f>
        <v>0</v>
      </c>
      <c r="G3">
        <v>0</v>
      </c>
      <c r="H3">
        <v>0</v>
      </c>
      <c r="I3" s="208">
        <f t="shared" ref="I3:I66" si="1">G3</f>
        <v>0</v>
      </c>
      <c r="J3" s="38"/>
      <c r="K3" s="38"/>
      <c r="L3" s="38"/>
      <c r="M3" s="38"/>
    </row>
    <row r="4" spans="1:13">
      <c r="A4" s="3">
        <f>Site!I41</f>
        <v>0</v>
      </c>
      <c r="B4" s="87"/>
      <c r="C4" s="442"/>
      <c r="D4" s="442"/>
      <c r="E4" s="186"/>
      <c r="F4" s="186">
        <f t="shared" si="0"/>
        <v>1</v>
      </c>
      <c r="G4" s="186">
        <f>IF(IFERROR(IF(Str_TypeDonneesCpt4=Cpt_Index,Tab_Compteur_4[[#This Row],[Index]]-L4,Tab_Compteur_4[[#This Row],[Quantité]])/Tab_Compteur_4[[#This Row],[Delta Jour]],"")&lt;0,"",IFERROR(IF(Str_TypeDonneesCpt4=Cpt_Index,Tab_Compteur_4[[#This Row],[Index]]-L4,Tab_Compteur_4[[#This Row],[Quantité]])/Tab_Compteur_4[[#This Row],[Delta Jour]],""))</f>
        <v>0</v>
      </c>
      <c r="H4" s="186">
        <f>IFERROR(Tab_Compteur_4[[#This Row],[Montant]]/Tab_Compteur_4[[#This Row],[Delta Jour]],"")</f>
        <v>0</v>
      </c>
      <c r="I4" s="208">
        <f t="shared" si="1"/>
        <v>0</v>
      </c>
      <c r="J4" s="209"/>
      <c r="K4" s="216" t="s">
        <v>405</v>
      </c>
      <c r="L4" s="491">
        <v>0</v>
      </c>
    </row>
    <row r="5" spans="1:13">
      <c r="A5" s="3">
        <f>IFERROR(B4+1,0)</f>
        <v>1</v>
      </c>
      <c r="B5" s="228"/>
      <c r="C5" s="442"/>
      <c r="D5" s="442"/>
      <c r="E5" s="186"/>
      <c r="F5" s="186">
        <f t="shared" si="0"/>
        <v>0</v>
      </c>
      <c r="G5" s="186" t="str">
        <f>IF(IFERROR(IF(Str_TypeDonneesCpt4=Cpt_Index,Tab_Compteur_4[[#This Row],[Index]]-E4,Tab_Compteur_4[[#This Row],[Quantité]])/Tab_Compteur_4[[#This Row],[Delta Jour]],"")&lt;0,"",IFERROR(IF(Str_TypeDonneesCpt4=Cpt_Index,Tab_Compteur_4[[#This Row],[Index]]-E4,Tab_Compteur_4[[#This Row],[Quantité]])/Tab_Compteur_4[[#This Row],[Delta Jour]],""))</f>
        <v/>
      </c>
      <c r="H5" s="186" t="str">
        <f>IFERROR(Tab_Compteur_4[[#This Row],[Montant]]/Tab_Compteur_4[[#This Row],[Delta Jour]],"")</f>
        <v/>
      </c>
      <c r="I5" s="208" t="str">
        <f t="shared" si="1"/>
        <v/>
      </c>
      <c r="J5" s="209"/>
      <c r="K5" s="38"/>
      <c r="L5" s="38"/>
      <c r="M5" s="38"/>
    </row>
    <row r="6" spans="1:13">
      <c r="A6" s="3">
        <f t="shared" ref="A6:A69" si="2">IFERROR(B5+1,0)</f>
        <v>1</v>
      </c>
      <c r="B6" s="228"/>
      <c r="C6" s="442"/>
      <c r="D6" s="442"/>
      <c r="E6" s="186"/>
      <c r="F6" s="186">
        <f t="shared" si="0"/>
        <v>0</v>
      </c>
      <c r="G6" s="186" t="str">
        <f>IF(IFERROR(IF(Str_TypeDonneesCpt4=Cpt_Index,Tab_Compteur_4[[#This Row],[Index]]-E5,Tab_Compteur_4[[#This Row],[Quantité]])/Tab_Compteur_4[[#This Row],[Delta Jour]],"")&lt;0,"",IFERROR(IF(Str_TypeDonneesCpt4=Cpt_Index,Tab_Compteur_4[[#This Row],[Index]]-E5,Tab_Compteur_4[[#This Row],[Quantité]])/Tab_Compteur_4[[#This Row],[Delta Jour]],""))</f>
        <v/>
      </c>
      <c r="H6" s="186" t="str">
        <f>IFERROR(Tab_Compteur_4[[#This Row],[Montant]]/Tab_Compteur_4[[#This Row],[Delta Jour]],"")</f>
        <v/>
      </c>
      <c r="I6" s="208" t="str">
        <f t="shared" si="1"/>
        <v/>
      </c>
      <c r="J6" s="209"/>
      <c r="K6" s="38"/>
      <c r="L6" s="38"/>
      <c r="M6" s="38"/>
    </row>
    <row r="7" spans="1:13">
      <c r="A7" s="3">
        <f t="shared" si="2"/>
        <v>1</v>
      </c>
      <c r="B7" s="228"/>
      <c r="C7" s="442"/>
      <c r="D7" s="442"/>
      <c r="E7" s="186"/>
      <c r="F7" s="186">
        <f t="shared" si="0"/>
        <v>0</v>
      </c>
      <c r="G7" s="186" t="str">
        <f>IF(IFERROR(IF(Str_TypeDonneesCpt4=Cpt_Index,Tab_Compteur_4[[#This Row],[Index]]-E6,Tab_Compteur_4[[#This Row],[Quantité]])/Tab_Compteur_4[[#This Row],[Delta Jour]],"")&lt;0,"",IFERROR(IF(Str_TypeDonneesCpt4=Cpt_Index,Tab_Compteur_4[[#This Row],[Index]]-E6,Tab_Compteur_4[[#This Row],[Quantité]])/Tab_Compteur_4[[#This Row],[Delta Jour]],""))</f>
        <v/>
      </c>
      <c r="H7" s="186" t="str">
        <f>IFERROR(Tab_Compteur_4[[#This Row],[Montant]]/Tab_Compteur_4[[#This Row],[Delta Jour]],"")</f>
        <v/>
      </c>
      <c r="I7" s="208" t="str">
        <f t="shared" si="1"/>
        <v/>
      </c>
      <c r="J7" s="209"/>
      <c r="K7" s="38"/>
      <c r="L7" s="38"/>
      <c r="M7" s="38"/>
    </row>
    <row r="8" spans="1:13">
      <c r="A8" s="3">
        <f t="shared" si="2"/>
        <v>1</v>
      </c>
      <c r="B8" s="228"/>
      <c r="C8" s="442"/>
      <c r="D8" s="442"/>
      <c r="E8" s="186"/>
      <c r="F8" s="186">
        <f t="shared" si="0"/>
        <v>0</v>
      </c>
      <c r="G8" s="186" t="str">
        <f>IF(IFERROR(IF(Str_TypeDonneesCpt4=Cpt_Index,Tab_Compteur_4[[#This Row],[Index]]-E7,Tab_Compteur_4[[#This Row],[Quantité]])/Tab_Compteur_4[[#This Row],[Delta Jour]],"")&lt;0,"",IFERROR(IF(Str_TypeDonneesCpt4=Cpt_Index,Tab_Compteur_4[[#This Row],[Index]]-E7,Tab_Compteur_4[[#This Row],[Quantité]])/Tab_Compteur_4[[#This Row],[Delta Jour]],""))</f>
        <v/>
      </c>
      <c r="H8" s="186" t="str">
        <f>IFERROR(Tab_Compteur_4[[#This Row],[Montant]]/Tab_Compteur_4[[#This Row],[Delta Jour]],"")</f>
        <v/>
      </c>
      <c r="I8" s="208" t="str">
        <f t="shared" si="1"/>
        <v/>
      </c>
      <c r="J8" s="209"/>
      <c r="K8" s="173"/>
      <c r="L8" s="173"/>
      <c r="M8" s="173"/>
    </row>
    <row r="9" spans="1:13">
      <c r="A9" s="3">
        <f t="shared" si="2"/>
        <v>1</v>
      </c>
      <c r="B9" s="228"/>
      <c r="C9" s="442"/>
      <c r="D9" s="442"/>
      <c r="E9" s="186"/>
      <c r="F9" s="186">
        <f t="shared" si="0"/>
        <v>0</v>
      </c>
      <c r="G9" s="186" t="str">
        <f>IF(IFERROR(IF(Str_TypeDonneesCpt4=Cpt_Index,Tab_Compteur_4[[#This Row],[Index]]-E8,Tab_Compteur_4[[#This Row],[Quantité]])/Tab_Compteur_4[[#This Row],[Delta Jour]],"")&lt;0,"",IFERROR(IF(Str_TypeDonneesCpt4=Cpt_Index,Tab_Compteur_4[[#This Row],[Index]]-E8,Tab_Compteur_4[[#This Row],[Quantité]])/Tab_Compteur_4[[#This Row],[Delta Jour]],""))</f>
        <v/>
      </c>
      <c r="H9" s="186" t="str">
        <f>IFERROR(Tab_Compteur_4[[#This Row],[Montant]]/Tab_Compteur_4[[#This Row],[Delta Jour]],"")</f>
        <v/>
      </c>
      <c r="I9" s="208" t="str">
        <f t="shared" si="1"/>
        <v/>
      </c>
      <c r="J9" s="209"/>
      <c r="K9" s="173"/>
      <c r="L9" s="173"/>
      <c r="M9" s="173"/>
    </row>
    <row r="10" spans="1:13">
      <c r="A10" s="3">
        <f t="shared" si="2"/>
        <v>1</v>
      </c>
      <c r="B10" s="228"/>
      <c r="C10" s="442"/>
      <c r="D10" s="442"/>
      <c r="E10" s="186"/>
      <c r="F10" s="186">
        <f t="shared" si="0"/>
        <v>0</v>
      </c>
      <c r="G10" s="186" t="str">
        <f>IF(IFERROR(IF(Str_TypeDonneesCpt4=Cpt_Index,Tab_Compteur_4[[#This Row],[Index]]-E9,Tab_Compteur_4[[#This Row],[Quantité]])/Tab_Compteur_4[[#This Row],[Delta Jour]],"")&lt;0,"",IFERROR(IF(Str_TypeDonneesCpt4=Cpt_Index,Tab_Compteur_4[[#This Row],[Index]]-E9,Tab_Compteur_4[[#This Row],[Quantité]])/Tab_Compteur_4[[#This Row],[Delta Jour]],""))</f>
        <v/>
      </c>
      <c r="H10" s="186" t="str">
        <f>IFERROR(Tab_Compteur_4[[#This Row],[Montant]]/Tab_Compteur_4[[#This Row],[Delta Jour]],"")</f>
        <v/>
      </c>
      <c r="I10" s="208" t="str">
        <f t="shared" si="1"/>
        <v/>
      </c>
      <c r="J10" s="209"/>
      <c r="K10" s="173"/>
      <c r="L10" s="173"/>
      <c r="M10" s="173"/>
    </row>
    <row r="11" spans="1:13" ht="15" customHeight="1">
      <c r="A11" s="3">
        <f t="shared" si="2"/>
        <v>1</v>
      </c>
      <c r="B11" s="228"/>
      <c r="C11" s="442"/>
      <c r="D11" s="442"/>
      <c r="E11" s="186"/>
      <c r="F11" s="186">
        <f t="shared" si="0"/>
        <v>0</v>
      </c>
      <c r="G11" s="186" t="str">
        <f>IF(IFERROR(IF(Str_TypeDonneesCpt4=Cpt_Index,Tab_Compteur_4[[#This Row],[Index]]-E10,Tab_Compteur_4[[#This Row],[Quantité]])/Tab_Compteur_4[[#This Row],[Delta Jour]],"")&lt;0,"",IFERROR(IF(Str_TypeDonneesCpt4=Cpt_Index,Tab_Compteur_4[[#This Row],[Index]]-E10,Tab_Compteur_4[[#This Row],[Quantité]])/Tab_Compteur_4[[#This Row],[Delta Jour]],""))</f>
        <v/>
      </c>
      <c r="H11" s="186" t="str">
        <f>IFERROR(Tab_Compteur_4[[#This Row],[Montant]]/Tab_Compteur_4[[#This Row],[Delta Jour]],"")</f>
        <v/>
      </c>
      <c r="I11" s="208" t="str">
        <f t="shared" si="1"/>
        <v/>
      </c>
      <c r="J11" s="209"/>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3">
        <f t="shared" si="2"/>
        <v>1</v>
      </c>
      <c r="B12" s="228"/>
      <c r="C12" s="442"/>
      <c r="D12" s="442"/>
      <c r="E12" s="186"/>
      <c r="F12" s="186">
        <f t="shared" si="0"/>
        <v>0</v>
      </c>
      <c r="G12" s="186" t="str">
        <f>IF(IFERROR(IF(Str_TypeDonneesCpt4=Cpt_Index,Tab_Compteur_4[[#This Row],[Index]]-E11,Tab_Compteur_4[[#This Row],[Quantité]])/Tab_Compteur_4[[#This Row],[Delta Jour]],"")&lt;0,"",IFERROR(IF(Str_TypeDonneesCpt4=Cpt_Index,Tab_Compteur_4[[#This Row],[Index]]-E11,Tab_Compteur_4[[#This Row],[Quantité]])/Tab_Compteur_4[[#This Row],[Delta Jour]],""))</f>
        <v/>
      </c>
      <c r="H12" s="186" t="str">
        <f>IFERROR(Tab_Compteur_4[[#This Row],[Montant]]/Tab_Compteur_4[[#This Row],[Delta Jour]],"")</f>
        <v/>
      </c>
      <c r="I12" s="208" t="str">
        <f t="shared" si="1"/>
        <v/>
      </c>
      <c r="J12" s="209"/>
      <c r="K12" s="599"/>
      <c r="L12" s="599"/>
      <c r="M12" s="599"/>
    </row>
    <row r="13" spans="1:13">
      <c r="A13" s="3">
        <f t="shared" si="2"/>
        <v>1</v>
      </c>
      <c r="B13" s="228"/>
      <c r="C13" s="442"/>
      <c r="D13" s="442"/>
      <c r="E13" s="186"/>
      <c r="F13" s="186">
        <f t="shared" si="0"/>
        <v>0</v>
      </c>
      <c r="G13" s="186" t="str">
        <f>IF(IFERROR(IF(Str_TypeDonneesCpt4=Cpt_Index,Tab_Compteur_4[[#This Row],[Index]]-E12,Tab_Compteur_4[[#This Row],[Quantité]])/Tab_Compteur_4[[#This Row],[Delta Jour]],"")&lt;0,"",IFERROR(IF(Str_TypeDonneesCpt4=Cpt_Index,Tab_Compteur_4[[#This Row],[Index]]-E12,Tab_Compteur_4[[#This Row],[Quantité]])/Tab_Compteur_4[[#This Row],[Delta Jour]],""))</f>
        <v/>
      </c>
      <c r="H13" s="186" t="str">
        <f>IFERROR(Tab_Compteur_4[[#This Row],[Montant]]/Tab_Compteur_4[[#This Row],[Delta Jour]],"")</f>
        <v/>
      </c>
      <c r="I13" s="208" t="str">
        <f t="shared" si="1"/>
        <v/>
      </c>
      <c r="J13" s="209"/>
      <c r="K13" s="599"/>
      <c r="L13" s="599"/>
      <c r="M13" s="599"/>
    </row>
    <row r="14" spans="1:13">
      <c r="A14" s="3">
        <f t="shared" si="2"/>
        <v>1</v>
      </c>
      <c r="B14" s="228"/>
      <c r="C14" s="442"/>
      <c r="D14" s="442"/>
      <c r="E14" s="186"/>
      <c r="F14" s="186">
        <f t="shared" si="0"/>
        <v>0</v>
      </c>
      <c r="G14" s="186" t="str">
        <f>IF(IFERROR(IF(Str_TypeDonneesCpt4=Cpt_Index,Tab_Compteur_4[[#This Row],[Index]]-E13,Tab_Compteur_4[[#This Row],[Quantité]])/Tab_Compteur_4[[#This Row],[Delta Jour]],"")&lt;0,"",IFERROR(IF(Str_TypeDonneesCpt4=Cpt_Index,Tab_Compteur_4[[#This Row],[Index]]-E13,Tab_Compteur_4[[#This Row],[Quantité]])/Tab_Compteur_4[[#This Row],[Delta Jour]],""))</f>
        <v/>
      </c>
      <c r="H14" s="186" t="str">
        <f>IFERROR(Tab_Compteur_4[[#This Row],[Montant]]/Tab_Compteur_4[[#This Row],[Delta Jour]],"")</f>
        <v/>
      </c>
      <c r="I14" s="208" t="str">
        <f t="shared" si="1"/>
        <v/>
      </c>
      <c r="J14" s="209"/>
      <c r="K14" s="599"/>
      <c r="L14" s="599"/>
      <c r="M14" s="599"/>
    </row>
    <row r="15" spans="1:13">
      <c r="A15" s="3">
        <f t="shared" si="2"/>
        <v>1</v>
      </c>
      <c r="B15" s="443"/>
      <c r="C15" s="442"/>
      <c r="D15" s="442"/>
      <c r="E15" s="186"/>
      <c r="F15" s="186">
        <f t="shared" si="0"/>
        <v>0</v>
      </c>
      <c r="G15" s="186" t="str">
        <f>IF(IFERROR(IF(Str_TypeDonneesCpt4=Cpt_Index,Tab_Compteur_4[[#This Row],[Index]]-E14,Tab_Compteur_4[[#This Row],[Quantité]])/Tab_Compteur_4[[#This Row],[Delta Jour]],"")&lt;0,"",IFERROR(IF(Str_TypeDonneesCpt4=Cpt_Index,Tab_Compteur_4[[#This Row],[Index]]-E14,Tab_Compteur_4[[#This Row],[Quantité]])/Tab_Compteur_4[[#This Row],[Delta Jour]],""))</f>
        <v/>
      </c>
      <c r="H15" s="186" t="str">
        <f>IFERROR(Tab_Compteur_4[[#This Row],[Montant]]/Tab_Compteur_4[[#This Row],[Delta Jour]],"")</f>
        <v/>
      </c>
      <c r="I15" s="208" t="str">
        <f t="shared" si="1"/>
        <v/>
      </c>
      <c r="J15" s="209"/>
      <c r="K15" s="599"/>
      <c r="L15" s="599"/>
      <c r="M15" s="599"/>
    </row>
    <row r="16" spans="1:13">
      <c r="A16" s="3">
        <f t="shared" si="2"/>
        <v>1</v>
      </c>
      <c r="B16" s="443"/>
      <c r="C16" s="442"/>
      <c r="D16" s="442"/>
      <c r="E16" s="186"/>
      <c r="F16" s="186">
        <f t="shared" si="0"/>
        <v>0</v>
      </c>
      <c r="G16" s="186" t="str">
        <f>IF(IFERROR(IF(Str_TypeDonneesCpt4=Cpt_Index,Tab_Compteur_4[[#This Row],[Index]]-E15,Tab_Compteur_4[[#This Row],[Quantité]])/Tab_Compteur_4[[#This Row],[Delta Jour]],"")&lt;0,"",IFERROR(IF(Str_TypeDonneesCpt4=Cpt_Index,Tab_Compteur_4[[#This Row],[Index]]-E15,Tab_Compteur_4[[#This Row],[Quantité]])/Tab_Compteur_4[[#This Row],[Delta Jour]],""))</f>
        <v/>
      </c>
      <c r="H16" s="186" t="str">
        <f>IFERROR(Tab_Compteur_4[[#This Row],[Montant]]/Tab_Compteur_4[[#This Row],[Delta Jour]],"")</f>
        <v/>
      </c>
      <c r="I16" s="208" t="str">
        <f t="shared" si="1"/>
        <v/>
      </c>
      <c r="J16" s="209"/>
      <c r="K16" s="599"/>
      <c r="L16" s="599"/>
      <c r="M16" s="599"/>
    </row>
    <row r="17" spans="1:13">
      <c r="A17" s="3">
        <f t="shared" si="2"/>
        <v>1</v>
      </c>
      <c r="B17" s="443"/>
      <c r="C17" s="442"/>
      <c r="D17" s="442"/>
      <c r="E17" s="186"/>
      <c r="F17" s="186">
        <f t="shared" si="0"/>
        <v>0</v>
      </c>
      <c r="G17" s="186" t="str">
        <f>IF(IFERROR(IF(Str_TypeDonneesCpt4=Cpt_Index,Tab_Compteur_4[[#This Row],[Index]]-E16,Tab_Compteur_4[[#This Row],[Quantité]])/Tab_Compteur_4[[#This Row],[Delta Jour]],"")&lt;0,"",IFERROR(IF(Str_TypeDonneesCpt4=Cpt_Index,Tab_Compteur_4[[#This Row],[Index]]-E16,Tab_Compteur_4[[#This Row],[Quantité]])/Tab_Compteur_4[[#This Row],[Delta Jour]],""))</f>
        <v/>
      </c>
      <c r="H17" s="186" t="str">
        <f>IFERROR(Tab_Compteur_4[[#This Row],[Montant]]/Tab_Compteur_4[[#This Row],[Delta Jour]],"")</f>
        <v/>
      </c>
      <c r="I17" s="208" t="str">
        <f t="shared" si="1"/>
        <v/>
      </c>
      <c r="J17" s="209"/>
      <c r="K17" s="599"/>
      <c r="L17" s="599"/>
      <c r="M17" s="599"/>
    </row>
    <row r="18" spans="1:13">
      <c r="A18" s="3">
        <f t="shared" si="2"/>
        <v>1</v>
      </c>
      <c r="B18" s="443"/>
      <c r="C18" s="442"/>
      <c r="D18" s="442"/>
      <c r="E18" s="186"/>
      <c r="F18" s="186">
        <f t="shared" si="0"/>
        <v>0</v>
      </c>
      <c r="G18" s="186" t="str">
        <f>IF(IFERROR(IF(Str_TypeDonneesCpt4=Cpt_Index,Tab_Compteur_4[[#This Row],[Index]]-E17,Tab_Compteur_4[[#This Row],[Quantité]])/Tab_Compteur_4[[#This Row],[Delta Jour]],"")&lt;0,"",IFERROR(IF(Str_TypeDonneesCpt4=Cpt_Index,Tab_Compteur_4[[#This Row],[Index]]-E17,Tab_Compteur_4[[#This Row],[Quantité]])/Tab_Compteur_4[[#This Row],[Delta Jour]],""))</f>
        <v/>
      </c>
      <c r="H18" s="186" t="str">
        <f>IFERROR(Tab_Compteur_4[[#This Row],[Montant]]/Tab_Compteur_4[[#This Row],[Delta Jour]],"")</f>
        <v/>
      </c>
      <c r="I18" s="208" t="str">
        <f t="shared" si="1"/>
        <v/>
      </c>
      <c r="J18" s="209"/>
      <c r="K18" s="599"/>
      <c r="L18" s="599"/>
      <c r="M18" s="599"/>
    </row>
    <row r="19" spans="1:13">
      <c r="A19" s="3">
        <f t="shared" si="2"/>
        <v>1</v>
      </c>
      <c r="B19" s="443"/>
      <c r="C19" s="442"/>
      <c r="D19" s="442"/>
      <c r="E19" s="186"/>
      <c r="F19" s="186">
        <f t="shared" si="0"/>
        <v>0</v>
      </c>
      <c r="G19" s="186" t="str">
        <f>IF(IFERROR(IF(Str_TypeDonneesCpt4=Cpt_Index,Tab_Compteur_4[[#This Row],[Index]]-E18,Tab_Compteur_4[[#This Row],[Quantité]])/Tab_Compteur_4[[#This Row],[Delta Jour]],"")&lt;0,"",IFERROR(IF(Str_TypeDonneesCpt4=Cpt_Index,Tab_Compteur_4[[#This Row],[Index]]-E18,Tab_Compteur_4[[#This Row],[Quantité]])/Tab_Compteur_4[[#This Row],[Delta Jour]],""))</f>
        <v/>
      </c>
      <c r="H19" s="186" t="str">
        <f>IFERROR(Tab_Compteur_4[[#This Row],[Montant]]/Tab_Compteur_4[[#This Row],[Delta Jour]],"")</f>
        <v/>
      </c>
      <c r="I19" s="208" t="str">
        <f t="shared" si="1"/>
        <v/>
      </c>
      <c r="J19" s="209"/>
      <c r="K19" s="599"/>
      <c r="L19" s="599"/>
      <c r="M19" s="599"/>
    </row>
    <row r="20" spans="1:13">
      <c r="A20" s="3">
        <f t="shared" si="2"/>
        <v>1</v>
      </c>
      <c r="B20" s="443"/>
      <c r="C20" s="442"/>
      <c r="D20" s="442"/>
      <c r="E20" s="186"/>
      <c r="F20" s="186">
        <f t="shared" si="0"/>
        <v>0</v>
      </c>
      <c r="G20" s="186" t="str">
        <f>IF(IFERROR(IF(Str_TypeDonneesCpt4=Cpt_Index,Tab_Compteur_4[[#This Row],[Index]]-E19,Tab_Compteur_4[[#This Row],[Quantité]])/Tab_Compteur_4[[#This Row],[Delta Jour]],"")&lt;0,"",IFERROR(IF(Str_TypeDonneesCpt4=Cpt_Index,Tab_Compteur_4[[#This Row],[Index]]-E19,Tab_Compteur_4[[#This Row],[Quantité]])/Tab_Compteur_4[[#This Row],[Delta Jour]],""))</f>
        <v/>
      </c>
      <c r="H20" s="186" t="str">
        <f>IFERROR(Tab_Compteur_4[[#This Row],[Montant]]/Tab_Compteur_4[[#This Row],[Delta Jour]],"")</f>
        <v/>
      </c>
      <c r="I20" s="208" t="str">
        <f t="shared" si="1"/>
        <v/>
      </c>
      <c r="J20" s="209"/>
      <c r="K20" s="599"/>
      <c r="L20" s="599"/>
      <c r="M20" s="599"/>
    </row>
    <row r="21" spans="1:13">
      <c r="A21" s="3">
        <f t="shared" si="2"/>
        <v>1</v>
      </c>
      <c r="B21" s="443"/>
      <c r="C21" s="442"/>
      <c r="D21" s="442"/>
      <c r="E21" s="186"/>
      <c r="F21" s="186">
        <f t="shared" si="0"/>
        <v>0</v>
      </c>
      <c r="G21" s="186" t="str">
        <f>IF(IFERROR(IF(Str_TypeDonneesCpt4=Cpt_Index,Tab_Compteur_4[[#This Row],[Index]]-E20,Tab_Compteur_4[[#This Row],[Quantité]])/Tab_Compteur_4[[#This Row],[Delta Jour]],"")&lt;0,"",IFERROR(IF(Str_TypeDonneesCpt4=Cpt_Index,Tab_Compteur_4[[#This Row],[Index]]-E20,Tab_Compteur_4[[#This Row],[Quantité]])/Tab_Compteur_4[[#This Row],[Delta Jour]],""))</f>
        <v/>
      </c>
      <c r="H21" s="186" t="str">
        <f>IFERROR(Tab_Compteur_4[[#This Row],[Montant]]/Tab_Compteur_4[[#This Row],[Delta Jour]],"")</f>
        <v/>
      </c>
      <c r="I21" s="208" t="str">
        <f t="shared" si="1"/>
        <v/>
      </c>
      <c r="J21" s="209"/>
      <c r="K21" s="599"/>
      <c r="L21" s="599"/>
      <c r="M21" s="599"/>
    </row>
    <row r="22" spans="1:13">
      <c r="A22" s="3">
        <f t="shared" si="2"/>
        <v>1</v>
      </c>
      <c r="B22" s="443"/>
      <c r="C22" s="442"/>
      <c r="D22" s="442"/>
      <c r="E22" s="186"/>
      <c r="F22" s="186">
        <f t="shared" si="0"/>
        <v>0</v>
      </c>
      <c r="G22" s="186" t="str">
        <f>IF(IFERROR(IF(Str_TypeDonneesCpt4=Cpt_Index,Tab_Compteur_4[[#This Row],[Index]]-E21,Tab_Compteur_4[[#This Row],[Quantité]])/Tab_Compteur_4[[#This Row],[Delta Jour]],"")&lt;0,"",IFERROR(IF(Str_TypeDonneesCpt4=Cpt_Index,Tab_Compteur_4[[#This Row],[Index]]-E21,Tab_Compteur_4[[#This Row],[Quantité]])/Tab_Compteur_4[[#This Row],[Delta Jour]],""))</f>
        <v/>
      </c>
      <c r="H22" s="186" t="str">
        <f>IFERROR(Tab_Compteur_4[[#This Row],[Montant]]/Tab_Compteur_4[[#This Row],[Delta Jour]],"")</f>
        <v/>
      </c>
      <c r="I22" s="208" t="str">
        <f t="shared" si="1"/>
        <v/>
      </c>
      <c r="J22" s="209"/>
      <c r="K22" s="599"/>
      <c r="L22" s="599"/>
      <c r="M22" s="599"/>
    </row>
    <row r="23" spans="1:13">
      <c r="A23" s="3">
        <f t="shared" si="2"/>
        <v>1</v>
      </c>
      <c r="B23" s="443"/>
      <c r="C23" s="442"/>
      <c r="D23" s="442"/>
      <c r="E23" s="186"/>
      <c r="F23" s="186">
        <f t="shared" si="0"/>
        <v>0</v>
      </c>
      <c r="G23" s="186" t="str">
        <f>IF(IFERROR(IF(Str_TypeDonneesCpt4=Cpt_Index,Tab_Compteur_4[[#This Row],[Index]]-E22,Tab_Compteur_4[[#This Row],[Quantité]])/Tab_Compteur_4[[#This Row],[Delta Jour]],"")&lt;0,"",IFERROR(IF(Str_TypeDonneesCpt4=Cpt_Index,Tab_Compteur_4[[#This Row],[Index]]-E22,Tab_Compteur_4[[#This Row],[Quantité]])/Tab_Compteur_4[[#This Row],[Delta Jour]],""))</f>
        <v/>
      </c>
      <c r="H23" s="186" t="str">
        <f>IFERROR(Tab_Compteur_4[[#This Row],[Montant]]/Tab_Compteur_4[[#This Row],[Delta Jour]],"")</f>
        <v/>
      </c>
      <c r="I23" s="208" t="str">
        <f t="shared" si="1"/>
        <v/>
      </c>
      <c r="J23" s="209"/>
      <c r="K23" s="599"/>
      <c r="L23" s="599"/>
      <c r="M23" s="599"/>
    </row>
    <row r="24" spans="1:13">
      <c r="A24" s="3">
        <f t="shared" si="2"/>
        <v>1</v>
      </c>
      <c r="B24" s="443"/>
      <c r="C24" s="442"/>
      <c r="D24" s="442"/>
      <c r="E24" s="186"/>
      <c r="F24" s="186">
        <f t="shared" si="0"/>
        <v>0</v>
      </c>
      <c r="G24" s="186" t="str">
        <f>IF(IFERROR(IF(Str_TypeDonneesCpt4=Cpt_Index,Tab_Compteur_4[[#This Row],[Index]]-E23,Tab_Compteur_4[[#This Row],[Quantité]])/Tab_Compteur_4[[#This Row],[Delta Jour]],"")&lt;0,"",IFERROR(IF(Str_TypeDonneesCpt4=Cpt_Index,Tab_Compteur_4[[#This Row],[Index]]-E23,Tab_Compteur_4[[#This Row],[Quantité]])/Tab_Compteur_4[[#This Row],[Delta Jour]],""))</f>
        <v/>
      </c>
      <c r="H24" s="186" t="str">
        <f>IFERROR(Tab_Compteur_4[[#This Row],[Montant]]/Tab_Compteur_4[[#This Row],[Delta Jour]],"")</f>
        <v/>
      </c>
      <c r="I24" s="208" t="str">
        <f t="shared" si="1"/>
        <v/>
      </c>
      <c r="J24" s="209"/>
      <c r="K24" s="599"/>
      <c r="L24" s="599"/>
      <c r="M24" s="599"/>
    </row>
    <row r="25" spans="1:13">
      <c r="A25" s="3">
        <f t="shared" si="2"/>
        <v>1</v>
      </c>
      <c r="B25" s="443"/>
      <c r="C25" s="442"/>
      <c r="D25" s="442"/>
      <c r="E25" s="186"/>
      <c r="F25" s="186">
        <f t="shared" si="0"/>
        <v>0</v>
      </c>
      <c r="G25" s="186" t="str">
        <f>IF(IFERROR(IF(Str_TypeDonneesCpt4=Cpt_Index,Tab_Compteur_4[[#This Row],[Index]]-E24,Tab_Compteur_4[[#This Row],[Quantité]])/Tab_Compteur_4[[#This Row],[Delta Jour]],"")&lt;0,"",IFERROR(IF(Str_TypeDonneesCpt4=Cpt_Index,Tab_Compteur_4[[#This Row],[Index]]-E24,Tab_Compteur_4[[#This Row],[Quantité]])/Tab_Compteur_4[[#This Row],[Delta Jour]],""))</f>
        <v/>
      </c>
      <c r="H25" s="186" t="str">
        <f>IFERROR(Tab_Compteur_4[[#This Row],[Montant]]/Tab_Compteur_4[[#This Row],[Delta Jour]],"")</f>
        <v/>
      </c>
      <c r="I25" s="208" t="str">
        <f t="shared" si="1"/>
        <v/>
      </c>
      <c r="J25" s="209"/>
      <c r="K25" s="599"/>
      <c r="L25" s="599"/>
      <c r="M25" s="599"/>
    </row>
    <row r="26" spans="1:13">
      <c r="A26" s="3">
        <f t="shared" si="2"/>
        <v>1</v>
      </c>
      <c r="B26" s="443"/>
      <c r="C26" s="442"/>
      <c r="D26" s="442"/>
      <c r="E26" s="186"/>
      <c r="F26" s="186">
        <f t="shared" si="0"/>
        <v>0</v>
      </c>
      <c r="G26" s="186" t="str">
        <f>IF(IFERROR(IF(Str_TypeDonneesCpt4=Cpt_Index,Tab_Compteur_4[[#This Row],[Index]]-E25,Tab_Compteur_4[[#This Row],[Quantité]])/Tab_Compteur_4[[#This Row],[Delta Jour]],"")&lt;0,"",IFERROR(IF(Str_TypeDonneesCpt4=Cpt_Index,Tab_Compteur_4[[#This Row],[Index]]-E25,Tab_Compteur_4[[#This Row],[Quantité]])/Tab_Compteur_4[[#This Row],[Delta Jour]],""))</f>
        <v/>
      </c>
      <c r="H26" s="186" t="str">
        <f>IFERROR(Tab_Compteur_4[[#This Row],[Montant]]/Tab_Compteur_4[[#This Row],[Delta Jour]],"")</f>
        <v/>
      </c>
      <c r="I26" s="208" t="str">
        <f t="shared" si="1"/>
        <v/>
      </c>
      <c r="J26" s="209"/>
      <c r="K26" s="599"/>
      <c r="L26" s="599"/>
      <c r="M26" s="599"/>
    </row>
    <row r="27" spans="1:13">
      <c r="A27" s="3">
        <f t="shared" si="2"/>
        <v>1</v>
      </c>
      <c r="B27" s="443"/>
      <c r="C27" s="442"/>
      <c r="D27" s="442"/>
      <c r="E27" s="186"/>
      <c r="F27" s="186">
        <f t="shared" si="0"/>
        <v>0</v>
      </c>
      <c r="G27" s="186" t="str">
        <f>IF(IFERROR(IF(Str_TypeDonneesCpt4=Cpt_Index,Tab_Compteur_4[[#This Row],[Index]]-E26,Tab_Compteur_4[[#This Row],[Quantité]])/Tab_Compteur_4[[#This Row],[Delta Jour]],"")&lt;0,"",IFERROR(IF(Str_TypeDonneesCpt4=Cpt_Index,Tab_Compteur_4[[#This Row],[Index]]-E26,Tab_Compteur_4[[#This Row],[Quantité]])/Tab_Compteur_4[[#This Row],[Delta Jour]],""))</f>
        <v/>
      </c>
      <c r="H27" s="186" t="str">
        <f>IFERROR(Tab_Compteur_4[[#This Row],[Montant]]/Tab_Compteur_4[[#This Row],[Delta Jour]],"")</f>
        <v/>
      </c>
      <c r="I27" s="208" t="str">
        <f t="shared" si="1"/>
        <v/>
      </c>
      <c r="J27" s="209"/>
      <c r="K27" s="599"/>
      <c r="L27" s="599"/>
      <c r="M27" s="599"/>
    </row>
    <row r="28" spans="1:13">
      <c r="A28" s="3">
        <f t="shared" si="2"/>
        <v>1</v>
      </c>
      <c r="B28" s="443"/>
      <c r="C28" s="442"/>
      <c r="D28" s="442"/>
      <c r="E28" s="186"/>
      <c r="F28" s="186">
        <f t="shared" si="0"/>
        <v>0</v>
      </c>
      <c r="G28" s="186" t="str">
        <f>IF(IFERROR(IF(Str_TypeDonneesCpt4=Cpt_Index,Tab_Compteur_4[[#This Row],[Index]]-E27,Tab_Compteur_4[[#This Row],[Quantité]])/Tab_Compteur_4[[#This Row],[Delta Jour]],"")&lt;0,"",IFERROR(IF(Str_TypeDonneesCpt4=Cpt_Index,Tab_Compteur_4[[#This Row],[Index]]-E27,Tab_Compteur_4[[#This Row],[Quantité]])/Tab_Compteur_4[[#This Row],[Delta Jour]],""))</f>
        <v/>
      </c>
      <c r="H28" s="186" t="str">
        <f>IFERROR(Tab_Compteur_4[[#This Row],[Montant]]/Tab_Compteur_4[[#This Row],[Delta Jour]],"")</f>
        <v/>
      </c>
      <c r="I28" s="208" t="str">
        <f t="shared" si="1"/>
        <v/>
      </c>
      <c r="J28" s="209"/>
      <c r="K28" s="599"/>
      <c r="L28" s="599"/>
      <c r="M28" s="599"/>
    </row>
    <row r="29" spans="1:13">
      <c r="A29" s="3">
        <f t="shared" si="2"/>
        <v>1</v>
      </c>
      <c r="B29" s="443"/>
      <c r="C29" s="442"/>
      <c r="D29" s="442"/>
      <c r="E29" s="186"/>
      <c r="F29" s="186">
        <f t="shared" si="0"/>
        <v>0</v>
      </c>
      <c r="G29" s="186" t="str">
        <f>IF(IFERROR(IF(Str_TypeDonneesCpt4=Cpt_Index,Tab_Compteur_4[[#This Row],[Index]]-E28,Tab_Compteur_4[[#This Row],[Quantité]])/Tab_Compteur_4[[#This Row],[Delta Jour]],"")&lt;0,"",IFERROR(IF(Str_TypeDonneesCpt4=Cpt_Index,Tab_Compteur_4[[#This Row],[Index]]-E28,Tab_Compteur_4[[#This Row],[Quantité]])/Tab_Compteur_4[[#This Row],[Delta Jour]],""))</f>
        <v/>
      </c>
      <c r="H29" s="186" t="str">
        <f>IFERROR(Tab_Compteur_4[[#This Row],[Montant]]/Tab_Compteur_4[[#This Row],[Delta Jour]],"")</f>
        <v/>
      </c>
      <c r="I29" s="208" t="str">
        <f t="shared" si="1"/>
        <v/>
      </c>
      <c r="J29" s="209"/>
      <c r="K29" s="599"/>
      <c r="L29" s="599"/>
      <c r="M29" s="599"/>
    </row>
    <row r="30" spans="1:13">
      <c r="A30" s="3">
        <f t="shared" si="2"/>
        <v>1</v>
      </c>
      <c r="B30" s="443"/>
      <c r="C30" s="442"/>
      <c r="D30" s="442"/>
      <c r="E30" s="186"/>
      <c r="F30" s="186">
        <f t="shared" si="0"/>
        <v>0</v>
      </c>
      <c r="G30" s="186" t="str">
        <f>IF(IFERROR(IF(Str_TypeDonneesCpt4=Cpt_Index,Tab_Compteur_4[[#This Row],[Index]]-E29,Tab_Compteur_4[[#This Row],[Quantité]])/Tab_Compteur_4[[#This Row],[Delta Jour]],"")&lt;0,"",IFERROR(IF(Str_TypeDonneesCpt4=Cpt_Index,Tab_Compteur_4[[#This Row],[Index]]-E29,Tab_Compteur_4[[#This Row],[Quantité]])/Tab_Compteur_4[[#This Row],[Delta Jour]],""))</f>
        <v/>
      </c>
      <c r="H30" s="186" t="str">
        <f>IFERROR(Tab_Compteur_4[[#This Row],[Montant]]/Tab_Compteur_4[[#This Row],[Delta Jour]],"")</f>
        <v/>
      </c>
      <c r="I30" s="208" t="str">
        <f t="shared" si="1"/>
        <v/>
      </c>
      <c r="J30" s="209"/>
      <c r="K30" s="599"/>
      <c r="L30" s="599"/>
      <c r="M30" s="599"/>
    </row>
    <row r="31" spans="1:13">
      <c r="A31" s="3">
        <f t="shared" si="2"/>
        <v>1</v>
      </c>
      <c r="B31" s="443"/>
      <c r="C31" s="442"/>
      <c r="D31" s="442"/>
      <c r="E31" s="186"/>
      <c r="F31" s="186">
        <f t="shared" si="0"/>
        <v>0</v>
      </c>
      <c r="G31" s="186" t="str">
        <f>IF(IFERROR(IF(Str_TypeDonneesCpt4=Cpt_Index,Tab_Compteur_4[[#This Row],[Index]]-E30,Tab_Compteur_4[[#This Row],[Quantité]])/Tab_Compteur_4[[#This Row],[Delta Jour]],"")&lt;0,"",IFERROR(IF(Str_TypeDonneesCpt4=Cpt_Index,Tab_Compteur_4[[#This Row],[Index]]-E30,Tab_Compteur_4[[#This Row],[Quantité]])/Tab_Compteur_4[[#This Row],[Delta Jour]],""))</f>
        <v/>
      </c>
      <c r="H31" s="186" t="str">
        <f>IFERROR(Tab_Compteur_4[[#This Row],[Montant]]/Tab_Compteur_4[[#This Row],[Delta Jour]],"")</f>
        <v/>
      </c>
      <c r="I31" s="208" t="str">
        <f t="shared" si="1"/>
        <v/>
      </c>
      <c r="J31" s="209"/>
      <c r="K31" s="599"/>
      <c r="L31" s="599"/>
      <c r="M31" s="599"/>
    </row>
    <row r="32" spans="1:13">
      <c r="A32" s="3">
        <f t="shared" si="2"/>
        <v>1</v>
      </c>
      <c r="B32" s="443"/>
      <c r="C32" s="442"/>
      <c r="D32" s="442"/>
      <c r="E32" s="186"/>
      <c r="F32" s="186">
        <f t="shared" si="0"/>
        <v>0</v>
      </c>
      <c r="G32" s="186" t="str">
        <f>IF(IFERROR(IF(Str_TypeDonneesCpt4=Cpt_Index,Tab_Compteur_4[[#This Row],[Index]]-E31,Tab_Compteur_4[[#This Row],[Quantité]])/Tab_Compteur_4[[#This Row],[Delta Jour]],"")&lt;0,"",IFERROR(IF(Str_TypeDonneesCpt4=Cpt_Index,Tab_Compteur_4[[#This Row],[Index]]-E31,Tab_Compteur_4[[#This Row],[Quantité]])/Tab_Compteur_4[[#This Row],[Delta Jour]],""))</f>
        <v/>
      </c>
      <c r="H32" s="186" t="str">
        <f>IFERROR(Tab_Compteur_4[[#This Row],[Montant]]/Tab_Compteur_4[[#This Row],[Delta Jour]],"")</f>
        <v/>
      </c>
      <c r="I32" s="208" t="str">
        <f t="shared" si="1"/>
        <v/>
      </c>
      <c r="J32" s="209"/>
      <c r="K32" s="599"/>
      <c r="L32" s="599"/>
      <c r="M32" s="599"/>
    </row>
    <row r="33" spans="1:13">
      <c r="A33" s="3">
        <f t="shared" si="2"/>
        <v>1</v>
      </c>
      <c r="B33" s="443"/>
      <c r="C33" s="442"/>
      <c r="D33" s="442"/>
      <c r="E33" s="186"/>
      <c r="F33" s="186">
        <f t="shared" si="0"/>
        <v>0</v>
      </c>
      <c r="G33" s="186" t="str">
        <f>IF(IFERROR(IF(Str_TypeDonneesCpt4=Cpt_Index,Tab_Compteur_4[[#This Row],[Index]]-E32,Tab_Compteur_4[[#This Row],[Quantité]])/Tab_Compteur_4[[#This Row],[Delta Jour]],"")&lt;0,"",IFERROR(IF(Str_TypeDonneesCpt4=Cpt_Index,Tab_Compteur_4[[#This Row],[Index]]-E32,Tab_Compteur_4[[#This Row],[Quantité]])/Tab_Compteur_4[[#This Row],[Delta Jour]],""))</f>
        <v/>
      </c>
      <c r="H33" s="186" t="str">
        <f>IFERROR(Tab_Compteur_4[[#This Row],[Montant]]/Tab_Compteur_4[[#This Row],[Delta Jour]],"")</f>
        <v/>
      </c>
      <c r="I33" s="208" t="str">
        <f t="shared" si="1"/>
        <v/>
      </c>
      <c r="J33" s="209"/>
      <c r="K33" s="599"/>
      <c r="L33" s="599"/>
      <c r="M33" s="599"/>
    </row>
    <row r="34" spans="1:13">
      <c r="A34" s="3">
        <f t="shared" si="2"/>
        <v>1</v>
      </c>
      <c r="B34" s="443"/>
      <c r="C34" s="442"/>
      <c r="D34" s="442"/>
      <c r="E34" s="186"/>
      <c r="F34" s="186">
        <f t="shared" si="0"/>
        <v>0</v>
      </c>
      <c r="G34" s="186" t="str">
        <f>IF(IFERROR(IF(Str_TypeDonneesCpt4=Cpt_Index,Tab_Compteur_4[[#This Row],[Index]]-E33,Tab_Compteur_4[[#This Row],[Quantité]])/Tab_Compteur_4[[#This Row],[Delta Jour]],"")&lt;0,"",IFERROR(IF(Str_TypeDonneesCpt4=Cpt_Index,Tab_Compteur_4[[#This Row],[Index]]-E33,Tab_Compteur_4[[#This Row],[Quantité]])/Tab_Compteur_4[[#This Row],[Delta Jour]],""))</f>
        <v/>
      </c>
      <c r="H34" s="186" t="str">
        <f>IFERROR(Tab_Compteur_4[[#This Row],[Montant]]/Tab_Compteur_4[[#This Row],[Delta Jour]],"")</f>
        <v/>
      </c>
      <c r="I34" s="208" t="str">
        <f t="shared" si="1"/>
        <v/>
      </c>
      <c r="J34" s="209"/>
      <c r="K34" s="38"/>
      <c r="L34" s="38"/>
      <c r="M34" s="38"/>
    </row>
    <row r="35" spans="1:13">
      <c r="A35" s="3">
        <f t="shared" si="2"/>
        <v>1</v>
      </c>
      <c r="B35" s="443"/>
      <c r="C35" s="442"/>
      <c r="D35" s="442"/>
      <c r="E35" s="186"/>
      <c r="F35" s="186">
        <f t="shared" si="0"/>
        <v>0</v>
      </c>
      <c r="G35" s="186" t="str">
        <f>IF(IFERROR(IF(Str_TypeDonneesCpt4=Cpt_Index,Tab_Compteur_4[[#This Row],[Index]]-E34,Tab_Compteur_4[[#This Row],[Quantité]])/Tab_Compteur_4[[#This Row],[Delta Jour]],"")&lt;0,"",IFERROR(IF(Str_TypeDonneesCpt4=Cpt_Index,Tab_Compteur_4[[#This Row],[Index]]-E34,Tab_Compteur_4[[#This Row],[Quantité]])/Tab_Compteur_4[[#This Row],[Delta Jour]],""))</f>
        <v/>
      </c>
      <c r="H35" s="186" t="str">
        <f>IFERROR(Tab_Compteur_4[[#This Row],[Montant]]/Tab_Compteur_4[[#This Row],[Delta Jour]],"")</f>
        <v/>
      </c>
      <c r="I35" s="208" t="str">
        <f t="shared" si="1"/>
        <v/>
      </c>
      <c r="J35" s="209"/>
      <c r="K35" s="38"/>
      <c r="L35" s="38"/>
      <c r="M35" s="38"/>
    </row>
    <row r="36" spans="1:13">
      <c r="A36" s="3">
        <f t="shared" si="2"/>
        <v>1</v>
      </c>
      <c r="B36" s="443"/>
      <c r="C36" s="442"/>
      <c r="D36" s="442"/>
      <c r="E36" s="186"/>
      <c r="F36" s="186">
        <f t="shared" si="0"/>
        <v>0</v>
      </c>
      <c r="G36" s="186" t="str">
        <f>IF(IFERROR(IF(Str_TypeDonneesCpt4=Cpt_Index,Tab_Compteur_4[[#This Row],[Index]]-E35,Tab_Compteur_4[[#This Row],[Quantité]])/Tab_Compteur_4[[#This Row],[Delta Jour]],"")&lt;0,"",IFERROR(IF(Str_TypeDonneesCpt4=Cpt_Index,Tab_Compteur_4[[#This Row],[Index]]-E35,Tab_Compteur_4[[#This Row],[Quantité]])/Tab_Compteur_4[[#This Row],[Delta Jour]],""))</f>
        <v/>
      </c>
      <c r="H36" s="186" t="str">
        <f>IFERROR(Tab_Compteur_4[[#This Row],[Montant]]/Tab_Compteur_4[[#This Row],[Delta Jour]],"")</f>
        <v/>
      </c>
      <c r="I36" s="208" t="str">
        <f t="shared" si="1"/>
        <v/>
      </c>
      <c r="J36" s="209"/>
      <c r="K36" s="38"/>
      <c r="L36" s="38"/>
      <c r="M36" s="38"/>
    </row>
    <row r="37" spans="1:13">
      <c r="A37" s="3">
        <f t="shared" si="2"/>
        <v>1</v>
      </c>
      <c r="B37" s="443"/>
      <c r="C37" s="442"/>
      <c r="D37" s="442"/>
      <c r="E37" s="186"/>
      <c r="F37" s="186">
        <f t="shared" si="0"/>
        <v>0</v>
      </c>
      <c r="G37" s="186" t="str">
        <f>IF(IFERROR(IF(Str_TypeDonneesCpt4=Cpt_Index,Tab_Compteur_4[[#This Row],[Index]]-E36,Tab_Compteur_4[[#This Row],[Quantité]])/Tab_Compteur_4[[#This Row],[Delta Jour]],"")&lt;0,"",IFERROR(IF(Str_TypeDonneesCpt4=Cpt_Index,Tab_Compteur_4[[#This Row],[Index]]-E36,Tab_Compteur_4[[#This Row],[Quantité]])/Tab_Compteur_4[[#This Row],[Delta Jour]],""))</f>
        <v/>
      </c>
      <c r="H37" s="186" t="str">
        <f>IFERROR(Tab_Compteur_4[[#This Row],[Montant]]/Tab_Compteur_4[[#This Row],[Delta Jour]],"")</f>
        <v/>
      </c>
      <c r="I37" s="208" t="str">
        <f t="shared" si="1"/>
        <v/>
      </c>
      <c r="J37" s="209"/>
      <c r="K37" s="38"/>
      <c r="L37" s="38"/>
      <c r="M37" s="38"/>
    </row>
    <row r="38" spans="1:13">
      <c r="A38" s="3">
        <f t="shared" si="2"/>
        <v>1</v>
      </c>
      <c r="B38" s="443"/>
      <c r="C38" s="442"/>
      <c r="D38" s="442"/>
      <c r="E38" s="186"/>
      <c r="F38" s="186">
        <f t="shared" si="0"/>
        <v>0</v>
      </c>
      <c r="G38" s="186" t="str">
        <f>IF(IFERROR(IF(Str_TypeDonneesCpt4=Cpt_Index,Tab_Compteur_4[[#This Row],[Index]]-E37,Tab_Compteur_4[[#This Row],[Quantité]])/Tab_Compteur_4[[#This Row],[Delta Jour]],"")&lt;0,"",IFERROR(IF(Str_TypeDonneesCpt4=Cpt_Index,Tab_Compteur_4[[#This Row],[Index]]-E37,Tab_Compteur_4[[#This Row],[Quantité]])/Tab_Compteur_4[[#This Row],[Delta Jour]],""))</f>
        <v/>
      </c>
      <c r="H38" s="186" t="str">
        <f>IFERROR(Tab_Compteur_4[[#This Row],[Montant]]/Tab_Compteur_4[[#This Row],[Delta Jour]],"")</f>
        <v/>
      </c>
      <c r="I38" s="208" t="str">
        <f t="shared" si="1"/>
        <v/>
      </c>
      <c r="J38" s="209"/>
      <c r="K38" s="38"/>
      <c r="L38" s="38"/>
      <c r="M38" s="38"/>
    </row>
    <row r="39" spans="1:13">
      <c r="A39" s="3">
        <f t="shared" si="2"/>
        <v>1</v>
      </c>
      <c r="B39" s="443"/>
      <c r="C39" s="442"/>
      <c r="D39" s="442"/>
      <c r="E39" s="186"/>
      <c r="F39" s="186">
        <f t="shared" si="0"/>
        <v>0</v>
      </c>
      <c r="G39" s="186" t="str">
        <f>IF(IFERROR(IF(Str_TypeDonneesCpt4=Cpt_Index,Tab_Compteur_4[[#This Row],[Index]]-E38,Tab_Compteur_4[[#This Row],[Quantité]])/Tab_Compteur_4[[#This Row],[Delta Jour]],"")&lt;0,"",IFERROR(IF(Str_TypeDonneesCpt4=Cpt_Index,Tab_Compteur_4[[#This Row],[Index]]-E38,Tab_Compteur_4[[#This Row],[Quantité]])/Tab_Compteur_4[[#This Row],[Delta Jour]],""))</f>
        <v/>
      </c>
      <c r="H39" s="186" t="str">
        <f>IFERROR(Tab_Compteur_4[[#This Row],[Montant]]/Tab_Compteur_4[[#This Row],[Delta Jour]],"")</f>
        <v/>
      </c>
      <c r="I39" s="208" t="str">
        <f t="shared" si="1"/>
        <v/>
      </c>
      <c r="J39" s="209"/>
      <c r="K39" s="38"/>
      <c r="L39" s="38"/>
      <c r="M39" s="38"/>
    </row>
    <row r="40" spans="1:13">
      <c r="A40" s="3">
        <f t="shared" si="2"/>
        <v>1</v>
      </c>
      <c r="B40" s="443"/>
      <c r="C40" s="442"/>
      <c r="D40" s="442"/>
      <c r="E40" s="186"/>
      <c r="F40" s="186">
        <f t="shared" si="0"/>
        <v>0</v>
      </c>
      <c r="G40" s="186" t="str">
        <f>IF(IFERROR(IF(Str_TypeDonneesCpt4=Cpt_Index,Tab_Compteur_4[[#This Row],[Index]]-E39,Tab_Compteur_4[[#This Row],[Quantité]])/Tab_Compteur_4[[#This Row],[Delta Jour]],"")&lt;0,"",IFERROR(IF(Str_TypeDonneesCpt4=Cpt_Index,Tab_Compteur_4[[#This Row],[Index]]-E39,Tab_Compteur_4[[#This Row],[Quantité]])/Tab_Compteur_4[[#This Row],[Delta Jour]],""))</f>
        <v/>
      </c>
      <c r="H40" s="186" t="str">
        <f>IFERROR(Tab_Compteur_4[[#This Row],[Montant]]/Tab_Compteur_4[[#This Row],[Delta Jour]],"")</f>
        <v/>
      </c>
      <c r="I40" s="208" t="str">
        <f t="shared" si="1"/>
        <v/>
      </c>
      <c r="J40" s="209"/>
      <c r="K40" s="38"/>
      <c r="L40" s="38"/>
      <c r="M40" s="38"/>
    </row>
    <row r="41" spans="1:13">
      <c r="A41" s="3">
        <f t="shared" si="2"/>
        <v>1</v>
      </c>
      <c r="B41" s="443"/>
      <c r="C41" s="442"/>
      <c r="D41" s="442"/>
      <c r="E41" s="186"/>
      <c r="F41" s="186">
        <f t="shared" si="0"/>
        <v>0</v>
      </c>
      <c r="G41" s="186" t="str">
        <f>IF(IFERROR(IF(Str_TypeDonneesCpt4=Cpt_Index,Tab_Compteur_4[[#This Row],[Index]]-E40,Tab_Compteur_4[[#This Row],[Quantité]])/Tab_Compteur_4[[#This Row],[Delta Jour]],"")&lt;0,"",IFERROR(IF(Str_TypeDonneesCpt4=Cpt_Index,Tab_Compteur_4[[#This Row],[Index]]-E40,Tab_Compteur_4[[#This Row],[Quantité]])/Tab_Compteur_4[[#This Row],[Delta Jour]],""))</f>
        <v/>
      </c>
      <c r="H41" s="186" t="str">
        <f>IFERROR(Tab_Compteur_4[[#This Row],[Montant]]/Tab_Compteur_4[[#This Row],[Delta Jour]],"")</f>
        <v/>
      </c>
      <c r="I41" s="208" t="str">
        <f t="shared" si="1"/>
        <v/>
      </c>
      <c r="J41" s="209"/>
      <c r="K41" s="38"/>
      <c r="L41" s="38"/>
      <c r="M41" s="38"/>
    </row>
    <row r="42" spans="1:13">
      <c r="A42" s="3">
        <f t="shared" si="2"/>
        <v>1</v>
      </c>
      <c r="B42" s="443"/>
      <c r="C42" s="442"/>
      <c r="D42" s="442"/>
      <c r="E42" s="186"/>
      <c r="F42" s="186">
        <f t="shared" si="0"/>
        <v>0</v>
      </c>
      <c r="G42" s="186" t="str">
        <f>IF(IFERROR(IF(Str_TypeDonneesCpt4=Cpt_Index,Tab_Compteur_4[[#This Row],[Index]]-E41,Tab_Compteur_4[[#This Row],[Quantité]])/Tab_Compteur_4[[#This Row],[Delta Jour]],"")&lt;0,"",IFERROR(IF(Str_TypeDonneesCpt4=Cpt_Index,Tab_Compteur_4[[#This Row],[Index]]-E41,Tab_Compteur_4[[#This Row],[Quantité]])/Tab_Compteur_4[[#This Row],[Delta Jour]],""))</f>
        <v/>
      </c>
      <c r="H42" s="186" t="str">
        <f>IFERROR(Tab_Compteur_4[[#This Row],[Montant]]/Tab_Compteur_4[[#This Row],[Delta Jour]],"")</f>
        <v/>
      </c>
      <c r="I42" s="208" t="str">
        <f t="shared" si="1"/>
        <v/>
      </c>
      <c r="J42" s="209"/>
      <c r="K42" s="38"/>
      <c r="L42" s="38"/>
      <c r="M42" s="38"/>
    </row>
    <row r="43" spans="1:13">
      <c r="A43" s="3">
        <f t="shared" si="2"/>
        <v>1</v>
      </c>
      <c r="B43" s="443"/>
      <c r="C43" s="442"/>
      <c r="D43" s="442"/>
      <c r="E43" s="186"/>
      <c r="F43" s="186">
        <f t="shared" si="0"/>
        <v>0</v>
      </c>
      <c r="G43" s="186" t="str">
        <f>IF(IFERROR(IF(Str_TypeDonneesCpt4=Cpt_Index,Tab_Compteur_4[[#This Row],[Index]]-E42,Tab_Compteur_4[[#This Row],[Quantité]])/Tab_Compteur_4[[#This Row],[Delta Jour]],"")&lt;0,"",IFERROR(IF(Str_TypeDonneesCpt4=Cpt_Index,Tab_Compteur_4[[#This Row],[Index]]-E42,Tab_Compteur_4[[#This Row],[Quantité]])/Tab_Compteur_4[[#This Row],[Delta Jour]],""))</f>
        <v/>
      </c>
      <c r="H43" s="186" t="str">
        <f>IFERROR(Tab_Compteur_4[[#This Row],[Montant]]/Tab_Compteur_4[[#This Row],[Delta Jour]],"")</f>
        <v/>
      </c>
      <c r="I43" s="208" t="str">
        <f t="shared" si="1"/>
        <v/>
      </c>
      <c r="J43" s="209"/>
      <c r="K43" s="38"/>
      <c r="L43" s="38"/>
      <c r="M43" s="38"/>
    </row>
    <row r="44" spans="1:13">
      <c r="A44" s="3">
        <f t="shared" si="2"/>
        <v>1</v>
      </c>
      <c r="B44" s="443"/>
      <c r="C44" s="442"/>
      <c r="D44" s="442"/>
      <c r="E44" s="186"/>
      <c r="F44" s="186">
        <f t="shared" si="0"/>
        <v>0</v>
      </c>
      <c r="G44" s="186" t="str">
        <f>IF(IFERROR(IF(Str_TypeDonneesCpt4=Cpt_Index,Tab_Compteur_4[[#This Row],[Index]]-E43,Tab_Compteur_4[[#This Row],[Quantité]])/Tab_Compteur_4[[#This Row],[Delta Jour]],"")&lt;0,"",IFERROR(IF(Str_TypeDonneesCpt4=Cpt_Index,Tab_Compteur_4[[#This Row],[Index]]-E43,Tab_Compteur_4[[#This Row],[Quantité]])/Tab_Compteur_4[[#This Row],[Delta Jour]],""))</f>
        <v/>
      </c>
      <c r="H44" s="186" t="str">
        <f>IFERROR(Tab_Compteur_4[[#This Row],[Montant]]/Tab_Compteur_4[[#This Row],[Delta Jour]],"")</f>
        <v/>
      </c>
      <c r="I44" s="208" t="str">
        <f t="shared" si="1"/>
        <v/>
      </c>
      <c r="J44" s="209"/>
      <c r="K44" s="38"/>
      <c r="L44" s="38"/>
      <c r="M44" s="38"/>
    </row>
    <row r="45" spans="1:13">
      <c r="A45" s="3">
        <f t="shared" si="2"/>
        <v>1</v>
      </c>
      <c r="B45" s="443"/>
      <c r="C45" s="442"/>
      <c r="D45" s="442"/>
      <c r="E45" s="186"/>
      <c r="F45" s="186">
        <f t="shared" si="0"/>
        <v>0</v>
      </c>
      <c r="G45" s="186" t="str">
        <f>IF(IFERROR(IF(Str_TypeDonneesCpt4=Cpt_Index,Tab_Compteur_4[[#This Row],[Index]]-E44,Tab_Compteur_4[[#This Row],[Quantité]])/Tab_Compteur_4[[#This Row],[Delta Jour]],"")&lt;0,"",IFERROR(IF(Str_TypeDonneesCpt4=Cpt_Index,Tab_Compteur_4[[#This Row],[Index]]-E44,Tab_Compteur_4[[#This Row],[Quantité]])/Tab_Compteur_4[[#This Row],[Delta Jour]],""))</f>
        <v/>
      </c>
      <c r="H45" s="186" t="str">
        <f>IFERROR(Tab_Compteur_4[[#This Row],[Montant]]/Tab_Compteur_4[[#This Row],[Delta Jour]],"")</f>
        <v/>
      </c>
      <c r="I45" s="208" t="str">
        <f t="shared" si="1"/>
        <v/>
      </c>
      <c r="J45" s="209"/>
      <c r="K45" s="38"/>
      <c r="L45" s="38"/>
      <c r="M45" s="38"/>
    </row>
    <row r="46" spans="1:13">
      <c r="A46" s="3">
        <f t="shared" si="2"/>
        <v>1</v>
      </c>
      <c r="B46" s="443"/>
      <c r="C46" s="442"/>
      <c r="D46" s="442"/>
      <c r="E46" s="186"/>
      <c r="F46" s="186">
        <f t="shared" si="0"/>
        <v>0</v>
      </c>
      <c r="G46" s="186" t="str">
        <f>IF(IFERROR(IF(Str_TypeDonneesCpt4=Cpt_Index,Tab_Compteur_4[[#This Row],[Index]]-E45,Tab_Compteur_4[[#This Row],[Quantité]])/Tab_Compteur_4[[#This Row],[Delta Jour]],"")&lt;0,"",IFERROR(IF(Str_TypeDonneesCpt4=Cpt_Index,Tab_Compteur_4[[#This Row],[Index]]-E45,Tab_Compteur_4[[#This Row],[Quantité]])/Tab_Compteur_4[[#This Row],[Delta Jour]],""))</f>
        <v/>
      </c>
      <c r="H46" s="186" t="str">
        <f>IFERROR(Tab_Compteur_4[[#This Row],[Montant]]/Tab_Compteur_4[[#This Row],[Delta Jour]],"")</f>
        <v/>
      </c>
      <c r="I46" s="208" t="str">
        <f t="shared" si="1"/>
        <v/>
      </c>
      <c r="J46" s="209"/>
      <c r="K46" s="38"/>
      <c r="L46" s="38"/>
      <c r="M46" s="38"/>
    </row>
    <row r="47" spans="1:13">
      <c r="A47" s="3">
        <f t="shared" si="2"/>
        <v>1</v>
      </c>
      <c r="B47" s="443"/>
      <c r="C47" s="442"/>
      <c r="D47" s="442"/>
      <c r="E47" s="186"/>
      <c r="F47" s="186">
        <f t="shared" si="0"/>
        <v>0</v>
      </c>
      <c r="G47" s="186" t="str">
        <f>IF(IFERROR(IF(Str_TypeDonneesCpt4=Cpt_Index,Tab_Compteur_4[[#This Row],[Index]]-E46,Tab_Compteur_4[[#This Row],[Quantité]])/Tab_Compteur_4[[#This Row],[Delta Jour]],"")&lt;0,"",IFERROR(IF(Str_TypeDonneesCpt4=Cpt_Index,Tab_Compteur_4[[#This Row],[Index]]-E46,Tab_Compteur_4[[#This Row],[Quantité]])/Tab_Compteur_4[[#This Row],[Delta Jour]],""))</f>
        <v/>
      </c>
      <c r="H47" s="186" t="str">
        <f>IFERROR(Tab_Compteur_4[[#This Row],[Montant]]/Tab_Compteur_4[[#This Row],[Delta Jour]],"")</f>
        <v/>
      </c>
      <c r="I47" s="208" t="str">
        <f t="shared" si="1"/>
        <v/>
      </c>
      <c r="J47" s="209"/>
      <c r="K47" s="38"/>
      <c r="L47" s="38"/>
      <c r="M47" s="38"/>
    </row>
    <row r="48" spans="1:13">
      <c r="A48" s="3">
        <f t="shared" si="2"/>
        <v>1</v>
      </c>
      <c r="B48" s="443"/>
      <c r="C48" s="442"/>
      <c r="D48" s="442"/>
      <c r="E48" s="186"/>
      <c r="F48" s="186">
        <f t="shared" si="0"/>
        <v>0</v>
      </c>
      <c r="G48" s="186" t="str">
        <f>IF(IFERROR(IF(Str_TypeDonneesCpt4=Cpt_Index,Tab_Compteur_4[[#This Row],[Index]]-E47,Tab_Compteur_4[[#This Row],[Quantité]])/Tab_Compteur_4[[#This Row],[Delta Jour]],"")&lt;0,"",IFERROR(IF(Str_TypeDonneesCpt4=Cpt_Index,Tab_Compteur_4[[#This Row],[Index]]-E47,Tab_Compteur_4[[#This Row],[Quantité]])/Tab_Compteur_4[[#This Row],[Delta Jour]],""))</f>
        <v/>
      </c>
      <c r="H48" s="186" t="str">
        <f>IFERROR(Tab_Compteur_4[[#This Row],[Montant]]/Tab_Compteur_4[[#This Row],[Delta Jour]],"")</f>
        <v/>
      </c>
      <c r="I48" s="208" t="str">
        <f t="shared" si="1"/>
        <v/>
      </c>
      <c r="J48" s="209"/>
      <c r="K48" s="38"/>
      <c r="L48" s="38"/>
      <c r="M48" s="38"/>
    </row>
    <row r="49" spans="1:13">
      <c r="A49" s="3">
        <f t="shared" si="2"/>
        <v>1</v>
      </c>
      <c r="B49" s="443"/>
      <c r="C49" s="442"/>
      <c r="D49" s="442"/>
      <c r="E49" s="186"/>
      <c r="F49" s="186">
        <f t="shared" si="0"/>
        <v>0</v>
      </c>
      <c r="G49" s="186" t="str">
        <f>IF(IFERROR(IF(Str_TypeDonneesCpt4=Cpt_Index,Tab_Compteur_4[[#This Row],[Index]]-E48,Tab_Compteur_4[[#This Row],[Quantité]])/Tab_Compteur_4[[#This Row],[Delta Jour]],"")&lt;0,"",IFERROR(IF(Str_TypeDonneesCpt4=Cpt_Index,Tab_Compteur_4[[#This Row],[Index]]-E48,Tab_Compteur_4[[#This Row],[Quantité]])/Tab_Compteur_4[[#This Row],[Delta Jour]],""))</f>
        <v/>
      </c>
      <c r="H49" s="186" t="str">
        <f>IFERROR(Tab_Compteur_4[[#This Row],[Montant]]/Tab_Compteur_4[[#This Row],[Delta Jour]],"")</f>
        <v/>
      </c>
      <c r="I49" s="208" t="str">
        <f t="shared" si="1"/>
        <v/>
      </c>
      <c r="J49" s="209"/>
      <c r="K49" s="38"/>
      <c r="L49" s="38"/>
      <c r="M49" s="38"/>
    </row>
    <row r="50" spans="1:13">
      <c r="A50" s="3">
        <f t="shared" si="2"/>
        <v>1</v>
      </c>
      <c r="B50" s="443"/>
      <c r="C50" s="442"/>
      <c r="D50" s="442"/>
      <c r="E50" s="186"/>
      <c r="F50" s="186">
        <f t="shared" si="0"/>
        <v>0</v>
      </c>
      <c r="G50" s="186" t="str">
        <f>IF(IFERROR(IF(Str_TypeDonneesCpt4=Cpt_Index,Tab_Compteur_4[[#This Row],[Index]]-E49,Tab_Compteur_4[[#This Row],[Quantité]])/Tab_Compteur_4[[#This Row],[Delta Jour]],"")&lt;0,"",IFERROR(IF(Str_TypeDonneesCpt4=Cpt_Index,Tab_Compteur_4[[#This Row],[Index]]-E49,Tab_Compteur_4[[#This Row],[Quantité]])/Tab_Compteur_4[[#This Row],[Delta Jour]],""))</f>
        <v/>
      </c>
      <c r="H50" s="186" t="str">
        <f>IFERROR(Tab_Compteur_4[[#This Row],[Montant]]/Tab_Compteur_4[[#This Row],[Delta Jour]],"")</f>
        <v/>
      </c>
      <c r="I50" s="208" t="str">
        <f t="shared" si="1"/>
        <v/>
      </c>
      <c r="J50" s="209"/>
      <c r="K50" s="38"/>
      <c r="L50" s="38"/>
      <c r="M50" s="38"/>
    </row>
    <row r="51" spans="1:13">
      <c r="A51" s="3">
        <f t="shared" si="2"/>
        <v>1</v>
      </c>
      <c r="B51" s="443"/>
      <c r="C51" s="442"/>
      <c r="D51" s="442"/>
      <c r="E51" s="186"/>
      <c r="F51" s="186">
        <f t="shared" si="0"/>
        <v>0</v>
      </c>
      <c r="G51" s="186" t="str">
        <f>IF(IFERROR(IF(Str_TypeDonneesCpt4=Cpt_Index,Tab_Compteur_4[[#This Row],[Index]]-E50,Tab_Compteur_4[[#This Row],[Quantité]])/Tab_Compteur_4[[#This Row],[Delta Jour]],"")&lt;0,"",IFERROR(IF(Str_TypeDonneesCpt4=Cpt_Index,Tab_Compteur_4[[#This Row],[Index]]-E50,Tab_Compteur_4[[#This Row],[Quantité]])/Tab_Compteur_4[[#This Row],[Delta Jour]],""))</f>
        <v/>
      </c>
      <c r="H51" s="186" t="str">
        <f>IFERROR(Tab_Compteur_4[[#This Row],[Montant]]/Tab_Compteur_4[[#This Row],[Delta Jour]],"")</f>
        <v/>
      </c>
      <c r="I51" s="208" t="str">
        <f t="shared" si="1"/>
        <v/>
      </c>
      <c r="J51" s="209"/>
      <c r="K51" s="38"/>
      <c r="L51" s="38"/>
      <c r="M51" s="38"/>
    </row>
    <row r="52" spans="1:13">
      <c r="A52" s="3">
        <f t="shared" si="2"/>
        <v>1</v>
      </c>
      <c r="B52" s="443"/>
      <c r="C52" s="442"/>
      <c r="D52" s="442"/>
      <c r="E52" s="186"/>
      <c r="F52" s="186">
        <f t="shared" si="0"/>
        <v>0</v>
      </c>
      <c r="G52" s="186" t="str">
        <f>IF(IFERROR(IF(Str_TypeDonneesCpt4=Cpt_Index,Tab_Compteur_4[[#This Row],[Index]]-E51,Tab_Compteur_4[[#This Row],[Quantité]])/Tab_Compteur_4[[#This Row],[Delta Jour]],"")&lt;0,"",IFERROR(IF(Str_TypeDonneesCpt4=Cpt_Index,Tab_Compteur_4[[#This Row],[Index]]-E51,Tab_Compteur_4[[#This Row],[Quantité]])/Tab_Compteur_4[[#This Row],[Delta Jour]],""))</f>
        <v/>
      </c>
      <c r="H52" s="186" t="str">
        <f>IFERROR(Tab_Compteur_4[[#This Row],[Montant]]/Tab_Compteur_4[[#This Row],[Delta Jour]],"")</f>
        <v/>
      </c>
      <c r="I52" s="208" t="str">
        <f t="shared" si="1"/>
        <v/>
      </c>
      <c r="J52" s="209"/>
      <c r="K52" s="38"/>
      <c r="L52" s="38"/>
      <c r="M52" s="38"/>
    </row>
    <row r="53" spans="1:13">
      <c r="A53" s="3">
        <f t="shared" si="2"/>
        <v>1</v>
      </c>
      <c r="B53" s="443"/>
      <c r="C53" s="442"/>
      <c r="D53" s="442"/>
      <c r="E53" s="186"/>
      <c r="F53" s="186">
        <f t="shared" si="0"/>
        <v>0</v>
      </c>
      <c r="G53" s="186" t="str">
        <f>IF(IFERROR(IF(Str_TypeDonneesCpt4=Cpt_Index,Tab_Compteur_4[[#This Row],[Index]]-E52,Tab_Compteur_4[[#This Row],[Quantité]])/Tab_Compteur_4[[#This Row],[Delta Jour]],"")&lt;0,"",IFERROR(IF(Str_TypeDonneesCpt4=Cpt_Index,Tab_Compteur_4[[#This Row],[Index]]-E52,Tab_Compteur_4[[#This Row],[Quantité]])/Tab_Compteur_4[[#This Row],[Delta Jour]],""))</f>
        <v/>
      </c>
      <c r="H53" s="186" t="str">
        <f>IFERROR(Tab_Compteur_4[[#This Row],[Montant]]/Tab_Compteur_4[[#This Row],[Delta Jour]],"")</f>
        <v/>
      </c>
      <c r="I53" s="208" t="str">
        <f t="shared" si="1"/>
        <v/>
      </c>
      <c r="J53" s="209"/>
      <c r="K53" s="38"/>
      <c r="L53" s="38"/>
      <c r="M53" s="38"/>
    </row>
    <row r="54" spans="1:13">
      <c r="A54" s="3">
        <f t="shared" si="2"/>
        <v>1</v>
      </c>
      <c r="B54" s="443"/>
      <c r="C54" s="442"/>
      <c r="D54" s="442"/>
      <c r="E54" s="186"/>
      <c r="F54" s="186">
        <f t="shared" si="0"/>
        <v>0</v>
      </c>
      <c r="G54" s="186" t="str">
        <f>IF(IFERROR(IF(Str_TypeDonneesCpt4=Cpt_Index,Tab_Compteur_4[[#This Row],[Index]]-E53,Tab_Compteur_4[[#This Row],[Quantité]])/Tab_Compteur_4[[#This Row],[Delta Jour]],"")&lt;0,"",IFERROR(IF(Str_TypeDonneesCpt4=Cpt_Index,Tab_Compteur_4[[#This Row],[Index]]-E53,Tab_Compteur_4[[#This Row],[Quantité]])/Tab_Compteur_4[[#This Row],[Delta Jour]],""))</f>
        <v/>
      </c>
      <c r="H54" s="186" t="str">
        <f>IFERROR(Tab_Compteur_4[[#This Row],[Montant]]/Tab_Compteur_4[[#This Row],[Delta Jour]],"")</f>
        <v/>
      </c>
      <c r="I54" s="208" t="str">
        <f t="shared" si="1"/>
        <v/>
      </c>
      <c r="J54" s="209"/>
      <c r="K54" s="38"/>
      <c r="L54" s="38"/>
      <c r="M54" s="38"/>
    </row>
    <row r="55" spans="1:13">
      <c r="A55" s="3">
        <f t="shared" si="2"/>
        <v>1</v>
      </c>
      <c r="B55" s="443"/>
      <c r="C55" s="442"/>
      <c r="D55" s="442"/>
      <c r="E55" s="186"/>
      <c r="F55" s="186">
        <f t="shared" si="0"/>
        <v>0</v>
      </c>
      <c r="G55" s="186" t="str">
        <f>IF(IFERROR(IF(Str_TypeDonneesCpt4=Cpt_Index,Tab_Compteur_4[[#This Row],[Index]]-E54,Tab_Compteur_4[[#This Row],[Quantité]])/Tab_Compteur_4[[#This Row],[Delta Jour]],"")&lt;0,"",IFERROR(IF(Str_TypeDonneesCpt4=Cpt_Index,Tab_Compteur_4[[#This Row],[Index]]-E54,Tab_Compteur_4[[#This Row],[Quantité]])/Tab_Compteur_4[[#This Row],[Delta Jour]],""))</f>
        <v/>
      </c>
      <c r="H55" s="186" t="str">
        <f>IFERROR(Tab_Compteur_4[[#This Row],[Montant]]/Tab_Compteur_4[[#This Row],[Delta Jour]],"")</f>
        <v/>
      </c>
      <c r="I55" s="208" t="str">
        <f t="shared" si="1"/>
        <v/>
      </c>
      <c r="J55" s="209"/>
      <c r="K55" s="38"/>
      <c r="L55" s="38"/>
      <c r="M55" s="38"/>
    </row>
    <row r="56" spans="1:13">
      <c r="A56" s="3">
        <f t="shared" si="2"/>
        <v>1</v>
      </c>
      <c r="B56" s="443"/>
      <c r="C56" s="442"/>
      <c r="D56" s="442"/>
      <c r="E56" s="186"/>
      <c r="F56" s="186">
        <f t="shared" si="0"/>
        <v>0</v>
      </c>
      <c r="G56" s="186" t="str">
        <f>IF(IFERROR(IF(Str_TypeDonneesCpt4=Cpt_Index,Tab_Compteur_4[[#This Row],[Index]]-E55,Tab_Compteur_4[[#This Row],[Quantité]])/Tab_Compteur_4[[#This Row],[Delta Jour]],"")&lt;0,"",IFERROR(IF(Str_TypeDonneesCpt4=Cpt_Index,Tab_Compteur_4[[#This Row],[Index]]-E55,Tab_Compteur_4[[#This Row],[Quantité]])/Tab_Compteur_4[[#This Row],[Delta Jour]],""))</f>
        <v/>
      </c>
      <c r="H56" s="186" t="str">
        <f>IFERROR(Tab_Compteur_4[[#This Row],[Montant]]/Tab_Compteur_4[[#This Row],[Delta Jour]],"")</f>
        <v/>
      </c>
      <c r="I56" s="208" t="str">
        <f t="shared" si="1"/>
        <v/>
      </c>
      <c r="J56" s="209"/>
      <c r="K56" s="38"/>
      <c r="L56" s="38"/>
      <c r="M56" s="38"/>
    </row>
    <row r="57" spans="1:13">
      <c r="A57" s="3">
        <f t="shared" si="2"/>
        <v>1</v>
      </c>
      <c r="B57" s="443"/>
      <c r="C57" s="442"/>
      <c r="D57" s="442"/>
      <c r="E57" s="186"/>
      <c r="F57" s="186">
        <f t="shared" si="0"/>
        <v>0</v>
      </c>
      <c r="G57" s="186" t="str">
        <f>IF(IFERROR(IF(Str_TypeDonneesCpt4=Cpt_Index,Tab_Compteur_4[[#This Row],[Index]]-E56,Tab_Compteur_4[[#This Row],[Quantité]])/Tab_Compteur_4[[#This Row],[Delta Jour]],"")&lt;0,"",IFERROR(IF(Str_TypeDonneesCpt4=Cpt_Index,Tab_Compteur_4[[#This Row],[Index]]-E56,Tab_Compteur_4[[#This Row],[Quantité]])/Tab_Compteur_4[[#This Row],[Delta Jour]],""))</f>
        <v/>
      </c>
      <c r="H57" s="186" t="str">
        <f>IFERROR(Tab_Compteur_4[[#This Row],[Montant]]/Tab_Compteur_4[[#This Row],[Delta Jour]],"")</f>
        <v/>
      </c>
      <c r="I57" s="208" t="str">
        <f t="shared" si="1"/>
        <v/>
      </c>
      <c r="J57" s="209"/>
      <c r="K57" s="38"/>
      <c r="L57" s="38"/>
      <c r="M57" s="38"/>
    </row>
    <row r="58" spans="1:13">
      <c r="A58" s="3">
        <f t="shared" si="2"/>
        <v>1</v>
      </c>
      <c r="B58" s="87"/>
      <c r="C58" s="192"/>
      <c r="D58" s="193"/>
      <c r="E58" s="186"/>
      <c r="F58" s="186">
        <f t="shared" si="0"/>
        <v>0</v>
      </c>
      <c r="G58" s="186" t="str">
        <f>IF(IFERROR(IF(Str_TypeDonneesCpt4=Cpt_Index,Tab_Compteur_4[[#This Row],[Index]]-E57,Tab_Compteur_4[[#This Row],[Quantité]])/Tab_Compteur_4[[#This Row],[Delta Jour]],"")&lt;0,"",IFERROR(IF(Str_TypeDonneesCpt4=Cpt_Index,Tab_Compteur_4[[#This Row],[Index]]-E57,Tab_Compteur_4[[#This Row],[Quantité]])/Tab_Compteur_4[[#This Row],[Delta Jour]],""))</f>
        <v/>
      </c>
      <c r="H58" s="186" t="str">
        <f>IFERROR(Tab_Compteur_4[[#This Row],[Montant]]/Tab_Compteur_4[[#This Row],[Delta Jour]],"")</f>
        <v/>
      </c>
      <c r="I58" s="208" t="str">
        <f t="shared" si="1"/>
        <v/>
      </c>
      <c r="J58" s="209"/>
      <c r="K58" s="38"/>
      <c r="L58" s="38"/>
      <c r="M58" s="38"/>
    </row>
    <row r="59" spans="1:13">
      <c r="A59" s="3">
        <f t="shared" si="2"/>
        <v>1</v>
      </c>
      <c r="B59" s="87"/>
      <c r="C59" s="192"/>
      <c r="D59" s="193"/>
      <c r="E59" s="186"/>
      <c r="F59" s="186">
        <f t="shared" si="0"/>
        <v>0</v>
      </c>
      <c r="G59" s="186" t="str">
        <f>IF(IFERROR(IF(Str_TypeDonneesCpt4=Cpt_Index,Tab_Compteur_4[[#This Row],[Index]]-E58,Tab_Compteur_4[[#This Row],[Quantité]])/Tab_Compteur_4[[#This Row],[Delta Jour]],"")&lt;0,"",IFERROR(IF(Str_TypeDonneesCpt4=Cpt_Index,Tab_Compteur_4[[#This Row],[Index]]-E58,Tab_Compteur_4[[#This Row],[Quantité]])/Tab_Compteur_4[[#This Row],[Delta Jour]],""))</f>
        <v/>
      </c>
      <c r="H59" s="186" t="str">
        <f>IFERROR(Tab_Compteur_4[[#This Row],[Montant]]/Tab_Compteur_4[[#This Row],[Delta Jour]],"")</f>
        <v/>
      </c>
      <c r="I59" s="208" t="str">
        <f t="shared" si="1"/>
        <v/>
      </c>
      <c r="J59" s="209"/>
      <c r="K59" s="38"/>
      <c r="L59" s="38"/>
      <c r="M59" s="38"/>
    </row>
    <row r="60" spans="1:13">
      <c r="A60" s="3">
        <f t="shared" si="2"/>
        <v>1</v>
      </c>
      <c r="B60" s="87"/>
      <c r="C60" s="189"/>
      <c r="D60" s="188"/>
      <c r="E60" s="186"/>
      <c r="F60" s="186">
        <f t="shared" si="0"/>
        <v>0</v>
      </c>
      <c r="G60" s="186" t="str">
        <f>IF(IFERROR(IF(Str_TypeDonneesCpt4=Cpt_Index,Tab_Compteur_4[[#This Row],[Index]]-E59,Tab_Compteur_4[[#This Row],[Quantité]])/Tab_Compteur_4[[#This Row],[Delta Jour]],"")&lt;0,"",IFERROR(IF(Str_TypeDonneesCpt4=Cpt_Index,Tab_Compteur_4[[#This Row],[Index]]-E59,Tab_Compteur_4[[#This Row],[Quantité]])/Tab_Compteur_4[[#This Row],[Delta Jour]],""))</f>
        <v/>
      </c>
      <c r="H60" s="186" t="str">
        <f>IFERROR(Tab_Compteur_4[[#This Row],[Montant]]/Tab_Compteur_4[[#This Row],[Delta Jour]],"")</f>
        <v/>
      </c>
      <c r="I60" s="208" t="str">
        <f t="shared" si="1"/>
        <v/>
      </c>
      <c r="J60" s="209"/>
      <c r="K60" s="38"/>
      <c r="L60" s="38"/>
      <c r="M60" s="38"/>
    </row>
    <row r="61" spans="1:13">
      <c r="A61" s="3">
        <f t="shared" si="2"/>
        <v>1</v>
      </c>
      <c r="B61" s="87"/>
      <c r="C61" s="189"/>
      <c r="D61" s="188"/>
      <c r="E61" s="186"/>
      <c r="F61" s="186">
        <f t="shared" si="0"/>
        <v>0</v>
      </c>
      <c r="G61" s="186" t="str">
        <f>IF(IFERROR(IF(Str_TypeDonneesCpt4=Cpt_Index,Tab_Compteur_4[[#This Row],[Index]]-E60,Tab_Compteur_4[[#This Row],[Quantité]])/Tab_Compteur_4[[#This Row],[Delta Jour]],"")&lt;0,"",IFERROR(IF(Str_TypeDonneesCpt4=Cpt_Index,Tab_Compteur_4[[#This Row],[Index]]-E60,Tab_Compteur_4[[#This Row],[Quantité]])/Tab_Compteur_4[[#This Row],[Delta Jour]],""))</f>
        <v/>
      </c>
      <c r="H61" s="186" t="str">
        <f>IFERROR(Tab_Compteur_4[[#This Row],[Montant]]/Tab_Compteur_4[[#This Row],[Delta Jour]],"")</f>
        <v/>
      </c>
      <c r="I61" s="208" t="str">
        <f t="shared" si="1"/>
        <v/>
      </c>
      <c r="J61" s="209"/>
      <c r="K61" s="38"/>
      <c r="L61" s="38"/>
      <c r="M61" s="38"/>
    </row>
    <row r="62" spans="1:13">
      <c r="A62" s="3">
        <f t="shared" si="2"/>
        <v>1</v>
      </c>
      <c r="B62" s="87"/>
      <c r="C62" s="189"/>
      <c r="D62" s="188"/>
      <c r="E62" s="186"/>
      <c r="F62" s="186">
        <f t="shared" si="0"/>
        <v>0</v>
      </c>
      <c r="G62" s="186" t="str">
        <f>IF(IFERROR(IF(Str_TypeDonneesCpt4=Cpt_Index,Tab_Compteur_4[[#This Row],[Index]]-E61,Tab_Compteur_4[[#This Row],[Quantité]])/Tab_Compteur_4[[#This Row],[Delta Jour]],"")&lt;0,"",IFERROR(IF(Str_TypeDonneesCpt4=Cpt_Index,Tab_Compteur_4[[#This Row],[Index]]-E61,Tab_Compteur_4[[#This Row],[Quantité]])/Tab_Compteur_4[[#This Row],[Delta Jour]],""))</f>
        <v/>
      </c>
      <c r="H62" s="186" t="str">
        <f>IFERROR(Tab_Compteur_4[[#This Row],[Montant]]/Tab_Compteur_4[[#This Row],[Delta Jour]],"")</f>
        <v/>
      </c>
      <c r="I62" s="208" t="str">
        <f t="shared" si="1"/>
        <v/>
      </c>
      <c r="J62" s="209"/>
      <c r="K62" s="38"/>
      <c r="L62" s="38"/>
      <c r="M62" s="38"/>
    </row>
    <row r="63" spans="1:13">
      <c r="A63" s="3">
        <f t="shared" si="2"/>
        <v>1</v>
      </c>
      <c r="B63" s="87"/>
      <c r="C63" s="189"/>
      <c r="D63" s="188"/>
      <c r="E63" s="186"/>
      <c r="F63" s="186">
        <f t="shared" si="0"/>
        <v>0</v>
      </c>
      <c r="G63" s="186" t="str">
        <f>IF(IFERROR(IF(Str_TypeDonneesCpt4=Cpt_Index,Tab_Compteur_4[[#This Row],[Index]]-E62,Tab_Compteur_4[[#This Row],[Quantité]])/Tab_Compteur_4[[#This Row],[Delta Jour]],"")&lt;0,"",IFERROR(IF(Str_TypeDonneesCpt4=Cpt_Index,Tab_Compteur_4[[#This Row],[Index]]-E62,Tab_Compteur_4[[#This Row],[Quantité]])/Tab_Compteur_4[[#This Row],[Delta Jour]],""))</f>
        <v/>
      </c>
      <c r="H63" s="186" t="str">
        <f>IFERROR(Tab_Compteur_4[[#This Row],[Montant]]/Tab_Compteur_4[[#This Row],[Delta Jour]],"")</f>
        <v/>
      </c>
      <c r="I63" s="208" t="str">
        <f t="shared" si="1"/>
        <v/>
      </c>
      <c r="J63" s="209"/>
      <c r="K63" s="38"/>
      <c r="L63" s="38"/>
      <c r="M63" s="38"/>
    </row>
    <row r="64" spans="1:13">
      <c r="A64" s="3">
        <f t="shared" si="2"/>
        <v>1</v>
      </c>
      <c r="B64" s="87"/>
      <c r="C64" s="189"/>
      <c r="D64" s="188"/>
      <c r="E64" s="186"/>
      <c r="F64" s="186">
        <f t="shared" si="0"/>
        <v>0</v>
      </c>
      <c r="G64" s="186" t="str">
        <f>IF(IFERROR(IF(Str_TypeDonneesCpt4=Cpt_Index,Tab_Compteur_4[[#This Row],[Index]]-E63,Tab_Compteur_4[[#This Row],[Quantité]])/Tab_Compteur_4[[#This Row],[Delta Jour]],"")&lt;0,"",IFERROR(IF(Str_TypeDonneesCpt4=Cpt_Index,Tab_Compteur_4[[#This Row],[Index]]-E63,Tab_Compteur_4[[#This Row],[Quantité]])/Tab_Compteur_4[[#This Row],[Delta Jour]],""))</f>
        <v/>
      </c>
      <c r="H64" s="186" t="str">
        <f>IFERROR(Tab_Compteur_4[[#This Row],[Montant]]/Tab_Compteur_4[[#This Row],[Delta Jour]],"")</f>
        <v/>
      </c>
      <c r="I64" s="208" t="str">
        <f t="shared" si="1"/>
        <v/>
      </c>
      <c r="J64" s="209"/>
      <c r="K64" s="38"/>
      <c r="L64" s="38"/>
      <c r="M64" s="38"/>
    </row>
    <row r="65" spans="1:13">
      <c r="A65" s="3">
        <f t="shared" si="2"/>
        <v>1</v>
      </c>
      <c r="B65" s="87"/>
      <c r="C65" s="189"/>
      <c r="D65" s="188"/>
      <c r="E65" s="186"/>
      <c r="F65" s="186">
        <f t="shared" si="0"/>
        <v>0</v>
      </c>
      <c r="G65" s="186" t="str">
        <f>IF(IFERROR(IF(Str_TypeDonneesCpt4=Cpt_Index,Tab_Compteur_4[[#This Row],[Index]]-E64,Tab_Compteur_4[[#This Row],[Quantité]])/Tab_Compteur_4[[#This Row],[Delta Jour]],"")&lt;0,"",IFERROR(IF(Str_TypeDonneesCpt4=Cpt_Index,Tab_Compteur_4[[#This Row],[Index]]-E64,Tab_Compteur_4[[#This Row],[Quantité]])/Tab_Compteur_4[[#This Row],[Delta Jour]],""))</f>
        <v/>
      </c>
      <c r="H65" s="186" t="str">
        <f>IFERROR(Tab_Compteur_4[[#This Row],[Montant]]/Tab_Compteur_4[[#This Row],[Delta Jour]],"")</f>
        <v/>
      </c>
      <c r="I65" s="208" t="str">
        <f t="shared" si="1"/>
        <v/>
      </c>
      <c r="J65" s="209"/>
      <c r="K65" s="38"/>
      <c r="L65" s="38"/>
      <c r="M65" s="38"/>
    </row>
    <row r="66" spans="1:13">
      <c r="A66" s="3">
        <f t="shared" si="2"/>
        <v>1</v>
      </c>
      <c r="B66" s="87"/>
      <c r="C66" s="189"/>
      <c r="D66" s="188"/>
      <c r="E66" s="186"/>
      <c r="F66" s="186">
        <f t="shared" si="0"/>
        <v>0</v>
      </c>
      <c r="G66" s="186" t="str">
        <f>IF(IFERROR(IF(Str_TypeDonneesCpt4=Cpt_Index,Tab_Compteur_4[[#This Row],[Index]]-E65,Tab_Compteur_4[[#This Row],[Quantité]])/Tab_Compteur_4[[#This Row],[Delta Jour]],"")&lt;0,"",IFERROR(IF(Str_TypeDonneesCpt4=Cpt_Index,Tab_Compteur_4[[#This Row],[Index]]-E65,Tab_Compteur_4[[#This Row],[Quantité]])/Tab_Compteur_4[[#This Row],[Delta Jour]],""))</f>
        <v/>
      </c>
      <c r="H66" s="186" t="str">
        <f>IFERROR(Tab_Compteur_4[[#This Row],[Montant]]/Tab_Compteur_4[[#This Row],[Delta Jour]],"")</f>
        <v/>
      </c>
      <c r="I66" s="208" t="str">
        <f t="shared" si="1"/>
        <v/>
      </c>
      <c r="J66" s="209"/>
      <c r="K66" s="38"/>
      <c r="L66" s="38"/>
      <c r="M66" s="38"/>
    </row>
    <row r="67" spans="1:13">
      <c r="A67" s="3">
        <f t="shared" si="2"/>
        <v>1</v>
      </c>
      <c r="B67" s="87"/>
      <c r="C67" s="189"/>
      <c r="D67" s="188"/>
      <c r="E67" s="186"/>
      <c r="F67" s="186">
        <f t="shared" ref="F67:F130" si="3">IFERROR(B67-A67+1,"")</f>
        <v>0</v>
      </c>
      <c r="G67" s="186" t="str">
        <f>IF(IFERROR(IF(Str_TypeDonneesCpt4=Cpt_Index,Tab_Compteur_4[[#This Row],[Index]]-E66,Tab_Compteur_4[[#This Row],[Quantité]])/Tab_Compteur_4[[#This Row],[Delta Jour]],"")&lt;0,"",IFERROR(IF(Str_TypeDonneesCpt4=Cpt_Index,Tab_Compteur_4[[#This Row],[Index]]-E66,Tab_Compteur_4[[#This Row],[Quantité]])/Tab_Compteur_4[[#This Row],[Delta Jour]],""))</f>
        <v/>
      </c>
      <c r="H67" s="186" t="str">
        <f>IFERROR(Tab_Compteur_4[[#This Row],[Montant]]/Tab_Compteur_4[[#This Row],[Delta Jour]],"")</f>
        <v/>
      </c>
      <c r="I67" s="208" t="str">
        <f t="shared" ref="I67:I130" si="4">G67</f>
        <v/>
      </c>
      <c r="J67" s="209"/>
      <c r="K67" s="38"/>
      <c r="L67" s="38"/>
      <c r="M67" s="38"/>
    </row>
    <row r="68" spans="1:13">
      <c r="A68" s="3">
        <f t="shared" si="2"/>
        <v>1</v>
      </c>
      <c r="B68" s="87"/>
      <c r="C68" s="189"/>
      <c r="D68" s="188"/>
      <c r="E68" s="186"/>
      <c r="F68" s="186">
        <f t="shared" si="3"/>
        <v>0</v>
      </c>
      <c r="G68" s="186" t="str">
        <f>IF(IFERROR(IF(Str_TypeDonneesCpt4=Cpt_Index,Tab_Compteur_4[[#This Row],[Index]]-E67,Tab_Compteur_4[[#This Row],[Quantité]])/Tab_Compteur_4[[#This Row],[Delta Jour]],"")&lt;0,"",IFERROR(IF(Str_TypeDonneesCpt4=Cpt_Index,Tab_Compteur_4[[#This Row],[Index]]-E67,Tab_Compteur_4[[#This Row],[Quantité]])/Tab_Compteur_4[[#This Row],[Delta Jour]],""))</f>
        <v/>
      </c>
      <c r="H68" s="186" t="str">
        <f>IFERROR(Tab_Compteur_4[[#This Row],[Montant]]/Tab_Compteur_4[[#This Row],[Delta Jour]],"")</f>
        <v/>
      </c>
      <c r="I68" s="208" t="str">
        <f t="shared" si="4"/>
        <v/>
      </c>
      <c r="J68" s="209"/>
      <c r="K68" s="38"/>
      <c r="L68" s="38"/>
      <c r="M68" s="38"/>
    </row>
    <row r="69" spans="1:13">
      <c r="A69" s="3">
        <f t="shared" si="2"/>
        <v>1</v>
      </c>
      <c r="B69" s="87"/>
      <c r="C69" s="189"/>
      <c r="D69" s="188"/>
      <c r="E69" s="186"/>
      <c r="F69" s="186">
        <f t="shared" si="3"/>
        <v>0</v>
      </c>
      <c r="G69" s="186" t="str">
        <f>IF(IFERROR(IF(Str_TypeDonneesCpt4=Cpt_Index,Tab_Compteur_4[[#This Row],[Index]]-E68,Tab_Compteur_4[[#This Row],[Quantité]])/Tab_Compteur_4[[#This Row],[Delta Jour]],"")&lt;0,"",IFERROR(IF(Str_TypeDonneesCpt4=Cpt_Index,Tab_Compteur_4[[#This Row],[Index]]-E68,Tab_Compteur_4[[#This Row],[Quantité]])/Tab_Compteur_4[[#This Row],[Delta Jour]],""))</f>
        <v/>
      </c>
      <c r="H69" s="186" t="str">
        <f>IFERROR(Tab_Compteur_4[[#This Row],[Montant]]/Tab_Compteur_4[[#This Row],[Delta Jour]],"")</f>
        <v/>
      </c>
      <c r="I69" s="208" t="str">
        <f t="shared" si="4"/>
        <v/>
      </c>
      <c r="J69" s="209"/>
      <c r="K69" s="38"/>
      <c r="L69" s="38"/>
      <c r="M69" s="38"/>
    </row>
    <row r="70" spans="1:13">
      <c r="A70" s="3">
        <f t="shared" ref="A70:A133" si="5">IFERROR(B69+1,0)</f>
        <v>1</v>
      </c>
      <c r="B70" s="87"/>
      <c r="C70" s="189"/>
      <c r="D70" s="188"/>
      <c r="E70" s="186"/>
      <c r="F70" s="186">
        <f t="shared" si="3"/>
        <v>0</v>
      </c>
      <c r="G70" s="186" t="str">
        <f>IF(IFERROR(IF(Str_TypeDonneesCpt4=Cpt_Index,Tab_Compteur_4[[#This Row],[Index]]-E69,Tab_Compteur_4[[#This Row],[Quantité]])/Tab_Compteur_4[[#This Row],[Delta Jour]],"")&lt;0,"",IFERROR(IF(Str_TypeDonneesCpt4=Cpt_Index,Tab_Compteur_4[[#This Row],[Index]]-E69,Tab_Compteur_4[[#This Row],[Quantité]])/Tab_Compteur_4[[#This Row],[Delta Jour]],""))</f>
        <v/>
      </c>
      <c r="H70" s="186" t="str">
        <f>IFERROR(Tab_Compteur_4[[#This Row],[Montant]]/Tab_Compteur_4[[#This Row],[Delta Jour]],"")</f>
        <v/>
      </c>
      <c r="I70" s="208" t="str">
        <f t="shared" si="4"/>
        <v/>
      </c>
      <c r="J70" s="209"/>
      <c r="K70" s="38"/>
      <c r="L70" s="38"/>
      <c r="M70" s="38"/>
    </row>
    <row r="71" spans="1:13">
      <c r="A71" s="3">
        <f t="shared" si="5"/>
        <v>1</v>
      </c>
      <c r="B71" s="87"/>
      <c r="C71" s="189"/>
      <c r="D71" s="188"/>
      <c r="E71" s="186"/>
      <c r="F71" s="186">
        <f t="shared" si="3"/>
        <v>0</v>
      </c>
      <c r="G71" s="186" t="str">
        <f>IF(IFERROR(IF(Str_TypeDonneesCpt4=Cpt_Index,Tab_Compteur_4[[#This Row],[Index]]-E70,Tab_Compteur_4[[#This Row],[Quantité]])/Tab_Compteur_4[[#This Row],[Delta Jour]],"")&lt;0,"",IFERROR(IF(Str_TypeDonneesCpt4=Cpt_Index,Tab_Compteur_4[[#This Row],[Index]]-E70,Tab_Compteur_4[[#This Row],[Quantité]])/Tab_Compteur_4[[#This Row],[Delta Jour]],""))</f>
        <v/>
      </c>
      <c r="H71" s="186" t="str">
        <f>IFERROR(Tab_Compteur_4[[#This Row],[Montant]]/Tab_Compteur_4[[#This Row],[Delta Jour]],"")</f>
        <v/>
      </c>
      <c r="I71" s="208" t="str">
        <f t="shared" si="4"/>
        <v/>
      </c>
      <c r="J71" s="209"/>
      <c r="K71" s="38"/>
      <c r="L71" s="38"/>
      <c r="M71" s="38"/>
    </row>
    <row r="72" spans="1:13">
      <c r="A72" s="3">
        <f t="shared" si="5"/>
        <v>1</v>
      </c>
      <c r="B72" s="87"/>
      <c r="C72" s="189"/>
      <c r="D72" s="188"/>
      <c r="E72" s="186"/>
      <c r="F72" s="186">
        <f t="shared" si="3"/>
        <v>0</v>
      </c>
      <c r="G72" s="186" t="str">
        <f>IF(IFERROR(IF(Str_TypeDonneesCpt4=Cpt_Index,Tab_Compteur_4[[#This Row],[Index]]-E71,Tab_Compteur_4[[#This Row],[Quantité]])/Tab_Compteur_4[[#This Row],[Delta Jour]],"")&lt;0,"",IFERROR(IF(Str_TypeDonneesCpt4=Cpt_Index,Tab_Compteur_4[[#This Row],[Index]]-E71,Tab_Compteur_4[[#This Row],[Quantité]])/Tab_Compteur_4[[#This Row],[Delta Jour]],""))</f>
        <v/>
      </c>
      <c r="H72" s="186" t="str">
        <f>IFERROR(Tab_Compteur_4[[#This Row],[Montant]]/Tab_Compteur_4[[#This Row],[Delta Jour]],"")</f>
        <v/>
      </c>
      <c r="I72" s="208" t="str">
        <f t="shared" si="4"/>
        <v/>
      </c>
      <c r="J72" s="209"/>
      <c r="K72" s="38"/>
      <c r="L72" s="38"/>
      <c r="M72" s="38"/>
    </row>
    <row r="73" spans="1:13">
      <c r="A73" s="3">
        <f t="shared" si="5"/>
        <v>1</v>
      </c>
      <c r="B73" s="87"/>
      <c r="C73" s="189"/>
      <c r="D73" s="188"/>
      <c r="E73" s="186"/>
      <c r="F73" s="186">
        <f t="shared" si="3"/>
        <v>0</v>
      </c>
      <c r="G73" s="186" t="str">
        <f>IF(IFERROR(IF(Str_TypeDonneesCpt4=Cpt_Index,Tab_Compteur_4[[#This Row],[Index]]-E72,Tab_Compteur_4[[#This Row],[Quantité]])/Tab_Compteur_4[[#This Row],[Delta Jour]],"")&lt;0,"",IFERROR(IF(Str_TypeDonneesCpt4=Cpt_Index,Tab_Compteur_4[[#This Row],[Index]]-E72,Tab_Compteur_4[[#This Row],[Quantité]])/Tab_Compteur_4[[#This Row],[Delta Jour]],""))</f>
        <v/>
      </c>
      <c r="H73" s="186" t="str">
        <f>IFERROR(Tab_Compteur_4[[#This Row],[Montant]]/Tab_Compteur_4[[#This Row],[Delta Jour]],"")</f>
        <v/>
      </c>
      <c r="I73" s="208" t="str">
        <f t="shared" si="4"/>
        <v/>
      </c>
      <c r="J73" s="209"/>
      <c r="K73" s="38"/>
      <c r="L73" s="38"/>
      <c r="M73" s="38"/>
    </row>
    <row r="74" spans="1:13">
      <c r="A74" s="3">
        <f t="shared" si="5"/>
        <v>1</v>
      </c>
      <c r="B74" s="87"/>
      <c r="C74" s="189"/>
      <c r="D74" s="188"/>
      <c r="E74" s="186"/>
      <c r="F74" s="186">
        <f t="shared" si="3"/>
        <v>0</v>
      </c>
      <c r="G74" s="186" t="str">
        <f>IF(IFERROR(IF(Str_TypeDonneesCpt4=Cpt_Index,Tab_Compteur_4[[#This Row],[Index]]-E73,Tab_Compteur_4[[#This Row],[Quantité]])/Tab_Compteur_4[[#This Row],[Delta Jour]],"")&lt;0,"",IFERROR(IF(Str_TypeDonneesCpt4=Cpt_Index,Tab_Compteur_4[[#This Row],[Index]]-E73,Tab_Compteur_4[[#This Row],[Quantité]])/Tab_Compteur_4[[#This Row],[Delta Jour]],""))</f>
        <v/>
      </c>
      <c r="H74" s="186" t="str">
        <f>IFERROR(Tab_Compteur_4[[#This Row],[Montant]]/Tab_Compteur_4[[#This Row],[Delta Jour]],"")</f>
        <v/>
      </c>
      <c r="I74" s="208" t="str">
        <f t="shared" si="4"/>
        <v/>
      </c>
      <c r="J74" s="209"/>
      <c r="K74" s="38"/>
      <c r="L74" s="38"/>
      <c r="M74" s="38"/>
    </row>
    <row r="75" spans="1:13">
      <c r="A75" s="3">
        <f t="shared" si="5"/>
        <v>1</v>
      </c>
      <c r="B75" s="87"/>
      <c r="C75" s="189"/>
      <c r="D75" s="188"/>
      <c r="E75" s="186"/>
      <c r="F75" s="186">
        <f t="shared" si="3"/>
        <v>0</v>
      </c>
      <c r="G75" s="186" t="str">
        <f>IF(IFERROR(IF(Str_TypeDonneesCpt4=Cpt_Index,Tab_Compteur_4[[#This Row],[Index]]-E74,Tab_Compteur_4[[#This Row],[Quantité]])/Tab_Compteur_4[[#This Row],[Delta Jour]],"")&lt;0,"",IFERROR(IF(Str_TypeDonneesCpt4=Cpt_Index,Tab_Compteur_4[[#This Row],[Index]]-E74,Tab_Compteur_4[[#This Row],[Quantité]])/Tab_Compteur_4[[#This Row],[Delta Jour]],""))</f>
        <v/>
      </c>
      <c r="H75" s="186" t="str">
        <f>IFERROR(Tab_Compteur_4[[#This Row],[Montant]]/Tab_Compteur_4[[#This Row],[Delta Jour]],"")</f>
        <v/>
      </c>
      <c r="I75" s="208" t="str">
        <f t="shared" si="4"/>
        <v/>
      </c>
      <c r="J75" s="209"/>
      <c r="K75" s="38"/>
      <c r="L75" s="38"/>
      <c r="M75" s="38"/>
    </row>
    <row r="76" spans="1:13">
      <c r="A76" s="3">
        <f t="shared" si="5"/>
        <v>1</v>
      </c>
      <c r="B76" s="87"/>
      <c r="C76" s="189"/>
      <c r="D76" s="188"/>
      <c r="E76" s="186"/>
      <c r="F76" s="186">
        <f t="shared" si="3"/>
        <v>0</v>
      </c>
      <c r="G76" s="186" t="str">
        <f>IF(IFERROR(IF(Str_TypeDonneesCpt4=Cpt_Index,Tab_Compteur_4[[#This Row],[Index]]-E75,Tab_Compteur_4[[#This Row],[Quantité]])/Tab_Compteur_4[[#This Row],[Delta Jour]],"")&lt;0,"",IFERROR(IF(Str_TypeDonneesCpt4=Cpt_Index,Tab_Compteur_4[[#This Row],[Index]]-E75,Tab_Compteur_4[[#This Row],[Quantité]])/Tab_Compteur_4[[#This Row],[Delta Jour]],""))</f>
        <v/>
      </c>
      <c r="H76" s="186" t="str">
        <f>IFERROR(Tab_Compteur_4[[#This Row],[Montant]]/Tab_Compteur_4[[#This Row],[Delta Jour]],"")</f>
        <v/>
      </c>
      <c r="I76" s="208" t="str">
        <f t="shared" si="4"/>
        <v/>
      </c>
      <c r="J76" s="209"/>
      <c r="K76" s="38"/>
      <c r="L76" s="38"/>
      <c r="M76" s="38"/>
    </row>
    <row r="77" spans="1:13">
      <c r="A77" s="3">
        <f t="shared" si="5"/>
        <v>1</v>
      </c>
      <c r="B77" s="87"/>
      <c r="C77" s="189"/>
      <c r="D77" s="188"/>
      <c r="E77" s="186"/>
      <c r="F77" s="186">
        <f t="shared" si="3"/>
        <v>0</v>
      </c>
      <c r="G77" s="186" t="str">
        <f>IF(IFERROR(IF(Str_TypeDonneesCpt4=Cpt_Index,Tab_Compteur_4[[#This Row],[Index]]-E76,Tab_Compteur_4[[#This Row],[Quantité]])/Tab_Compteur_4[[#This Row],[Delta Jour]],"")&lt;0,"",IFERROR(IF(Str_TypeDonneesCpt4=Cpt_Index,Tab_Compteur_4[[#This Row],[Index]]-E76,Tab_Compteur_4[[#This Row],[Quantité]])/Tab_Compteur_4[[#This Row],[Delta Jour]],""))</f>
        <v/>
      </c>
      <c r="H77" s="186" t="str">
        <f>IFERROR(Tab_Compteur_4[[#This Row],[Montant]]/Tab_Compteur_4[[#This Row],[Delta Jour]],"")</f>
        <v/>
      </c>
      <c r="I77" s="208" t="str">
        <f t="shared" si="4"/>
        <v/>
      </c>
      <c r="J77" s="209"/>
      <c r="K77" s="38"/>
      <c r="L77" s="38"/>
      <c r="M77" s="38"/>
    </row>
    <row r="78" spans="1:13">
      <c r="A78" s="3">
        <f t="shared" si="5"/>
        <v>1</v>
      </c>
      <c r="B78" s="87"/>
      <c r="C78" s="189"/>
      <c r="D78" s="188"/>
      <c r="E78" s="186"/>
      <c r="F78" s="186">
        <f t="shared" si="3"/>
        <v>0</v>
      </c>
      <c r="G78" s="186" t="str">
        <f>IF(IFERROR(IF(Str_TypeDonneesCpt4=Cpt_Index,Tab_Compteur_4[[#This Row],[Index]]-E77,Tab_Compteur_4[[#This Row],[Quantité]])/Tab_Compteur_4[[#This Row],[Delta Jour]],"")&lt;0,"",IFERROR(IF(Str_TypeDonneesCpt4=Cpt_Index,Tab_Compteur_4[[#This Row],[Index]]-E77,Tab_Compteur_4[[#This Row],[Quantité]])/Tab_Compteur_4[[#This Row],[Delta Jour]],""))</f>
        <v/>
      </c>
      <c r="H78" s="186" t="str">
        <f>IFERROR(Tab_Compteur_4[[#This Row],[Montant]]/Tab_Compteur_4[[#This Row],[Delta Jour]],"")</f>
        <v/>
      </c>
      <c r="I78" s="208" t="str">
        <f t="shared" si="4"/>
        <v/>
      </c>
      <c r="J78" s="209"/>
      <c r="K78" s="38"/>
      <c r="L78" s="38"/>
      <c r="M78" s="38"/>
    </row>
    <row r="79" spans="1:13">
      <c r="A79" s="3">
        <f t="shared" si="5"/>
        <v>1</v>
      </c>
      <c r="B79" s="87"/>
      <c r="C79" s="189"/>
      <c r="D79" s="188"/>
      <c r="E79" s="186"/>
      <c r="F79" s="186">
        <f t="shared" si="3"/>
        <v>0</v>
      </c>
      <c r="G79" s="186" t="str">
        <f>IF(IFERROR(IF(Str_TypeDonneesCpt4=Cpt_Index,Tab_Compteur_4[[#This Row],[Index]]-E78,Tab_Compteur_4[[#This Row],[Quantité]])/Tab_Compteur_4[[#This Row],[Delta Jour]],"")&lt;0,"",IFERROR(IF(Str_TypeDonneesCpt4=Cpt_Index,Tab_Compteur_4[[#This Row],[Index]]-E78,Tab_Compteur_4[[#This Row],[Quantité]])/Tab_Compteur_4[[#This Row],[Delta Jour]],""))</f>
        <v/>
      </c>
      <c r="H79" s="186" t="str">
        <f>IFERROR(Tab_Compteur_4[[#This Row],[Montant]]/Tab_Compteur_4[[#This Row],[Delta Jour]],"")</f>
        <v/>
      </c>
      <c r="I79" s="208" t="str">
        <f t="shared" si="4"/>
        <v/>
      </c>
      <c r="J79" s="209"/>
      <c r="K79" s="38"/>
      <c r="L79" s="38"/>
      <c r="M79" s="38"/>
    </row>
    <row r="80" spans="1:13">
      <c r="A80" s="3">
        <f t="shared" si="5"/>
        <v>1</v>
      </c>
      <c r="B80" s="87"/>
      <c r="C80" s="189"/>
      <c r="D80" s="188"/>
      <c r="E80" s="186"/>
      <c r="F80" s="186">
        <f t="shared" si="3"/>
        <v>0</v>
      </c>
      <c r="G80" s="186" t="str">
        <f>IF(IFERROR(IF(Str_TypeDonneesCpt4=Cpt_Index,Tab_Compteur_4[[#This Row],[Index]]-E79,Tab_Compteur_4[[#This Row],[Quantité]])/Tab_Compteur_4[[#This Row],[Delta Jour]],"")&lt;0,"",IFERROR(IF(Str_TypeDonneesCpt4=Cpt_Index,Tab_Compteur_4[[#This Row],[Index]]-E79,Tab_Compteur_4[[#This Row],[Quantité]])/Tab_Compteur_4[[#This Row],[Delta Jour]],""))</f>
        <v/>
      </c>
      <c r="H80" s="186" t="str">
        <f>IFERROR(Tab_Compteur_4[[#This Row],[Montant]]/Tab_Compteur_4[[#This Row],[Delta Jour]],"")</f>
        <v/>
      </c>
      <c r="I80" s="208" t="str">
        <f t="shared" si="4"/>
        <v/>
      </c>
      <c r="J80" s="209"/>
      <c r="K80" s="38"/>
      <c r="L80" s="38"/>
      <c r="M80" s="38"/>
    </row>
    <row r="81" spans="1:13">
      <c r="A81" s="3">
        <f t="shared" si="5"/>
        <v>1</v>
      </c>
      <c r="B81" s="87"/>
      <c r="C81" s="189"/>
      <c r="D81" s="188"/>
      <c r="E81" s="186"/>
      <c r="F81" s="186">
        <f t="shared" si="3"/>
        <v>0</v>
      </c>
      <c r="G81" s="186" t="str">
        <f>IF(IFERROR(IF(Str_TypeDonneesCpt4=Cpt_Index,Tab_Compteur_4[[#This Row],[Index]]-E80,Tab_Compteur_4[[#This Row],[Quantité]])/Tab_Compteur_4[[#This Row],[Delta Jour]],"")&lt;0,"",IFERROR(IF(Str_TypeDonneesCpt4=Cpt_Index,Tab_Compteur_4[[#This Row],[Index]]-E80,Tab_Compteur_4[[#This Row],[Quantité]])/Tab_Compteur_4[[#This Row],[Delta Jour]],""))</f>
        <v/>
      </c>
      <c r="H81" s="186" t="str">
        <f>IFERROR(Tab_Compteur_4[[#This Row],[Montant]]/Tab_Compteur_4[[#This Row],[Delta Jour]],"")</f>
        <v/>
      </c>
      <c r="I81" s="208" t="str">
        <f t="shared" si="4"/>
        <v/>
      </c>
      <c r="J81" s="209"/>
      <c r="K81" s="38"/>
      <c r="L81" s="38"/>
      <c r="M81" s="38"/>
    </row>
    <row r="82" spans="1:13">
      <c r="A82" s="3">
        <f t="shared" si="5"/>
        <v>1</v>
      </c>
      <c r="B82" s="87"/>
      <c r="C82" s="189"/>
      <c r="D82" s="188"/>
      <c r="E82" s="186"/>
      <c r="F82" s="186">
        <f t="shared" si="3"/>
        <v>0</v>
      </c>
      <c r="G82" s="186" t="str">
        <f>IF(IFERROR(IF(Str_TypeDonneesCpt4=Cpt_Index,Tab_Compteur_4[[#This Row],[Index]]-E81,Tab_Compteur_4[[#This Row],[Quantité]])/Tab_Compteur_4[[#This Row],[Delta Jour]],"")&lt;0,"",IFERROR(IF(Str_TypeDonneesCpt4=Cpt_Index,Tab_Compteur_4[[#This Row],[Index]]-E81,Tab_Compteur_4[[#This Row],[Quantité]])/Tab_Compteur_4[[#This Row],[Delta Jour]],""))</f>
        <v/>
      </c>
      <c r="H82" s="186" t="str">
        <f>IFERROR(Tab_Compteur_4[[#This Row],[Montant]]/Tab_Compteur_4[[#This Row],[Delta Jour]],"")</f>
        <v/>
      </c>
      <c r="I82" s="208" t="str">
        <f t="shared" si="4"/>
        <v/>
      </c>
      <c r="J82" s="209"/>
      <c r="K82" s="38"/>
      <c r="L82" s="38"/>
      <c r="M82" s="38"/>
    </row>
    <row r="83" spans="1:13">
      <c r="A83" s="3">
        <f t="shared" si="5"/>
        <v>1</v>
      </c>
      <c r="B83" s="87"/>
      <c r="C83" s="189"/>
      <c r="D83" s="188"/>
      <c r="E83" s="186"/>
      <c r="F83" s="186">
        <f t="shared" si="3"/>
        <v>0</v>
      </c>
      <c r="G83" s="186" t="str">
        <f>IF(IFERROR(IF(Str_TypeDonneesCpt4=Cpt_Index,Tab_Compteur_4[[#This Row],[Index]]-E82,Tab_Compteur_4[[#This Row],[Quantité]])/Tab_Compteur_4[[#This Row],[Delta Jour]],"")&lt;0,"",IFERROR(IF(Str_TypeDonneesCpt4=Cpt_Index,Tab_Compteur_4[[#This Row],[Index]]-E82,Tab_Compteur_4[[#This Row],[Quantité]])/Tab_Compteur_4[[#This Row],[Delta Jour]],""))</f>
        <v/>
      </c>
      <c r="H83" s="186" t="str">
        <f>IFERROR(Tab_Compteur_4[[#This Row],[Montant]]/Tab_Compteur_4[[#This Row],[Delta Jour]],"")</f>
        <v/>
      </c>
      <c r="I83" s="208" t="str">
        <f t="shared" si="4"/>
        <v/>
      </c>
      <c r="J83" s="209"/>
      <c r="K83" s="38"/>
      <c r="L83" s="38"/>
      <c r="M83" s="38"/>
    </row>
    <row r="84" spans="1:13">
      <c r="A84" s="3">
        <f t="shared" si="5"/>
        <v>1</v>
      </c>
      <c r="B84" s="87"/>
      <c r="C84" s="189"/>
      <c r="D84" s="188"/>
      <c r="E84" s="186"/>
      <c r="F84" s="186">
        <f t="shared" si="3"/>
        <v>0</v>
      </c>
      <c r="G84" s="186" t="str">
        <f>IF(IFERROR(IF(Str_TypeDonneesCpt4=Cpt_Index,Tab_Compteur_4[[#This Row],[Index]]-E83,Tab_Compteur_4[[#This Row],[Quantité]])/Tab_Compteur_4[[#This Row],[Delta Jour]],"")&lt;0,"",IFERROR(IF(Str_TypeDonneesCpt4=Cpt_Index,Tab_Compteur_4[[#This Row],[Index]]-E83,Tab_Compteur_4[[#This Row],[Quantité]])/Tab_Compteur_4[[#This Row],[Delta Jour]],""))</f>
        <v/>
      </c>
      <c r="H84" s="186" t="str">
        <f>IFERROR(Tab_Compteur_4[[#This Row],[Montant]]/Tab_Compteur_4[[#This Row],[Delta Jour]],"")</f>
        <v/>
      </c>
      <c r="I84" s="208" t="str">
        <f t="shared" si="4"/>
        <v/>
      </c>
      <c r="J84" s="209"/>
      <c r="K84" s="38"/>
      <c r="L84" s="38"/>
      <c r="M84" s="38"/>
    </row>
    <row r="85" spans="1:13">
      <c r="A85" s="3">
        <f t="shared" si="5"/>
        <v>1</v>
      </c>
      <c r="B85" s="87"/>
      <c r="C85" s="189"/>
      <c r="D85" s="188"/>
      <c r="E85" s="186"/>
      <c r="F85" s="186">
        <f t="shared" si="3"/>
        <v>0</v>
      </c>
      <c r="G85" s="186" t="str">
        <f>IF(IFERROR(IF(Str_TypeDonneesCpt4=Cpt_Index,Tab_Compteur_4[[#This Row],[Index]]-E84,Tab_Compteur_4[[#This Row],[Quantité]])/Tab_Compteur_4[[#This Row],[Delta Jour]],"")&lt;0,"",IFERROR(IF(Str_TypeDonneesCpt4=Cpt_Index,Tab_Compteur_4[[#This Row],[Index]]-E84,Tab_Compteur_4[[#This Row],[Quantité]])/Tab_Compteur_4[[#This Row],[Delta Jour]],""))</f>
        <v/>
      </c>
      <c r="H85" s="186" t="str">
        <f>IFERROR(Tab_Compteur_4[[#This Row],[Montant]]/Tab_Compteur_4[[#This Row],[Delta Jour]],"")</f>
        <v/>
      </c>
      <c r="I85" s="208" t="str">
        <f t="shared" si="4"/>
        <v/>
      </c>
      <c r="J85" s="209"/>
      <c r="K85" s="38"/>
      <c r="L85" s="38"/>
      <c r="M85" s="38"/>
    </row>
    <row r="86" spans="1:13">
      <c r="A86" s="3">
        <f t="shared" si="5"/>
        <v>1</v>
      </c>
      <c r="B86" s="87"/>
      <c r="C86" s="189"/>
      <c r="D86" s="188"/>
      <c r="E86" s="186"/>
      <c r="F86" s="186">
        <f t="shared" si="3"/>
        <v>0</v>
      </c>
      <c r="G86" s="186" t="str">
        <f>IF(IFERROR(IF(Str_TypeDonneesCpt4=Cpt_Index,Tab_Compteur_4[[#This Row],[Index]]-E85,Tab_Compteur_4[[#This Row],[Quantité]])/Tab_Compteur_4[[#This Row],[Delta Jour]],"")&lt;0,"",IFERROR(IF(Str_TypeDonneesCpt4=Cpt_Index,Tab_Compteur_4[[#This Row],[Index]]-E85,Tab_Compteur_4[[#This Row],[Quantité]])/Tab_Compteur_4[[#This Row],[Delta Jour]],""))</f>
        <v/>
      </c>
      <c r="H86" s="186" t="str">
        <f>IFERROR(Tab_Compteur_4[[#This Row],[Montant]]/Tab_Compteur_4[[#This Row],[Delta Jour]],"")</f>
        <v/>
      </c>
      <c r="I86" s="208" t="str">
        <f t="shared" si="4"/>
        <v/>
      </c>
      <c r="J86" s="209"/>
      <c r="K86" s="38"/>
      <c r="L86" s="38"/>
      <c r="M86" s="38"/>
    </row>
    <row r="87" spans="1:13">
      <c r="A87" s="3">
        <f t="shared" si="5"/>
        <v>1</v>
      </c>
      <c r="B87" s="87"/>
      <c r="C87" s="189"/>
      <c r="D87" s="188"/>
      <c r="E87" s="186"/>
      <c r="F87" s="186">
        <f t="shared" si="3"/>
        <v>0</v>
      </c>
      <c r="G87" s="186" t="str">
        <f>IF(IFERROR(IF(Str_TypeDonneesCpt4=Cpt_Index,Tab_Compteur_4[[#This Row],[Index]]-E86,Tab_Compteur_4[[#This Row],[Quantité]])/Tab_Compteur_4[[#This Row],[Delta Jour]],"")&lt;0,"",IFERROR(IF(Str_TypeDonneesCpt4=Cpt_Index,Tab_Compteur_4[[#This Row],[Index]]-E86,Tab_Compteur_4[[#This Row],[Quantité]])/Tab_Compteur_4[[#This Row],[Delta Jour]],""))</f>
        <v/>
      </c>
      <c r="H87" s="186" t="str">
        <f>IFERROR(Tab_Compteur_4[[#This Row],[Montant]]/Tab_Compteur_4[[#This Row],[Delta Jour]],"")</f>
        <v/>
      </c>
      <c r="I87" s="208" t="str">
        <f t="shared" si="4"/>
        <v/>
      </c>
      <c r="J87" s="209"/>
      <c r="K87" s="38"/>
      <c r="L87" s="38"/>
      <c r="M87" s="38"/>
    </row>
    <row r="88" spans="1:13">
      <c r="A88" s="3">
        <f t="shared" si="5"/>
        <v>1</v>
      </c>
      <c r="B88" s="87"/>
      <c r="C88" s="189"/>
      <c r="D88" s="188"/>
      <c r="E88" s="186"/>
      <c r="F88" s="186">
        <f t="shared" si="3"/>
        <v>0</v>
      </c>
      <c r="G88" s="186" t="str">
        <f>IF(IFERROR(IF(Str_TypeDonneesCpt4=Cpt_Index,Tab_Compteur_4[[#This Row],[Index]]-E87,Tab_Compteur_4[[#This Row],[Quantité]])/Tab_Compteur_4[[#This Row],[Delta Jour]],"")&lt;0,"",IFERROR(IF(Str_TypeDonneesCpt4=Cpt_Index,Tab_Compteur_4[[#This Row],[Index]]-E87,Tab_Compteur_4[[#This Row],[Quantité]])/Tab_Compteur_4[[#This Row],[Delta Jour]],""))</f>
        <v/>
      </c>
      <c r="H88" s="186" t="str">
        <f>IFERROR(Tab_Compteur_4[[#This Row],[Montant]]/Tab_Compteur_4[[#This Row],[Delta Jour]],"")</f>
        <v/>
      </c>
      <c r="I88" s="208" t="str">
        <f t="shared" si="4"/>
        <v/>
      </c>
      <c r="J88" s="209"/>
      <c r="K88" s="38"/>
      <c r="L88" s="38"/>
      <c r="M88" s="38"/>
    </row>
    <row r="89" spans="1:13">
      <c r="A89" s="3">
        <f t="shared" si="5"/>
        <v>1</v>
      </c>
      <c r="B89" s="87"/>
      <c r="C89" s="189"/>
      <c r="D89" s="188"/>
      <c r="E89" s="186"/>
      <c r="F89" s="186">
        <f t="shared" si="3"/>
        <v>0</v>
      </c>
      <c r="G89" s="186" t="str">
        <f>IF(IFERROR(IF(Str_TypeDonneesCpt4=Cpt_Index,Tab_Compteur_4[[#This Row],[Index]]-E88,Tab_Compteur_4[[#This Row],[Quantité]])/Tab_Compteur_4[[#This Row],[Delta Jour]],"")&lt;0,"",IFERROR(IF(Str_TypeDonneesCpt4=Cpt_Index,Tab_Compteur_4[[#This Row],[Index]]-E88,Tab_Compteur_4[[#This Row],[Quantité]])/Tab_Compteur_4[[#This Row],[Delta Jour]],""))</f>
        <v/>
      </c>
      <c r="H89" s="186" t="str">
        <f>IFERROR(Tab_Compteur_4[[#This Row],[Montant]]/Tab_Compteur_4[[#This Row],[Delta Jour]],"")</f>
        <v/>
      </c>
      <c r="I89" s="208" t="str">
        <f t="shared" si="4"/>
        <v/>
      </c>
      <c r="J89" s="209"/>
      <c r="K89" s="38"/>
      <c r="L89" s="38"/>
      <c r="M89" s="38"/>
    </row>
    <row r="90" spans="1:13">
      <c r="A90" s="3">
        <f t="shared" si="5"/>
        <v>1</v>
      </c>
      <c r="B90" s="87"/>
      <c r="C90" s="189"/>
      <c r="D90" s="188"/>
      <c r="E90" s="186"/>
      <c r="F90" s="186">
        <f t="shared" si="3"/>
        <v>0</v>
      </c>
      <c r="G90" s="186" t="str">
        <f>IF(IFERROR(IF(Str_TypeDonneesCpt4=Cpt_Index,Tab_Compteur_4[[#This Row],[Index]]-E89,Tab_Compteur_4[[#This Row],[Quantité]])/Tab_Compteur_4[[#This Row],[Delta Jour]],"")&lt;0,"",IFERROR(IF(Str_TypeDonneesCpt4=Cpt_Index,Tab_Compteur_4[[#This Row],[Index]]-E89,Tab_Compteur_4[[#This Row],[Quantité]])/Tab_Compteur_4[[#This Row],[Delta Jour]],""))</f>
        <v/>
      </c>
      <c r="H90" s="186" t="str">
        <f>IFERROR(Tab_Compteur_4[[#This Row],[Montant]]/Tab_Compteur_4[[#This Row],[Delta Jour]],"")</f>
        <v/>
      </c>
      <c r="I90" s="208" t="str">
        <f t="shared" si="4"/>
        <v/>
      </c>
      <c r="J90" s="209"/>
      <c r="K90" s="38"/>
      <c r="L90" s="38"/>
      <c r="M90" s="38"/>
    </row>
    <row r="91" spans="1:13">
      <c r="A91" s="3">
        <f t="shared" si="5"/>
        <v>1</v>
      </c>
      <c r="B91" s="87"/>
      <c r="C91" s="189"/>
      <c r="D91" s="188"/>
      <c r="E91" s="186"/>
      <c r="F91" s="186">
        <f t="shared" si="3"/>
        <v>0</v>
      </c>
      <c r="G91" s="186" t="str">
        <f>IF(IFERROR(IF(Str_TypeDonneesCpt4=Cpt_Index,Tab_Compteur_4[[#This Row],[Index]]-E90,Tab_Compteur_4[[#This Row],[Quantité]])/Tab_Compteur_4[[#This Row],[Delta Jour]],"")&lt;0,"",IFERROR(IF(Str_TypeDonneesCpt4=Cpt_Index,Tab_Compteur_4[[#This Row],[Index]]-E90,Tab_Compteur_4[[#This Row],[Quantité]])/Tab_Compteur_4[[#This Row],[Delta Jour]],""))</f>
        <v/>
      </c>
      <c r="H91" s="186" t="str">
        <f>IFERROR(Tab_Compteur_4[[#This Row],[Montant]]/Tab_Compteur_4[[#This Row],[Delta Jour]],"")</f>
        <v/>
      </c>
      <c r="I91" s="208" t="str">
        <f t="shared" si="4"/>
        <v/>
      </c>
      <c r="J91" s="209"/>
      <c r="K91" s="38"/>
      <c r="L91" s="38"/>
      <c r="M91" s="38"/>
    </row>
    <row r="92" spans="1:13">
      <c r="A92" s="3">
        <f t="shared" si="5"/>
        <v>1</v>
      </c>
      <c r="B92" s="87"/>
      <c r="C92" s="189"/>
      <c r="D92" s="188"/>
      <c r="E92" s="186"/>
      <c r="F92" s="186">
        <f t="shared" si="3"/>
        <v>0</v>
      </c>
      <c r="G92" s="186" t="str">
        <f>IF(IFERROR(IF(Str_TypeDonneesCpt4=Cpt_Index,Tab_Compteur_4[[#This Row],[Index]]-E91,Tab_Compteur_4[[#This Row],[Quantité]])/Tab_Compteur_4[[#This Row],[Delta Jour]],"")&lt;0,"",IFERROR(IF(Str_TypeDonneesCpt4=Cpt_Index,Tab_Compteur_4[[#This Row],[Index]]-E91,Tab_Compteur_4[[#This Row],[Quantité]])/Tab_Compteur_4[[#This Row],[Delta Jour]],""))</f>
        <v/>
      </c>
      <c r="H92" s="186" t="str">
        <f>IFERROR(Tab_Compteur_4[[#This Row],[Montant]]/Tab_Compteur_4[[#This Row],[Delta Jour]],"")</f>
        <v/>
      </c>
      <c r="I92" s="208" t="str">
        <f t="shared" si="4"/>
        <v/>
      </c>
      <c r="J92" s="209"/>
      <c r="K92" s="38"/>
      <c r="L92" s="38"/>
      <c r="M92" s="38"/>
    </row>
    <row r="93" spans="1:13">
      <c r="A93" s="3">
        <f t="shared" si="5"/>
        <v>1</v>
      </c>
      <c r="B93" s="87"/>
      <c r="C93" s="189"/>
      <c r="D93" s="188"/>
      <c r="E93" s="186"/>
      <c r="F93" s="186">
        <f t="shared" si="3"/>
        <v>0</v>
      </c>
      <c r="G93" s="186" t="str">
        <f>IF(IFERROR(IF(Str_TypeDonneesCpt4=Cpt_Index,Tab_Compteur_4[[#This Row],[Index]]-E92,Tab_Compteur_4[[#This Row],[Quantité]])/Tab_Compteur_4[[#This Row],[Delta Jour]],"")&lt;0,"",IFERROR(IF(Str_TypeDonneesCpt4=Cpt_Index,Tab_Compteur_4[[#This Row],[Index]]-E92,Tab_Compteur_4[[#This Row],[Quantité]])/Tab_Compteur_4[[#This Row],[Delta Jour]],""))</f>
        <v/>
      </c>
      <c r="H93" s="186" t="str">
        <f>IFERROR(Tab_Compteur_4[[#This Row],[Montant]]/Tab_Compteur_4[[#This Row],[Delta Jour]],"")</f>
        <v/>
      </c>
      <c r="I93" s="208" t="str">
        <f t="shared" si="4"/>
        <v/>
      </c>
      <c r="J93" s="209"/>
      <c r="K93" s="38"/>
      <c r="L93" s="38"/>
      <c r="M93" s="38"/>
    </row>
    <row r="94" spans="1:13">
      <c r="A94" s="3">
        <f t="shared" si="5"/>
        <v>1</v>
      </c>
      <c r="B94" s="87"/>
      <c r="C94" s="189"/>
      <c r="D94" s="188"/>
      <c r="E94" s="186"/>
      <c r="F94" s="186">
        <f t="shared" si="3"/>
        <v>0</v>
      </c>
      <c r="G94" s="186" t="str">
        <f>IF(IFERROR(IF(Str_TypeDonneesCpt4=Cpt_Index,Tab_Compteur_4[[#This Row],[Index]]-E93,Tab_Compteur_4[[#This Row],[Quantité]])/Tab_Compteur_4[[#This Row],[Delta Jour]],"")&lt;0,"",IFERROR(IF(Str_TypeDonneesCpt4=Cpt_Index,Tab_Compteur_4[[#This Row],[Index]]-E93,Tab_Compteur_4[[#This Row],[Quantité]])/Tab_Compteur_4[[#This Row],[Delta Jour]],""))</f>
        <v/>
      </c>
      <c r="H94" s="186" t="str">
        <f>IFERROR(Tab_Compteur_4[[#This Row],[Montant]]/Tab_Compteur_4[[#This Row],[Delta Jour]],"")</f>
        <v/>
      </c>
      <c r="I94" s="208" t="str">
        <f t="shared" si="4"/>
        <v/>
      </c>
      <c r="J94" s="209"/>
      <c r="K94" s="38"/>
      <c r="L94" s="38"/>
      <c r="M94" s="38"/>
    </row>
    <row r="95" spans="1:13">
      <c r="A95" s="3">
        <f t="shared" si="5"/>
        <v>1</v>
      </c>
      <c r="B95" s="87"/>
      <c r="C95" s="189"/>
      <c r="D95" s="188"/>
      <c r="E95" s="186"/>
      <c r="F95" s="186">
        <f t="shared" si="3"/>
        <v>0</v>
      </c>
      <c r="G95" s="186" t="str">
        <f>IF(IFERROR(IF(Str_TypeDonneesCpt4=Cpt_Index,Tab_Compteur_4[[#This Row],[Index]]-E94,Tab_Compteur_4[[#This Row],[Quantité]])/Tab_Compteur_4[[#This Row],[Delta Jour]],"")&lt;0,"",IFERROR(IF(Str_TypeDonneesCpt4=Cpt_Index,Tab_Compteur_4[[#This Row],[Index]]-E94,Tab_Compteur_4[[#This Row],[Quantité]])/Tab_Compteur_4[[#This Row],[Delta Jour]],""))</f>
        <v/>
      </c>
      <c r="H95" s="186" t="str">
        <f>IFERROR(Tab_Compteur_4[[#This Row],[Montant]]/Tab_Compteur_4[[#This Row],[Delta Jour]],"")</f>
        <v/>
      </c>
      <c r="I95" s="208" t="str">
        <f t="shared" si="4"/>
        <v/>
      </c>
      <c r="J95" s="209"/>
      <c r="K95" s="38"/>
      <c r="L95" s="38"/>
      <c r="M95" s="38"/>
    </row>
    <row r="96" spans="1:13">
      <c r="A96" s="3">
        <f t="shared" si="5"/>
        <v>1</v>
      </c>
      <c r="B96" s="87"/>
      <c r="C96" s="189"/>
      <c r="D96" s="188"/>
      <c r="E96" s="186"/>
      <c r="F96" s="186">
        <f t="shared" si="3"/>
        <v>0</v>
      </c>
      <c r="G96" s="186" t="str">
        <f>IF(IFERROR(IF(Str_TypeDonneesCpt4=Cpt_Index,Tab_Compteur_4[[#This Row],[Index]]-E95,Tab_Compteur_4[[#This Row],[Quantité]])/Tab_Compteur_4[[#This Row],[Delta Jour]],"")&lt;0,"",IFERROR(IF(Str_TypeDonneesCpt4=Cpt_Index,Tab_Compteur_4[[#This Row],[Index]]-E95,Tab_Compteur_4[[#This Row],[Quantité]])/Tab_Compteur_4[[#This Row],[Delta Jour]],""))</f>
        <v/>
      </c>
      <c r="H96" s="186" t="str">
        <f>IFERROR(Tab_Compteur_4[[#This Row],[Montant]]/Tab_Compteur_4[[#This Row],[Delta Jour]],"")</f>
        <v/>
      </c>
      <c r="I96" s="208" t="str">
        <f t="shared" si="4"/>
        <v/>
      </c>
      <c r="J96" s="209"/>
      <c r="K96" s="38"/>
      <c r="L96" s="38"/>
      <c r="M96" s="38"/>
    </row>
    <row r="97" spans="1:13">
      <c r="A97" s="3">
        <f t="shared" si="5"/>
        <v>1</v>
      </c>
      <c r="B97" s="87"/>
      <c r="C97" s="189"/>
      <c r="D97" s="188"/>
      <c r="E97" s="186"/>
      <c r="F97" s="186">
        <f t="shared" si="3"/>
        <v>0</v>
      </c>
      <c r="G97" s="186" t="str">
        <f>IF(IFERROR(IF(Str_TypeDonneesCpt4=Cpt_Index,Tab_Compteur_4[[#This Row],[Index]]-E96,Tab_Compteur_4[[#This Row],[Quantité]])/Tab_Compteur_4[[#This Row],[Delta Jour]],"")&lt;0,"",IFERROR(IF(Str_TypeDonneesCpt4=Cpt_Index,Tab_Compteur_4[[#This Row],[Index]]-E96,Tab_Compteur_4[[#This Row],[Quantité]])/Tab_Compteur_4[[#This Row],[Delta Jour]],""))</f>
        <v/>
      </c>
      <c r="H97" s="186" t="str">
        <f>IFERROR(Tab_Compteur_4[[#This Row],[Montant]]/Tab_Compteur_4[[#This Row],[Delta Jour]],"")</f>
        <v/>
      </c>
      <c r="I97" s="208" t="str">
        <f t="shared" si="4"/>
        <v/>
      </c>
      <c r="J97" s="209"/>
      <c r="K97" s="38"/>
      <c r="L97" s="38"/>
      <c r="M97" s="38"/>
    </row>
    <row r="98" spans="1:13">
      <c r="A98" s="3">
        <f t="shared" si="5"/>
        <v>1</v>
      </c>
      <c r="B98" s="87"/>
      <c r="C98" s="189"/>
      <c r="D98" s="188"/>
      <c r="E98" s="186"/>
      <c r="F98" s="186">
        <f t="shared" si="3"/>
        <v>0</v>
      </c>
      <c r="G98" s="186" t="str">
        <f>IF(IFERROR(IF(Str_TypeDonneesCpt4=Cpt_Index,Tab_Compteur_4[[#This Row],[Index]]-E97,Tab_Compteur_4[[#This Row],[Quantité]])/Tab_Compteur_4[[#This Row],[Delta Jour]],"")&lt;0,"",IFERROR(IF(Str_TypeDonneesCpt4=Cpt_Index,Tab_Compteur_4[[#This Row],[Index]]-E97,Tab_Compteur_4[[#This Row],[Quantité]])/Tab_Compteur_4[[#This Row],[Delta Jour]],""))</f>
        <v/>
      </c>
      <c r="H98" s="186" t="str">
        <f>IFERROR(Tab_Compteur_4[[#This Row],[Montant]]/Tab_Compteur_4[[#This Row],[Delta Jour]],"")</f>
        <v/>
      </c>
      <c r="I98" s="208" t="str">
        <f t="shared" si="4"/>
        <v/>
      </c>
      <c r="J98" s="209"/>
      <c r="K98" s="38"/>
      <c r="L98" s="38"/>
      <c r="M98" s="38"/>
    </row>
    <row r="99" spans="1:13">
      <c r="A99" s="3">
        <f t="shared" si="5"/>
        <v>1</v>
      </c>
      <c r="B99" s="87"/>
      <c r="C99" s="189"/>
      <c r="D99" s="188"/>
      <c r="E99" s="186"/>
      <c r="F99" s="186">
        <f t="shared" si="3"/>
        <v>0</v>
      </c>
      <c r="G99" s="186" t="str">
        <f>IF(IFERROR(IF(Str_TypeDonneesCpt4=Cpt_Index,Tab_Compteur_4[[#This Row],[Index]]-E98,Tab_Compteur_4[[#This Row],[Quantité]])/Tab_Compteur_4[[#This Row],[Delta Jour]],"")&lt;0,"",IFERROR(IF(Str_TypeDonneesCpt4=Cpt_Index,Tab_Compteur_4[[#This Row],[Index]]-E98,Tab_Compteur_4[[#This Row],[Quantité]])/Tab_Compteur_4[[#This Row],[Delta Jour]],""))</f>
        <v/>
      </c>
      <c r="H99" s="186" t="str">
        <f>IFERROR(Tab_Compteur_4[[#This Row],[Montant]]/Tab_Compteur_4[[#This Row],[Delta Jour]],"")</f>
        <v/>
      </c>
      <c r="I99" s="208" t="str">
        <f t="shared" si="4"/>
        <v/>
      </c>
      <c r="J99" s="209"/>
      <c r="K99" s="38"/>
      <c r="L99" s="38"/>
      <c r="M99" s="38"/>
    </row>
    <row r="100" spans="1:13">
      <c r="A100" s="3">
        <f t="shared" si="5"/>
        <v>1</v>
      </c>
      <c r="B100" s="87"/>
      <c r="C100" s="189"/>
      <c r="D100" s="188"/>
      <c r="E100" s="186"/>
      <c r="F100" s="186">
        <f t="shared" si="3"/>
        <v>0</v>
      </c>
      <c r="G100" s="186" t="str">
        <f>IF(IFERROR(IF(Str_TypeDonneesCpt4=Cpt_Index,Tab_Compteur_4[[#This Row],[Index]]-E99,Tab_Compteur_4[[#This Row],[Quantité]])/Tab_Compteur_4[[#This Row],[Delta Jour]],"")&lt;0,"",IFERROR(IF(Str_TypeDonneesCpt4=Cpt_Index,Tab_Compteur_4[[#This Row],[Index]]-E99,Tab_Compteur_4[[#This Row],[Quantité]])/Tab_Compteur_4[[#This Row],[Delta Jour]],""))</f>
        <v/>
      </c>
      <c r="H100" s="186" t="str">
        <f>IFERROR(Tab_Compteur_4[[#This Row],[Montant]]/Tab_Compteur_4[[#This Row],[Delta Jour]],"")</f>
        <v/>
      </c>
      <c r="I100" s="208" t="str">
        <f t="shared" si="4"/>
        <v/>
      </c>
      <c r="J100" s="209"/>
      <c r="K100" s="38"/>
      <c r="L100" s="38"/>
      <c r="M100" s="38"/>
    </row>
    <row r="101" spans="1:13">
      <c r="A101" s="3">
        <f t="shared" si="5"/>
        <v>1</v>
      </c>
      <c r="B101" s="87"/>
      <c r="C101" s="189"/>
      <c r="D101" s="188"/>
      <c r="E101" s="186"/>
      <c r="F101" s="186">
        <f t="shared" si="3"/>
        <v>0</v>
      </c>
      <c r="G101" s="186" t="str">
        <f>IF(IFERROR(IF(Str_TypeDonneesCpt4=Cpt_Index,Tab_Compteur_4[[#This Row],[Index]]-E100,Tab_Compteur_4[[#This Row],[Quantité]])/Tab_Compteur_4[[#This Row],[Delta Jour]],"")&lt;0,"",IFERROR(IF(Str_TypeDonneesCpt4=Cpt_Index,Tab_Compteur_4[[#This Row],[Index]]-E100,Tab_Compteur_4[[#This Row],[Quantité]])/Tab_Compteur_4[[#This Row],[Delta Jour]],""))</f>
        <v/>
      </c>
      <c r="H101" s="186" t="str">
        <f>IFERROR(Tab_Compteur_4[[#This Row],[Montant]]/Tab_Compteur_4[[#This Row],[Delta Jour]],"")</f>
        <v/>
      </c>
      <c r="I101" s="208" t="str">
        <f t="shared" si="4"/>
        <v/>
      </c>
      <c r="J101" s="209"/>
      <c r="K101" s="38"/>
      <c r="L101" s="38"/>
      <c r="M101" s="38"/>
    </row>
    <row r="102" spans="1:13">
      <c r="A102" s="3">
        <f t="shared" si="5"/>
        <v>1</v>
      </c>
      <c r="B102" s="87"/>
      <c r="C102" s="189"/>
      <c r="D102" s="188"/>
      <c r="E102" s="186"/>
      <c r="F102" s="186">
        <f t="shared" si="3"/>
        <v>0</v>
      </c>
      <c r="G102" s="186" t="str">
        <f>IF(IFERROR(IF(Str_TypeDonneesCpt4=Cpt_Index,Tab_Compteur_4[[#This Row],[Index]]-E101,Tab_Compteur_4[[#This Row],[Quantité]])/Tab_Compteur_4[[#This Row],[Delta Jour]],"")&lt;0,"",IFERROR(IF(Str_TypeDonneesCpt4=Cpt_Index,Tab_Compteur_4[[#This Row],[Index]]-E101,Tab_Compteur_4[[#This Row],[Quantité]])/Tab_Compteur_4[[#This Row],[Delta Jour]],""))</f>
        <v/>
      </c>
      <c r="H102" s="186" t="str">
        <f>IFERROR(Tab_Compteur_4[[#This Row],[Montant]]/Tab_Compteur_4[[#This Row],[Delta Jour]],"")</f>
        <v/>
      </c>
      <c r="I102" s="208" t="str">
        <f t="shared" si="4"/>
        <v/>
      </c>
      <c r="J102" s="209"/>
      <c r="K102" s="38"/>
      <c r="L102" s="38"/>
      <c r="M102" s="38"/>
    </row>
    <row r="103" spans="1:13">
      <c r="A103" s="3">
        <f t="shared" si="5"/>
        <v>1</v>
      </c>
      <c r="B103" s="87"/>
      <c r="C103" s="189"/>
      <c r="D103" s="188"/>
      <c r="E103" s="186"/>
      <c r="F103" s="186">
        <f t="shared" si="3"/>
        <v>0</v>
      </c>
      <c r="G103" s="186" t="str">
        <f>IF(IFERROR(IF(Str_TypeDonneesCpt4=Cpt_Index,Tab_Compteur_4[[#This Row],[Index]]-E102,Tab_Compteur_4[[#This Row],[Quantité]])/Tab_Compteur_4[[#This Row],[Delta Jour]],"")&lt;0,"",IFERROR(IF(Str_TypeDonneesCpt4=Cpt_Index,Tab_Compteur_4[[#This Row],[Index]]-E102,Tab_Compteur_4[[#This Row],[Quantité]])/Tab_Compteur_4[[#This Row],[Delta Jour]],""))</f>
        <v/>
      </c>
      <c r="H103" s="186" t="str">
        <f>IFERROR(Tab_Compteur_4[[#This Row],[Montant]]/Tab_Compteur_4[[#This Row],[Delta Jour]],"")</f>
        <v/>
      </c>
      <c r="I103" s="208" t="str">
        <f t="shared" si="4"/>
        <v/>
      </c>
      <c r="J103" s="209"/>
      <c r="K103" s="38"/>
      <c r="L103" s="38"/>
      <c r="M103" s="38"/>
    </row>
    <row r="104" spans="1:13">
      <c r="A104" s="3">
        <f t="shared" si="5"/>
        <v>1</v>
      </c>
      <c r="B104" s="87"/>
      <c r="C104" s="189"/>
      <c r="D104" s="188"/>
      <c r="E104" s="186"/>
      <c r="F104" s="186">
        <f t="shared" si="3"/>
        <v>0</v>
      </c>
      <c r="G104" s="186" t="str">
        <f>IF(IFERROR(IF(Str_TypeDonneesCpt4=Cpt_Index,Tab_Compteur_4[[#This Row],[Index]]-E103,Tab_Compteur_4[[#This Row],[Quantité]])/Tab_Compteur_4[[#This Row],[Delta Jour]],"")&lt;0,"",IFERROR(IF(Str_TypeDonneesCpt4=Cpt_Index,Tab_Compteur_4[[#This Row],[Index]]-E103,Tab_Compteur_4[[#This Row],[Quantité]])/Tab_Compteur_4[[#This Row],[Delta Jour]],""))</f>
        <v/>
      </c>
      <c r="H104" s="186" t="str">
        <f>IFERROR(Tab_Compteur_4[[#This Row],[Montant]]/Tab_Compteur_4[[#This Row],[Delta Jour]],"")</f>
        <v/>
      </c>
      <c r="I104" s="208" t="str">
        <f t="shared" si="4"/>
        <v/>
      </c>
      <c r="J104" s="209"/>
      <c r="K104" s="38"/>
      <c r="L104" s="38"/>
      <c r="M104" s="38"/>
    </row>
    <row r="105" spans="1:13">
      <c r="A105" s="3">
        <f t="shared" si="5"/>
        <v>1</v>
      </c>
      <c r="B105" s="87"/>
      <c r="C105" s="189"/>
      <c r="D105" s="188"/>
      <c r="E105" s="186"/>
      <c r="F105" s="186">
        <f t="shared" si="3"/>
        <v>0</v>
      </c>
      <c r="G105" s="186" t="str">
        <f>IF(IFERROR(IF(Str_TypeDonneesCpt4=Cpt_Index,Tab_Compteur_4[[#This Row],[Index]]-E104,Tab_Compteur_4[[#This Row],[Quantité]])/Tab_Compteur_4[[#This Row],[Delta Jour]],"")&lt;0,"",IFERROR(IF(Str_TypeDonneesCpt4=Cpt_Index,Tab_Compteur_4[[#This Row],[Index]]-E104,Tab_Compteur_4[[#This Row],[Quantité]])/Tab_Compteur_4[[#This Row],[Delta Jour]],""))</f>
        <v/>
      </c>
      <c r="H105" s="186" t="str">
        <f>IFERROR(Tab_Compteur_4[[#This Row],[Montant]]/Tab_Compteur_4[[#This Row],[Delta Jour]],"")</f>
        <v/>
      </c>
      <c r="I105" s="208" t="str">
        <f t="shared" si="4"/>
        <v/>
      </c>
      <c r="J105" s="209"/>
      <c r="K105" s="38"/>
      <c r="L105" s="38"/>
      <c r="M105" s="38"/>
    </row>
    <row r="106" spans="1:13">
      <c r="A106" s="3">
        <f t="shared" si="5"/>
        <v>1</v>
      </c>
      <c r="B106" s="87"/>
      <c r="C106" s="189"/>
      <c r="D106" s="188"/>
      <c r="E106" s="186"/>
      <c r="F106" s="186">
        <f t="shared" si="3"/>
        <v>0</v>
      </c>
      <c r="G106" s="186" t="str">
        <f>IF(IFERROR(IF(Str_TypeDonneesCpt4=Cpt_Index,Tab_Compteur_4[[#This Row],[Index]]-E105,Tab_Compteur_4[[#This Row],[Quantité]])/Tab_Compteur_4[[#This Row],[Delta Jour]],"")&lt;0,"",IFERROR(IF(Str_TypeDonneesCpt4=Cpt_Index,Tab_Compteur_4[[#This Row],[Index]]-E105,Tab_Compteur_4[[#This Row],[Quantité]])/Tab_Compteur_4[[#This Row],[Delta Jour]],""))</f>
        <v/>
      </c>
      <c r="H106" s="186" t="str">
        <f>IFERROR(Tab_Compteur_4[[#This Row],[Montant]]/Tab_Compteur_4[[#This Row],[Delta Jour]],"")</f>
        <v/>
      </c>
      <c r="I106" s="208" t="str">
        <f t="shared" si="4"/>
        <v/>
      </c>
      <c r="J106" s="209"/>
      <c r="K106" s="38"/>
      <c r="L106" s="38"/>
      <c r="M106" s="38"/>
    </row>
    <row r="107" spans="1:13">
      <c r="A107" s="3">
        <f t="shared" si="5"/>
        <v>1</v>
      </c>
      <c r="B107" s="87"/>
      <c r="C107" s="189"/>
      <c r="D107" s="188"/>
      <c r="E107" s="186"/>
      <c r="F107" s="186">
        <f t="shared" si="3"/>
        <v>0</v>
      </c>
      <c r="G107" s="186" t="str">
        <f>IF(IFERROR(IF(Str_TypeDonneesCpt4=Cpt_Index,Tab_Compteur_4[[#This Row],[Index]]-E106,Tab_Compteur_4[[#This Row],[Quantité]])/Tab_Compteur_4[[#This Row],[Delta Jour]],"")&lt;0,"",IFERROR(IF(Str_TypeDonneesCpt4=Cpt_Index,Tab_Compteur_4[[#This Row],[Index]]-E106,Tab_Compteur_4[[#This Row],[Quantité]])/Tab_Compteur_4[[#This Row],[Delta Jour]],""))</f>
        <v/>
      </c>
      <c r="H107" s="186" t="str">
        <f>IFERROR(Tab_Compteur_4[[#This Row],[Montant]]/Tab_Compteur_4[[#This Row],[Delta Jour]],"")</f>
        <v/>
      </c>
      <c r="I107" s="208" t="str">
        <f t="shared" si="4"/>
        <v/>
      </c>
      <c r="J107" s="209"/>
      <c r="K107" s="38"/>
      <c r="L107" s="38"/>
      <c r="M107" s="38"/>
    </row>
    <row r="108" spans="1:13">
      <c r="A108" s="3">
        <f t="shared" si="5"/>
        <v>1</v>
      </c>
      <c r="B108" s="87"/>
      <c r="C108" s="189"/>
      <c r="D108" s="188"/>
      <c r="E108" s="186"/>
      <c r="F108" s="186">
        <f t="shared" si="3"/>
        <v>0</v>
      </c>
      <c r="G108" s="186" t="str">
        <f>IF(IFERROR(IF(Str_TypeDonneesCpt4=Cpt_Index,Tab_Compteur_4[[#This Row],[Index]]-E107,Tab_Compteur_4[[#This Row],[Quantité]])/Tab_Compteur_4[[#This Row],[Delta Jour]],"")&lt;0,"",IFERROR(IF(Str_TypeDonneesCpt4=Cpt_Index,Tab_Compteur_4[[#This Row],[Index]]-E107,Tab_Compteur_4[[#This Row],[Quantité]])/Tab_Compteur_4[[#This Row],[Delta Jour]],""))</f>
        <v/>
      </c>
      <c r="H108" s="186" t="str">
        <f>IFERROR(Tab_Compteur_4[[#This Row],[Montant]]/Tab_Compteur_4[[#This Row],[Delta Jour]],"")</f>
        <v/>
      </c>
      <c r="I108" s="208" t="str">
        <f t="shared" si="4"/>
        <v/>
      </c>
      <c r="J108" s="209"/>
      <c r="K108" s="38"/>
      <c r="L108" s="38"/>
      <c r="M108" s="38"/>
    </row>
    <row r="109" spans="1:13">
      <c r="A109" s="3">
        <f t="shared" si="5"/>
        <v>1</v>
      </c>
      <c r="B109" s="87"/>
      <c r="C109" s="189"/>
      <c r="D109" s="188"/>
      <c r="E109" s="186"/>
      <c r="F109" s="186">
        <f t="shared" si="3"/>
        <v>0</v>
      </c>
      <c r="G109" s="186" t="str">
        <f>IF(IFERROR(IF(Str_TypeDonneesCpt4=Cpt_Index,Tab_Compteur_4[[#This Row],[Index]]-E108,Tab_Compteur_4[[#This Row],[Quantité]])/Tab_Compteur_4[[#This Row],[Delta Jour]],"")&lt;0,"",IFERROR(IF(Str_TypeDonneesCpt4=Cpt_Index,Tab_Compteur_4[[#This Row],[Index]]-E108,Tab_Compteur_4[[#This Row],[Quantité]])/Tab_Compteur_4[[#This Row],[Delta Jour]],""))</f>
        <v/>
      </c>
      <c r="H109" s="186" t="str">
        <f>IFERROR(Tab_Compteur_4[[#This Row],[Montant]]/Tab_Compteur_4[[#This Row],[Delta Jour]],"")</f>
        <v/>
      </c>
      <c r="I109" s="208" t="str">
        <f t="shared" si="4"/>
        <v/>
      </c>
      <c r="J109" s="209"/>
      <c r="K109" s="38"/>
      <c r="L109" s="38"/>
      <c r="M109" s="38"/>
    </row>
    <row r="110" spans="1:13">
      <c r="A110" s="3">
        <f t="shared" si="5"/>
        <v>1</v>
      </c>
      <c r="B110" s="87"/>
      <c r="C110" s="189"/>
      <c r="D110" s="188"/>
      <c r="E110" s="186"/>
      <c r="F110" s="186">
        <f t="shared" si="3"/>
        <v>0</v>
      </c>
      <c r="G110" s="186" t="str">
        <f>IF(IFERROR(IF(Str_TypeDonneesCpt4=Cpt_Index,Tab_Compteur_4[[#This Row],[Index]]-E109,Tab_Compteur_4[[#This Row],[Quantité]])/Tab_Compteur_4[[#This Row],[Delta Jour]],"")&lt;0,"",IFERROR(IF(Str_TypeDonneesCpt4=Cpt_Index,Tab_Compteur_4[[#This Row],[Index]]-E109,Tab_Compteur_4[[#This Row],[Quantité]])/Tab_Compteur_4[[#This Row],[Delta Jour]],""))</f>
        <v/>
      </c>
      <c r="H110" s="186" t="str">
        <f>IFERROR(Tab_Compteur_4[[#This Row],[Montant]]/Tab_Compteur_4[[#This Row],[Delta Jour]],"")</f>
        <v/>
      </c>
      <c r="I110" s="208" t="str">
        <f t="shared" si="4"/>
        <v/>
      </c>
      <c r="J110" s="209"/>
      <c r="K110" s="38"/>
      <c r="L110" s="38"/>
      <c r="M110" s="38"/>
    </row>
    <row r="111" spans="1:13">
      <c r="A111" s="3">
        <f t="shared" si="5"/>
        <v>1</v>
      </c>
      <c r="B111" s="87"/>
      <c r="C111" s="189"/>
      <c r="D111" s="188"/>
      <c r="E111" s="186"/>
      <c r="F111" s="186">
        <f t="shared" si="3"/>
        <v>0</v>
      </c>
      <c r="G111" s="186" t="str">
        <f>IF(IFERROR(IF(Str_TypeDonneesCpt4=Cpt_Index,Tab_Compteur_4[[#This Row],[Index]]-E110,Tab_Compteur_4[[#This Row],[Quantité]])/Tab_Compteur_4[[#This Row],[Delta Jour]],"")&lt;0,"",IFERROR(IF(Str_TypeDonneesCpt4=Cpt_Index,Tab_Compteur_4[[#This Row],[Index]]-E110,Tab_Compteur_4[[#This Row],[Quantité]])/Tab_Compteur_4[[#This Row],[Delta Jour]],""))</f>
        <v/>
      </c>
      <c r="H111" s="186" t="str">
        <f>IFERROR(Tab_Compteur_4[[#This Row],[Montant]]/Tab_Compteur_4[[#This Row],[Delta Jour]],"")</f>
        <v/>
      </c>
      <c r="I111" s="208" t="str">
        <f t="shared" si="4"/>
        <v/>
      </c>
      <c r="J111" s="209"/>
      <c r="K111" s="38"/>
      <c r="L111" s="38"/>
      <c r="M111" s="38"/>
    </row>
    <row r="112" spans="1:13">
      <c r="A112" s="3">
        <f t="shared" si="5"/>
        <v>1</v>
      </c>
      <c r="B112" s="87"/>
      <c r="C112" s="189"/>
      <c r="D112" s="188"/>
      <c r="E112" s="186"/>
      <c r="F112" s="186">
        <f t="shared" si="3"/>
        <v>0</v>
      </c>
      <c r="G112" s="186" t="str">
        <f>IF(IFERROR(IF(Str_TypeDonneesCpt4=Cpt_Index,Tab_Compteur_4[[#This Row],[Index]]-E111,Tab_Compteur_4[[#This Row],[Quantité]])/Tab_Compteur_4[[#This Row],[Delta Jour]],"")&lt;0,"",IFERROR(IF(Str_TypeDonneesCpt4=Cpt_Index,Tab_Compteur_4[[#This Row],[Index]]-E111,Tab_Compteur_4[[#This Row],[Quantité]])/Tab_Compteur_4[[#This Row],[Delta Jour]],""))</f>
        <v/>
      </c>
      <c r="H112" s="186" t="str">
        <f>IFERROR(Tab_Compteur_4[[#This Row],[Montant]]/Tab_Compteur_4[[#This Row],[Delta Jour]],"")</f>
        <v/>
      </c>
      <c r="I112" s="208" t="str">
        <f t="shared" si="4"/>
        <v/>
      </c>
      <c r="J112" s="209"/>
      <c r="K112" s="38"/>
      <c r="L112" s="38"/>
      <c r="M112" s="38"/>
    </row>
    <row r="113" spans="1:13">
      <c r="A113" s="3">
        <f t="shared" si="5"/>
        <v>1</v>
      </c>
      <c r="B113" s="87"/>
      <c r="C113" s="189"/>
      <c r="D113" s="188"/>
      <c r="E113" s="186"/>
      <c r="F113" s="186">
        <f t="shared" si="3"/>
        <v>0</v>
      </c>
      <c r="G113" s="186" t="str">
        <f>IF(IFERROR(IF(Str_TypeDonneesCpt4=Cpt_Index,Tab_Compteur_4[[#This Row],[Index]]-E112,Tab_Compteur_4[[#This Row],[Quantité]])/Tab_Compteur_4[[#This Row],[Delta Jour]],"")&lt;0,"",IFERROR(IF(Str_TypeDonneesCpt4=Cpt_Index,Tab_Compteur_4[[#This Row],[Index]]-E112,Tab_Compteur_4[[#This Row],[Quantité]])/Tab_Compteur_4[[#This Row],[Delta Jour]],""))</f>
        <v/>
      </c>
      <c r="H113" s="186" t="str">
        <f>IFERROR(Tab_Compteur_4[[#This Row],[Montant]]/Tab_Compteur_4[[#This Row],[Delta Jour]],"")</f>
        <v/>
      </c>
      <c r="I113" s="208" t="str">
        <f t="shared" si="4"/>
        <v/>
      </c>
      <c r="J113" s="209"/>
      <c r="K113" s="38"/>
      <c r="L113" s="38"/>
      <c r="M113" s="38"/>
    </row>
    <row r="114" spans="1:13">
      <c r="A114" s="3">
        <f t="shared" si="5"/>
        <v>1</v>
      </c>
      <c r="B114" s="87"/>
      <c r="C114" s="189"/>
      <c r="D114" s="188"/>
      <c r="E114" s="186"/>
      <c r="F114" s="186">
        <f t="shared" si="3"/>
        <v>0</v>
      </c>
      <c r="G114" s="186" t="str">
        <f>IF(IFERROR(IF(Str_TypeDonneesCpt4=Cpt_Index,Tab_Compteur_4[[#This Row],[Index]]-E113,Tab_Compteur_4[[#This Row],[Quantité]])/Tab_Compteur_4[[#This Row],[Delta Jour]],"")&lt;0,"",IFERROR(IF(Str_TypeDonneesCpt4=Cpt_Index,Tab_Compteur_4[[#This Row],[Index]]-E113,Tab_Compteur_4[[#This Row],[Quantité]])/Tab_Compteur_4[[#This Row],[Delta Jour]],""))</f>
        <v/>
      </c>
      <c r="H114" s="186" t="str">
        <f>IFERROR(Tab_Compteur_4[[#This Row],[Montant]]/Tab_Compteur_4[[#This Row],[Delta Jour]],"")</f>
        <v/>
      </c>
      <c r="I114" s="208" t="str">
        <f t="shared" si="4"/>
        <v/>
      </c>
      <c r="J114" s="209"/>
      <c r="K114" s="38"/>
      <c r="L114" s="38"/>
      <c r="M114" s="38"/>
    </row>
    <row r="115" spans="1:13">
      <c r="A115" s="3">
        <f t="shared" si="5"/>
        <v>1</v>
      </c>
      <c r="B115" s="87"/>
      <c r="C115" s="189"/>
      <c r="D115" s="188"/>
      <c r="E115" s="186"/>
      <c r="F115" s="186">
        <f t="shared" si="3"/>
        <v>0</v>
      </c>
      <c r="G115" s="186" t="str">
        <f>IF(IFERROR(IF(Str_TypeDonneesCpt4=Cpt_Index,Tab_Compteur_4[[#This Row],[Index]]-E114,Tab_Compteur_4[[#This Row],[Quantité]])/Tab_Compteur_4[[#This Row],[Delta Jour]],"")&lt;0,"",IFERROR(IF(Str_TypeDonneesCpt4=Cpt_Index,Tab_Compteur_4[[#This Row],[Index]]-E114,Tab_Compteur_4[[#This Row],[Quantité]])/Tab_Compteur_4[[#This Row],[Delta Jour]],""))</f>
        <v/>
      </c>
      <c r="H115" s="186" t="str">
        <f>IFERROR(Tab_Compteur_4[[#This Row],[Montant]]/Tab_Compteur_4[[#This Row],[Delta Jour]],"")</f>
        <v/>
      </c>
      <c r="I115" s="208" t="str">
        <f t="shared" si="4"/>
        <v/>
      </c>
      <c r="J115" s="209"/>
      <c r="K115" s="38"/>
      <c r="L115" s="38"/>
      <c r="M115" s="38"/>
    </row>
    <row r="116" spans="1:13">
      <c r="A116" s="3">
        <f t="shared" si="5"/>
        <v>1</v>
      </c>
      <c r="B116" s="87"/>
      <c r="C116" s="189"/>
      <c r="D116" s="188"/>
      <c r="E116" s="186"/>
      <c r="F116" s="186">
        <f t="shared" si="3"/>
        <v>0</v>
      </c>
      <c r="G116" s="186" t="str">
        <f>IF(IFERROR(IF(Str_TypeDonneesCpt4=Cpt_Index,Tab_Compteur_4[[#This Row],[Index]]-E115,Tab_Compteur_4[[#This Row],[Quantité]])/Tab_Compteur_4[[#This Row],[Delta Jour]],"")&lt;0,"",IFERROR(IF(Str_TypeDonneesCpt4=Cpt_Index,Tab_Compteur_4[[#This Row],[Index]]-E115,Tab_Compteur_4[[#This Row],[Quantité]])/Tab_Compteur_4[[#This Row],[Delta Jour]],""))</f>
        <v/>
      </c>
      <c r="H116" s="186" t="str">
        <f>IFERROR(Tab_Compteur_4[[#This Row],[Montant]]/Tab_Compteur_4[[#This Row],[Delta Jour]],"")</f>
        <v/>
      </c>
      <c r="I116" s="208" t="str">
        <f t="shared" si="4"/>
        <v/>
      </c>
      <c r="J116" s="209"/>
      <c r="K116" s="38"/>
      <c r="L116" s="38"/>
      <c r="M116" s="38"/>
    </row>
    <row r="117" spans="1:13">
      <c r="A117" s="3">
        <f t="shared" si="5"/>
        <v>1</v>
      </c>
      <c r="B117" s="87"/>
      <c r="C117" s="189"/>
      <c r="D117" s="188"/>
      <c r="E117" s="186"/>
      <c r="F117" s="186">
        <f t="shared" si="3"/>
        <v>0</v>
      </c>
      <c r="G117" s="186" t="str">
        <f>IF(IFERROR(IF(Str_TypeDonneesCpt4=Cpt_Index,Tab_Compteur_4[[#This Row],[Index]]-E116,Tab_Compteur_4[[#This Row],[Quantité]])/Tab_Compteur_4[[#This Row],[Delta Jour]],"")&lt;0,"",IFERROR(IF(Str_TypeDonneesCpt4=Cpt_Index,Tab_Compteur_4[[#This Row],[Index]]-E116,Tab_Compteur_4[[#This Row],[Quantité]])/Tab_Compteur_4[[#This Row],[Delta Jour]],""))</f>
        <v/>
      </c>
      <c r="H117" s="186" t="str">
        <f>IFERROR(Tab_Compteur_4[[#This Row],[Montant]]/Tab_Compteur_4[[#This Row],[Delta Jour]],"")</f>
        <v/>
      </c>
      <c r="I117" s="208" t="str">
        <f t="shared" si="4"/>
        <v/>
      </c>
      <c r="J117" s="209"/>
      <c r="K117" s="38"/>
      <c r="L117" s="38"/>
      <c r="M117" s="38"/>
    </row>
    <row r="118" spans="1:13">
      <c r="A118" s="3">
        <f t="shared" si="5"/>
        <v>1</v>
      </c>
      <c r="B118" s="87"/>
      <c r="C118" s="189"/>
      <c r="D118" s="188"/>
      <c r="E118" s="186"/>
      <c r="F118" s="186">
        <f t="shared" si="3"/>
        <v>0</v>
      </c>
      <c r="G118" s="186" t="str">
        <f>IF(IFERROR(IF(Str_TypeDonneesCpt4=Cpt_Index,Tab_Compteur_4[[#This Row],[Index]]-E117,Tab_Compteur_4[[#This Row],[Quantité]])/Tab_Compteur_4[[#This Row],[Delta Jour]],"")&lt;0,"",IFERROR(IF(Str_TypeDonneesCpt4=Cpt_Index,Tab_Compteur_4[[#This Row],[Index]]-E117,Tab_Compteur_4[[#This Row],[Quantité]])/Tab_Compteur_4[[#This Row],[Delta Jour]],""))</f>
        <v/>
      </c>
      <c r="H118" s="186" t="str">
        <f>IFERROR(Tab_Compteur_4[[#This Row],[Montant]]/Tab_Compteur_4[[#This Row],[Delta Jour]],"")</f>
        <v/>
      </c>
      <c r="I118" s="208" t="str">
        <f t="shared" si="4"/>
        <v/>
      </c>
      <c r="J118" s="209"/>
      <c r="K118" s="38"/>
      <c r="L118" s="38"/>
      <c r="M118" s="38"/>
    </row>
    <row r="119" spans="1:13">
      <c r="A119" s="3">
        <f t="shared" si="5"/>
        <v>1</v>
      </c>
      <c r="B119" s="87"/>
      <c r="C119" s="189"/>
      <c r="D119" s="188"/>
      <c r="E119" s="186"/>
      <c r="F119" s="186">
        <f t="shared" si="3"/>
        <v>0</v>
      </c>
      <c r="G119" s="186" t="str">
        <f>IF(IFERROR(IF(Str_TypeDonneesCpt4=Cpt_Index,Tab_Compteur_4[[#This Row],[Index]]-E118,Tab_Compteur_4[[#This Row],[Quantité]])/Tab_Compteur_4[[#This Row],[Delta Jour]],"")&lt;0,"",IFERROR(IF(Str_TypeDonneesCpt4=Cpt_Index,Tab_Compteur_4[[#This Row],[Index]]-E118,Tab_Compteur_4[[#This Row],[Quantité]])/Tab_Compteur_4[[#This Row],[Delta Jour]],""))</f>
        <v/>
      </c>
      <c r="H119" s="186" t="str">
        <f>IFERROR(Tab_Compteur_4[[#This Row],[Montant]]/Tab_Compteur_4[[#This Row],[Delta Jour]],"")</f>
        <v/>
      </c>
      <c r="I119" s="208" t="str">
        <f t="shared" si="4"/>
        <v/>
      </c>
      <c r="J119" s="209"/>
      <c r="K119" s="38"/>
      <c r="L119" s="38"/>
      <c r="M119" s="38"/>
    </row>
    <row r="120" spans="1:13">
      <c r="A120" s="3">
        <f t="shared" si="5"/>
        <v>1</v>
      </c>
      <c r="B120" s="87"/>
      <c r="C120" s="189"/>
      <c r="D120" s="188"/>
      <c r="E120" s="186"/>
      <c r="F120" s="186">
        <f t="shared" si="3"/>
        <v>0</v>
      </c>
      <c r="G120" s="186" t="str">
        <f>IF(IFERROR(IF(Str_TypeDonneesCpt4=Cpt_Index,Tab_Compteur_4[[#This Row],[Index]]-E119,Tab_Compteur_4[[#This Row],[Quantité]])/Tab_Compteur_4[[#This Row],[Delta Jour]],"")&lt;0,"",IFERROR(IF(Str_TypeDonneesCpt4=Cpt_Index,Tab_Compteur_4[[#This Row],[Index]]-E119,Tab_Compteur_4[[#This Row],[Quantité]])/Tab_Compteur_4[[#This Row],[Delta Jour]],""))</f>
        <v/>
      </c>
      <c r="H120" s="186" t="str">
        <f>IFERROR(Tab_Compteur_4[[#This Row],[Montant]]/Tab_Compteur_4[[#This Row],[Delta Jour]],"")</f>
        <v/>
      </c>
      <c r="I120" s="208" t="str">
        <f t="shared" si="4"/>
        <v/>
      </c>
      <c r="J120" s="209"/>
      <c r="K120" s="38"/>
      <c r="L120" s="38"/>
      <c r="M120" s="38"/>
    </row>
    <row r="121" spans="1:13">
      <c r="A121" s="3">
        <f t="shared" si="5"/>
        <v>1</v>
      </c>
      <c r="B121" s="87"/>
      <c r="C121" s="189"/>
      <c r="D121" s="188"/>
      <c r="E121" s="186"/>
      <c r="F121" s="186">
        <f t="shared" si="3"/>
        <v>0</v>
      </c>
      <c r="G121" s="186" t="str">
        <f>IF(IFERROR(IF(Str_TypeDonneesCpt4=Cpt_Index,Tab_Compteur_4[[#This Row],[Index]]-E120,Tab_Compteur_4[[#This Row],[Quantité]])/Tab_Compteur_4[[#This Row],[Delta Jour]],"")&lt;0,"",IFERROR(IF(Str_TypeDonneesCpt4=Cpt_Index,Tab_Compteur_4[[#This Row],[Index]]-E120,Tab_Compteur_4[[#This Row],[Quantité]])/Tab_Compteur_4[[#This Row],[Delta Jour]],""))</f>
        <v/>
      </c>
      <c r="H121" s="186" t="str">
        <f>IFERROR(Tab_Compteur_4[[#This Row],[Montant]]/Tab_Compteur_4[[#This Row],[Delta Jour]],"")</f>
        <v/>
      </c>
      <c r="I121" s="208" t="str">
        <f t="shared" si="4"/>
        <v/>
      </c>
      <c r="J121" s="209"/>
      <c r="K121" s="38"/>
      <c r="L121" s="38"/>
      <c r="M121" s="38"/>
    </row>
    <row r="122" spans="1:13">
      <c r="A122" s="3">
        <f t="shared" si="5"/>
        <v>1</v>
      </c>
      <c r="B122" s="87"/>
      <c r="C122" s="189"/>
      <c r="D122" s="188"/>
      <c r="E122" s="186"/>
      <c r="F122" s="186">
        <f t="shared" si="3"/>
        <v>0</v>
      </c>
      <c r="G122" s="186" t="str">
        <f>IF(IFERROR(IF(Str_TypeDonneesCpt4=Cpt_Index,Tab_Compteur_4[[#This Row],[Index]]-E121,Tab_Compteur_4[[#This Row],[Quantité]])/Tab_Compteur_4[[#This Row],[Delta Jour]],"")&lt;0,"",IFERROR(IF(Str_TypeDonneesCpt4=Cpt_Index,Tab_Compteur_4[[#This Row],[Index]]-E121,Tab_Compteur_4[[#This Row],[Quantité]])/Tab_Compteur_4[[#This Row],[Delta Jour]],""))</f>
        <v/>
      </c>
      <c r="H122" s="186" t="str">
        <f>IFERROR(Tab_Compteur_4[[#This Row],[Montant]]/Tab_Compteur_4[[#This Row],[Delta Jour]],"")</f>
        <v/>
      </c>
      <c r="I122" s="208" t="str">
        <f t="shared" si="4"/>
        <v/>
      </c>
      <c r="J122" s="209"/>
      <c r="K122" s="38"/>
      <c r="L122" s="38"/>
      <c r="M122" s="38"/>
    </row>
    <row r="123" spans="1:13">
      <c r="A123" s="3">
        <f t="shared" si="5"/>
        <v>1</v>
      </c>
      <c r="B123" s="87"/>
      <c r="C123" s="189"/>
      <c r="D123" s="188"/>
      <c r="E123" s="186"/>
      <c r="F123" s="186">
        <f t="shared" si="3"/>
        <v>0</v>
      </c>
      <c r="G123" s="186" t="str">
        <f>IF(IFERROR(IF(Str_TypeDonneesCpt4=Cpt_Index,Tab_Compteur_4[[#This Row],[Index]]-E122,Tab_Compteur_4[[#This Row],[Quantité]])/Tab_Compteur_4[[#This Row],[Delta Jour]],"")&lt;0,"",IFERROR(IF(Str_TypeDonneesCpt4=Cpt_Index,Tab_Compteur_4[[#This Row],[Index]]-E122,Tab_Compteur_4[[#This Row],[Quantité]])/Tab_Compteur_4[[#This Row],[Delta Jour]],""))</f>
        <v/>
      </c>
      <c r="H123" s="186" t="str">
        <f>IFERROR(Tab_Compteur_4[[#This Row],[Montant]]/Tab_Compteur_4[[#This Row],[Delta Jour]],"")</f>
        <v/>
      </c>
      <c r="I123" s="208" t="str">
        <f t="shared" si="4"/>
        <v/>
      </c>
      <c r="J123" s="209"/>
      <c r="K123" s="38"/>
      <c r="L123" s="38"/>
      <c r="M123" s="38"/>
    </row>
    <row r="124" spans="1:13">
      <c r="A124" s="3">
        <f t="shared" si="5"/>
        <v>1</v>
      </c>
      <c r="B124" s="87"/>
      <c r="C124" s="189"/>
      <c r="D124" s="188"/>
      <c r="E124" s="186"/>
      <c r="F124" s="186">
        <f t="shared" si="3"/>
        <v>0</v>
      </c>
      <c r="G124" s="186" t="str">
        <f>IF(IFERROR(IF(Str_TypeDonneesCpt4=Cpt_Index,Tab_Compteur_4[[#This Row],[Index]]-E123,Tab_Compteur_4[[#This Row],[Quantité]])/Tab_Compteur_4[[#This Row],[Delta Jour]],"")&lt;0,"",IFERROR(IF(Str_TypeDonneesCpt4=Cpt_Index,Tab_Compteur_4[[#This Row],[Index]]-E123,Tab_Compteur_4[[#This Row],[Quantité]])/Tab_Compteur_4[[#This Row],[Delta Jour]],""))</f>
        <v/>
      </c>
      <c r="H124" s="186" t="str">
        <f>IFERROR(Tab_Compteur_4[[#This Row],[Montant]]/Tab_Compteur_4[[#This Row],[Delta Jour]],"")</f>
        <v/>
      </c>
      <c r="I124" s="208" t="str">
        <f t="shared" si="4"/>
        <v/>
      </c>
      <c r="J124" s="209"/>
      <c r="K124" s="38"/>
      <c r="L124" s="38"/>
      <c r="M124" s="38"/>
    </row>
    <row r="125" spans="1:13">
      <c r="A125" s="3">
        <f t="shared" si="5"/>
        <v>1</v>
      </c>
      <c r="B125" s="87"/>
      <c r="C125" s="189"/>
      <c r="D125" s="188"/>
      <c r="E125" s="186"/>
      <c r="F125" s="186">
        <f t="shared" si="3"/>
        <v>0</v>
      </c>
      <c r="G125" s="186" t="str">
        <f>IF(IFERROR(IF(Str_TypeDonneesCpt4=Cpt_Index,Tab_Compteur_4[[#This Row],[Index]]-E124,Tab_Compteur_4[[#This Row],[Quantité]])/Tab_Compteur_4[[#This Row],[Delta Jour]],"")&lt;0,"",IFERROR(IF(Str_TypeDonneesCpt4=Cpt_Index,Tab_Compteur_4[[#This Row],[Index]]-E124,Tab_Compteur_4[[#This Row],[Quantité]])/Tab_Compteur_4[[#This Row],[Delta Jour]],""))</f>
        <v/>
      </c>
      <c r="H125" s="186" t="str">
        <f>IFERROR(Tab_Compteur_4[[#This Row],[Montant]]/Tab_Compteur_4[[#This Row],[Delta Jour]],"")</f>
        <v/>
      </c>
      <c r="I125" s="208" t="str">
        <f t="shared" si="4"/>
        <v/>
      </c>
      <c r="J125" s="209"/>
      <c r="K125" s="38"/>
      <c r="L125" s="38"/>
      <c r="M125" s="38"/>
    </row>
    <row r="126" spans="1:13">
      <c r="A126" s="3">
        <f t="shared" si="5"/>
        <v>1</v>
      </c>
      <c r="B126" s="87"/>
      <c r="C126" s="189"/>
      <c r="D126" s="188"/>
      <c r="E126" s="186"/>
      <c r="F126" s="186">
        <f t="shared" si="3"/>
        <v>0</v>
      </c>
      <c r="G126" s="186" t="str">
        <f>IF(IFERROR(IF(Str_TypeDonneesCpt4=Cpt_Index,Tab_Compteur_4[[#This Row],[Index]]-E125,Tab_Compteur_4[[#This Row],[Quantité]])/Tab_Compteur_4[[#This Row],[Delta Jour]],"")&lt;0,"",IFERROR(IF(Str_TypeDonneesCpt4=Cpt_Index,Tab_Compteur_4[[#This Row],[Index]]-E125,Tab_Compteur_4[[#This Row],[Quantité]])/Tab_Compteur_4[[#This Row],[Delta Jour]],""))</f>
        <v/>
      </c>
      <c r="H126" s="186" t="str">
        <f>IFERROR(Tab_Compteur_4[[#This Row],[Montant]]/Tab_Compteur_4[[#This Row],[Delta Jour]],"")</f>
        <v/>
      </c>
      <c r="I126" s="208" t="str">
        <f t="shared" si="4"/>
        <v/>
      </c>
      <c r="J126" s="209"/>
      <c r="K126" s="38"/>
      <c r="L126" s="38"/>
      <c r="M126" s="38"/>
    </row>
    <row r="127" spans="1:13">
      <c r="A127" s="3">
        <f t="shared" si="5"/>
        <v>1</v>
      </c>
      <c r="B127" s="87"/>
      <c r="C127" s="189"/>
      <c r="D127" s="188"/>
      <c r="E127" s="186"/>
      <c r="F127" s="186">
        <f t="shared" si="3"/>
        <v>0</v>
      </c>
      <c r="G127" s="186" t="str">
        <f>IF(IFERROR(IF(Str_TypeDonneesCpt4=Cpt_Index,Tab_Compteur_4[[#This Row],[Index]]-E126,Tab_Compteur_4[[#This Row],[Quantité]])/Tab_Compteur_4[[#This Row],[Delta Jour]],"")&lt;0,"",IFERROR(IF(Str_TypeDonneesCpt4=Cpt_Index,Tab_Compteur_4[[#This Row],[Index]]-E126,Tab_Compteur_4[[#This Row],[Quantité]])/Tab_Compteur_4[[#This Row],[Delta Jour]],""))</f>
        <v/>
      </c>
      <c r="H127" s="186" t="str">
        <f>IFERROR(Tab_Compteur_4[[#This Row],[Montant]]/Tab_Compteur_4[[#This Row],[Delta Jour]],"")</f>
        <v/>
      </c>
      <c r="I127" s="208" t="str">
        <f t="shared" si="4"/>
        <v/>
      </c>
      <c r="J127" s="209"/>
      <c r="K127" s="38"/>
      <c r="L127" s="38"/>
      <c r="M127" s="38"/>
    </row>
    <row r="128" spans="1:13">
      <c r="A128" s="3">
        <f t="shared" si="5"/>
        <v>1</v>
      </c>
      <c r="B128" s="87"/>
      <c r="C128" s="189"/>
      <c r="D128" s="188"/>
      <c r="E128" s="186"/>
      <c r="F128" s="186">
        <f t="shared" si="3"/>
        <v>0</v>
      </c>
      <c r="G128" s="186" t="str">
        <f>IF(IFERROR(IF(Str_TypeDonneesCpt4=Cpt_Index,Tab_Compteur_4[[#This Row],[Index]]-E127,Tab_Compteur_4[[#This Row],[Quantité]])/Tab_Compteur_4[[#This Row],[Delta Jour]],"")&lt;0,"",IFERROR(IF(Str_TypeDonneesCpt4=Cpt_Index,Tab_Compteur_4[[#This Row],[Index]]-E127,Tab_Compteur_4[[#This Row],[Quantité]])/Tab_Compteur_4[[#This Row],[Delta Jour]],""))</f>
        <v/>
      </c>
      <c r="H128" s="186" t="str">
        <f>IFERROR(Tab_Compteur_4[[#This Row],[Montant]]/Tab_Compteur_4[[#This Row],[Delta Jour]],"")</f>
        <v/>
      </c>
      <c r="I128" s="208" t="str">
        <f t="shared" si="4"/>
        <v/>
      </c>
      <c r="J128" s="209"/>
      <c r="K128" s="38"/>
      <c r="L128" s="38"/>
      <c r="M128" s="38"/>
    </row>
    <row r="129" spans="1:13">
      <c r="A129" s="3">
        <f t="shared" si="5"/>
        <v>1</v>
      </c>
      <c r="B129" s="87"/>
      <c r="C129" s="189"/>
      <c r="D129" s="188"/>
      <c r="E129" s="186"/>
      <c r="F129" s="186">
        <f t="shared" si="3"/>
        <v>0</v>
      </c>
      <c r="G129" s="186" t="str">
        <f>IF(IFERROR(IF(Str_TypeDonneesCpt4=Cpt_Index,Tab_Compteur_4[[#This Row],[Index]]-E128,Tab_Compteur_4[[#This Row],[Quantité]])/Tab_Compteur_4[[#This Row],[Delta Jour]],"")&lt;0,"",IFERROR(IF(Str_TypeDonneesCpt4=Cpt_Index,Tab_Compteur_4[[#This Row],[Index]]-E128,Tab_Compteur_4[[#This Row],[Quantité]])/Tab_Compteur_4[[#This Row],[Delta Jour]],""))</f>
        <v/>
      </c>
      <c r="H129" s="186" t="str">
        <f>IFERROR(Tab_Compteur_4[[#This Row],[Montant]]/Tab_Compteur_4[[#This Row],[Delta Jour]],"")</f>
        <v/>
      </c>
      <c r="I129" s="208" t="str">
        <f t="shared" si="4"/>
        <v/>
      </c>
      <c r="J129" s="209"/>
      <c r="K129" s="38"/>
      <c r="L129" s="38"/>
      <c r="M129" s="38"/>
    </row>
    <row r="130" spans="1:13">
      <c r="A130" s="3">
        <f t="shared" si="5"/>
        <v>1</v>
      </c>
      <c r="B130" s="87"/>
      <c r="C130" s="189"/>
      <c r="D130" s="188"/>
      <c r="E130" s="186"/>
      <c r="F130" s="186">
        <f t="shared" si="3"/>
        <v>0</v>
      </c>
      <c r="G130" s="186" t="str">
        <f>IF(IFERROR(IF(Str_TypeDonneesCpt4=Cpt_Index,Tab_Compteur_4[[#This Row],[Index]]-E129,Tab_Compteur_4[[#This Row],[Quantité]])/Tab_Compteur_4[[#This Row],[Delta Jour]],"")&lt;0,"",IFERROR(IF(Str_TypeDonneesCpt4=Cpt_Index,Tab_Compteur_4[[#This Row],[Index]]-E129,Tab_Compteur_4[[#This Row],[Quantité]])/Tab_Compteur_4[[#This Row],[Delta Jour]],""))</f>
        <v/>
      </c>
      <c r="H130" s="186" t="str">
        <f>IFERROR(Tab_Compteur_4[[#This Row],[Montant]]/Tab_Compteur_4[[#This Row],[Delta Jour]],"")</f>
        <v/>
      </c>
      <c r="I130" s="208" t="str">
        <f t="shared" si="4"/>
        <v/>
      </c>
      <c r="J130" s="209"/>
      <c r="K130" s="38"/>
      <c r="L130" s="38"/>
      <c r="M130" s="38"/>
    </row>
    <row r="131" spans="1:13">
      <c r="A131" s="3">
        <f t="shared" si="5"/>
        <v>1</v>
      </c>
      <c r="B131" s="87"/>
      <c r="C131" s="189"/>
      <c r="D131" s="188"/>
      <c r="E131" s="186"/>
      <c r="F131" s="186">
        <f t="shared" ref="F131:F194" si="6">IFERROR(B131-A131+1,"")</f>
        <v>0</v>
      </c>
      <c r="G131" s="186" t="str">
        <f>IF(IFERROR(IF(Str_TypeDonneesCpt4=Cpt_Index,Tab_Compteur_4[[#This Row],[Index]]-E130,Tab_Compteur_4[[#This Row],[Quantité]])/Tab_Compteur_4[[#This Row],[Delta Jour]],"")&lt;0,"",IFERROR(IF(Str_TypeDonneesCpt4=Cpt_Index,Tab_Compteur_4[[#This Row],[Index]]-E130,Tab_Compteur_4[[#This Row],[Quantité]])/Tab_Compteur_4[[#This Row],[Delta Jour]],""))</f>
        <v/>
      </c>
      <c r="H131" s="186" t="str">
        <f>IFERROR(Tab_Compteur_4[[#This Row],[Montant]]/Tab_Compteur_4[[#This Row],[Delta Jour]],"")</f>
        <v/>
      </c>
      <c r="I131" s="208" t="str">
        <f t="shared" ref="I131:I194" si="7">G131</f>
        <v/>
      </c>
      <c r="J131" s="209"/>
      <c r="K131" s="38"/>
      <c r="L131" s="38"/>
      <c r="M131" s="38"/>
    </row>
    <row r="132" spans="1:13">
      <c r="A132" s="3">
        <f t="shared" si="5"/>
        <v>1</v>
      </c>
      <c r="B132" s="87"/>
      <c r="C132" s="189"/>
      <c r="D132" s="188"/>
      <c r="E132" s="186"/>
      <c r="F132" s="186">
        <f t="shared" si="6"/>
        <v>0</v>
      </c>
      <c r="G132" s="186" t="str">
        <f>IF(IFERROR(IF(Str_TypeDonneesCpt4=Cpt_Index,Tab_Compteur_4[[#This Row],[Index]]-E131,Tab_Compteur_4[[#This Row],[Quantité]])/Tab_Compteur_4[[#This Row],[Delta Jour]],"")&lt;0,"",IFERROR(IF(Str_TypeDonneesCpt4=Cpt_Index,Tab_Compteur_4[[#This Row],[Index]]-E131,Tab_Compteur_4[[#This Row],[Quantité]])/Tab_Compteur_4[[#This Row],[Delta Jour]],""))</f>
        <v/>
      </c>
      <c r="H132" s="186" t="str">
        <f>IFERROR(Tab_Compteur_4[[#This Row],[Montant]]/Tab_Compteur_4[[#This Row],[Delta Jour]],"")</f>
        <v/>
      </c>
      <c r="I132" s="208" t="str">
        <f t="shared" si="7"/>
        <v/>
      </c>
      <c r="J132" s="209"/>
      <c r="K132" s="38"/>
      <c r="L132" s="38"/>
      <c r="M132" s="38"/>
    </row>
    <row r="133" spans="1:13">
      <c r="A133" s="3">
        <f t="shared" si="5"/>
        <v>1</v>
      </c>
      <c r="B133" s="87"/>
      <c r="C133" s="189"/>
      <c r="D133" s="188"/>
      <c r="E133" s="186"/>
      <c r="F133" s="186">
        <f t="shared" si="6"/>
        <v>0</v>
      </c>
      <c r="G133" s="186" t="str">
        <f>IF(IFERROR(IF(Str_TypeDonneesCpt4=Cpt_Index,Tab_Compteur_4[[#This Row],[Index]]-E132,Tab_Compteur_4[[#This Row],[Quantité]])/Tab_Compteur_4[[#This Row],[Delta Jour]],"")&lt;0,"",IFERROR(IF(Str_TypeDonneesCpt4=Cpt_Index,Tab_Compteur_4[[#This Row],[Index]]-E132,Tab_Compteur_4[[#This Row],[Quantité]])/Tab_Compteur_4[[#This Row],[Delta Jour]],""))</f>
        <v/>
      </c>
      <c r="H133" s="186" t="str">
        <f>IFERROR(Tab_Compteur_4[[#This Row],[Montant]]/Tab_Compteur_4[[#This Row],[Delta Jour]],"")</f>
        <v/>
      </c>
      <c r="I133" s="208" t="str">
        <f t="shared" si="7"/>
        <v/>
      </c>
      <c r="J133" s="209"/>
      <c r="K133" s="38"/>
      <c r="L133" s="38"/>
      <c r="M133" s="38"/>
    </row>
    <row r="134" spans="1:13">
      <c r="A134" s="3">
        <f t="shared" ref="A134:A197" si="8">IFERROR(B133+1,0)</f>
        <v>1</v>
      </c>
      <c r="B134" s="87"/>
      <c r="C134" s="189"/>
      <c r="D134" s="188"/>
      <c r="E134" s="186"/>
      <c r="F134" s="186">
        <f t="shared" si="6"/>
        <v>0</v>
      </c>
      <c r="G134" s="186" t="str">
        <f>IF(IFERROR(IF(Str_TypeDonneesCpt4=Cpt_Index,Tab_Compteur_4[[#This Row],[Index]]-E133,Tab_Compteur_4[[#This Row],[Quantité]])/Tab_Compteur_4[[#This Row],[Delta Jour]],"")&lt;0,"",IFERROR(IF(Str_TypeDonneesCpt4=Cpt_Index,Tab_Compteur_4[[#This Row],[Index]]-E133,Tab_Compteur_4[[#This Row],[Quantité]])/Tab_Compteur_4[[#This Row],[Delta Jour]],""))</f>
        <v/>
      </c>
      <c r="H134" s="186" t="str">
        <f>IFERROR(Tab_Compteur_4[[#This Row],[Montant]]/Tab_Compteur_4[[#This Row],[Delta Jour]],"")</f>
        <v/>
      </c>
      <c r="I134" s="208" t="str">
        <f t="shared" si="7"/>
        <v/>
      </c>
      <c r="J134" s="209"/>
      <c r="K134" s="38"/>
      <c r="L134" s="38"/>
      <c r="M134" s="38"/>
    </row>
    <row r="135" spans="1:13">
      <c r="A135" s="3">
        <f t="shared" si="8"/>
        <v>1</v>
      </c>
      <c r="B135" s="87"/>
      <c r="C135" s="189"/>
      <c r="D135" s="188"/>
      <c r="E135" s="186"/>
      <c r="F135" s="186">
        <f t="shared" si="6"/>
        <v>0</v>
      </c>
      <c r="G135" s="186" t="str">
        <f>IF(IFERROR(IF(Str_TypeDonneesCpt4=Cpt_Index,Tab_Compteur_4[[#This Row],[Index]]-E134,Tab_Compteur_4[[#This Row],[Quantité]])/Tab_Compteur_4[[#This Row],[Delta Jour]],"")&lt;0,"",IFERROR(IF(Str_TypeDonneesCpt4=Cpt_Index,Tab_Compteur_4[[#This Row],[Index]]-E134,Tab_Compteur_4[[#This Row],[Quantité]])/Tab_Compteur_4[[#This Row],[Delta Jour]],""))</f>
        <v/>
      </c>
      <c r="H135" s="186" t="str">
        <f>IFERROR(Tab_Compteur_4[[#This Row],[Montant]]/Tab_Compteur_4[[#This Row],[Delta Jour]],"")</f>
        <v/>
      </c>
      <c r="I135" s="208" t="str">
        <f t="shared" si="7"/>
        <v/>
      </c>
      <c r="J135" s="209"/>
      <c r="K135" s="38"/>
      <c r="L135" s="38"/>
      <c r="M135" s="38"/>
    </row>
    <row r="136" spans="1:13">
      <c r="A136" s="3">
        <f t="shared" si="8"/>
        <v>1</v>
      </c>
      <c r="B136" s="87"/>
      <c r="C136" s="189"/>
      <c r="D136" s="188"/>
      <c r="E136" s="186"/>
      <c r="F136" s="186">
        <f t="shared" si="6"/>
        <v>0</v>
      </c>
      <c r="G136" s="186" t="str">
        <f>IF(IFERROR(IF(Str_TypeDonneesCpt4=Cpt_Index,Tab_Compteur_4[[#This Row],[Index]]-E135,Tab_Compteur_4[[#This Row],[Quantité]])/Tab_Compteur_4[[#This Row],[Delta Jour]],"")&lt;0,"",IFERROR(IF(Str_TypeDonneesCpt4=Cpt_Index,Tab_Compteur_4[[#This Row],[Index]]-E135,Tab_Compteur_4[[#This Row],[Quantité]])/Tab_Compteur_4[[#This Row],[Delta Jour]],""))</f>
        <v/>
      </c>
      <c r="H136" s="186" t="str">
        <f>IFERROR(Tab_Compteur_4[[#This Row],[Montant]]/Tab_Compteur_4[[#This Row],[Delta Jour]],"")</f>
        <v/>
      </c>
      <c r="I136" s="208" t="str">
        <f t="shared" si="7"/>
        <v/>
      </c>
      <c r="J136" s="209"/>
      <c r="K136" s="38"/>
      <c r="L136" s="38"/>
      <c r="M136" s="38"/>
    </row>
    <row r="137" spans="1:13">
      <c r="A137" s="3">
        <f t="shared" si="8"/>
        <v>1</v>
      </c>
      <c r="B137" s="87"/>
      <c r="C137" s="189"/>
      <c r="D137" s="188"/>
      <c r="E137" s="186"/>
      <c r="F137" s="186">
        <f t="shared" si="6"/>
        <v>0</v>
      </c>
      <c r="G137" s="186" t="str">
        <f>IF(IFERROR(IF(Str_TypeDonneesCpt4=Cpt_Index,Tab_Compteur_4[[#This Row],[Index]]-E136,Tab_Compteur_4[[#This Row],[Quantité]])/Tab_Compteur_4[[#This Row],[Delta Jour]],"")&lt;0,"",IFERROR(IF(Str_TypeDonneesCpt4=Cpt_Index,Tab_Compteur_4[[#This Row],[Index]]-E136,Tab_Compteur_4[[#This Row],[Quantité]])/Tab_Compteur_4[[#This Row],[Delta Jour]],""))</f>
        <v/>
      </c>
      <c r="H137" s="186" t="str">
        <f>IFERROR(Tab_Compteur_4[[#This Row],[Montant]]/Tab_Compteur_4[[#This Row],[Delta Jour]],"")</f>
        <v/>
      </c>
      <c r="I137" s="208" t="str">
        <f t="shared" si="7"/>
        <v/>
      </c>
      <c r="J137" s="209"/>
      <c r="K137" s="38"/>
      <c r="L137" s="38"/>
      <c r="M137" s="38"/>
    </row>
    <row r="138" spans="1:13">
      <c r="A138" s="3">
        <f t="shared" si="8"/>
        <v>1</v>
      </c>
      <c r="B138" s="87"/>
      <c r="C138" s="189"/>
      <c r="D138" s="188"/>
      <c r="E138" s="186"/>
      <c r="F138" s="186">
        <f t="shared" si="6"/>
        <v>0</v>
      </c>
      <c r="G138" s="186" t="str">
        <f>IF(IFERROR(IF(Str_TypeDonneesCpt4=Cpt_Index,Tab_Compteur_4[[#This Row],[Index]]-E137,Tab_Compteur_4[[#This Row],[Quantité]])/Tab_Compteur_4[[#This Row],[Delta Jour]],"")&lt;0,"",IFERROR(IF(Str_TypeDonneesCpt4=Cpt_Index,Tab_Compteur_4[[#This Row],[Index]]-E137,Tab_Compteur_4[[#This Row],[Quantité]])/Tab_Compteur_4[[#This Row],[Delta Jour]],""))</f>
        <v/>
      </c>
      <c r="H138" s="186" t="str">
        <f>IFERROR(Tab_Compteur_4[[#This Row],[Montant]]/Tab_Compteur_4[[#This Row],[Delta Jour]],"")</f>
        <v/>
      </c>
      <c r="I138" s="208" t="str">
        <f t="shared" si="7"/>
        <v/>
      </c>
      <c r="J138" s="209"/>
      <c r="K138" s="38"/>
      <c r="L138" s="38"/>
      <c r="M138" s="38"/>
    </row>
    <row r="139" spans="1:13">
      <c r="A139" s="3">
        <f t="shared" si="8"/>
        <v>1</v>
      </c>
      <c r="B139" s="87"/>
      <c r="C139" s="189"/>
      <c r="D139" s="188"/>
      <c r="E139" s="186"/>
      <c r="F139" s="186">
        <f t="shared" si="6"/>
        <v>0</v>
      </c>
      <c r="G139" s="186" t="str">
        <f>IF(IFERROR(IF(Str_TypeDonneesCpt4=Cpt_Index,Tab_Compteur_4[[#This Row],[Index]]-E138,Tab_Compteur_4[[#This Row],[Quantité]])/Tab_Compteur_4[[#This Row],[Delta Jour]],"")&lt;0,"",IFERROR(IF(Str_TypeDonneesCpt4=Cpt_Index,Tab_Compteur_4[[#This Row],[Index]]-E138,Tab_Compteur_4[[#This Row],[Quantité]])/Tab_Compteur_4[[#This Row],[Delta Jour]],""))</f>
        <v/>
      </c>
      <c r="H139" s="186" t="str">
        <f>IFERROR(Tab_Compteur_4[[#This Row],[Montant]]/Tab_Compteur_4[[#This Row],[Delta Jour]],"")</f>
        <v/>
      </c>
      <c r="I139" s="208" t="str">
        <f t="shared" si="7"/>
        <v/>
      </c>
      <c r="J139" s="209"/>
      <c r="K139" s="38"/>
      <c r="L139" s="38"/>
      <c r="M139" s="38"/>
    </row>
    <row r="140" spans="1:13">
      <c r="A140" s="3">
        <f t="shared" si="8"/>
        <v>1</v>
      </c>
      <c r="B140" s="87"/>
      <c r="C140" s="189"/>
      <c r="D140" s="188"/>
      <c r="E140" s="186"/>
      <c r="F140" s="186">
        <f t="shared" si="6"/>
        <v>0</v>
      </c>
      <c r="G140" s="186" t="str">
        <f>IF(IFERROR(IF(Str_TypeDonneesCpt4=Cpt_Index,Tab_Compteur_4[[#This Row],[Index]]-E139,Tab_Compteur_4[[#This Row],[Quantité]])/Tab_Compteur_4[[#This Row],[Delta Jour]],"")&lt;0,"",IFERROR(IF(Str_TypeDonneesCpt4=Cpt_Index,Tab_Compteur_4[[#This Row],[Index]]-E139,Tab_Compteur_4[[#This Row],[Quantité]])/Tab_Compteur_4[[#This Row],[Delta Jour]],""))</f>
        <v/>
      </c>
      <c r="H140" s="186" t="str">
        <f>IFERROR(Tab_Compteur_4[[#This Row],[Montant]]/Tab_Compteur_4[[#This Row],[Delta Jour]],"")</f>
        <v/>
      </c>
      <c r="I140" s="208" t="str">
        <f t="shared" si="7"/>
        <v/>
      </c>
      <c r="J140" s="209"/>
      <c r="K140" s="38"/>
      <c r="L140" s="38"/>
      <c r="M140" s="38"/>
    </row>
    <row r="141" spans="1:13">
      <c r="A141" s="3">
        <f t="shared" si="8"/>
        <v>1</v>
      </c>
      <c r="B141" s="87"/>
      <c r="C141" s="189"/>
      <c r="D141" s="188"/>
      <c r="E141" s="186"/>
      <c r="F141" s="186">
        <f t="shared" si="6"/>
        <v>0</v>
      </c>
      <c r="G141" s="186" t="str">
        <f>IF(IFERROR(IF(Str_TypeDonneesCpt4=Cpt_Index,Tab_Compteur_4[[#This Row],[Index]]-E140,Tab_Compteur_4[[#This Row],[Quantité]])/Tab_Compteur_4[[#This Row],[Delta Jour]],"")&lt;0,"",IFERROR(IF(Str_TypeDonneesCpt4=Cpt_Index,Tab_Compteur_4[[#This Row],[Index]]-E140,Tab_Compteur_4[[#This Row],[Quantité]])/Tab_Compteur_4[[#This Row],[Delta Jour]],""))</f>
        <v/>
      </c>
      <c r="H141" s="186" t="str">
        <f>IFERROR(Tab_Compteur_4[[#This Row],[Montant]]/Tab_Compteur_4[[#This Row],[Delta Jour]],"")</f>
        <v/>
      </c>
      <c r="I141" s="208" t="str">
        <f t="shared" si="7"/>
        <v/>
      </c>
      <c r="J141" s="209"/>
      <c r="K141" s="38"/>
      <c r="L141" s="38"/>
      <c r="M141" s="38"/>
    </row>
    <row r="142" spans="1:13">
      <c r="A142" s="3">
        <f t="shared" si="8"/>
        <v>1</v>
      </c>
      <c r="B142" s="87"/>
      <c r="C142" s="189"/>
      <c r="D142" s="188"/>
      <c r="E142" s="186"/>
      <c r="F142" s="186">
        <f t="shared" si="6"/>
        <v>0</v>
      </c>
      <c r="G142" s="186" t="str">
        <f>IF(IFERROR(IF(Str_TypeDonneesCpt4=Cpt_Index,Tab_Compteur_4[[#This Row],[Index]]-E141,Tab_Compteur_4[[#This Row],[Quantité]])/Tab_Compteur_4[[#This Row],[Delta Jour]],"")&lt;0,"",IFERROR(IF(Str_TypeDonneesCpt4=Cpt_Index,Tab_Compteur_4[[#This Row],[Index]]-E141,Tab_Compteur_4[[#This Row],[Quantité]])/Tab_Compteur_4[[#This Row],[Delta Jour]],""))</f>
        <v/>
      </c>
      <c r="H142" s="186" t="str">
        <f>IFERROR(Tab_Compteur_4[[#This Row],[Montant]]/Tab_Compteur_4[[#This Row],[Delta Jour]],"")</f>
        <v/>
      </c>
      <c r="I142" s="208" t="str">
        <f t="shared" si="7"/>
        <v/>
      </c>
      <c r="J142" s="209"/>
      <c r="K142" s="38"/>
      <c r="L142" s="38"/>
      <c r="M142" s="38"/>
    </row>
    <row r="143" spans="1:13">
      <c r="A143" s="3">
        <f t="shared" si="8"/>
        <v>1</v>
      </c>
      <c r="B143" s="87"/>
      <c r="C143" s="189"/>
      <c r="D143" s="188"/>
      <c r="E143" s="186"/>
      <c r="F143" s="186">
        <f t="shared" si="6"/>
        <v>0</v>
      </c>
      <c r="G143" s="186" t="str">
        <f>IF(IFERROR(IF(Str_TypeDonneesCpt4=Cpt_Index,Tab_Compteur_4[[#This Row],[Index]]-E142,Tab_Compteur_4[[#This Row],[Quantité]])/Tab_Compteur_4[[#This Row],[Delta Jour]],"")&lt;0,"",IFERROR(IF(Str_TypeDonneesCpt4=Cpt_Index,Tab_Compteur_4[[#This Row],[Index]]-E142,Tab_Compteur_4[[#This Row],[Quantité]])/Tab_Compteur_4[[#This Row],[Delta Jour]],""))</f>
        <v/>
      </c>
      <c r="H143" s="186" t="str">
        <f>IFERROR(Tab_Compteur_4[[#This Row],[Montant]]/Tab_Compteur_4[[#This Row],[Delta Jour]],"")</f>
        <v/>
      </c>
      <c r="I143" s="208" t="str">
        <f t="shared" si="7"/>
        <v/>
      </c>
      <c r="J143" s="209"/>
      <c r="K143" s="38"/>
      <c r="L143" s="38"/>
      <c r="M143" s="38"/>
    </row>
    <row r="144" spans="1:13">
      <c r="A144" s="3">
        <f t="shared" si="8"/>
        <v>1</v>
      </c>
      <c r="B144" s="87"/>
      <c r="C144" s="189"/>
      <c r="D144" s="188"/>
      <c r="E144" s="186"/>
      <c r="F144" s="186">
        <f t="shared" si="6"/>
        <v>0</v>
      </c>
      <c r="G144" s="186" t="str">
        <f>IF(IFERROR(IF(Str_TypeDonneesCpt4=Cpt_Index,Tab_Compteur_4[[#This Row],[Index]]-E143,Tab_Compteur_4[[#This Row],[Quantité]])/Tab_Compteur_4[[#This Row],[Delta Jour]],"")&lt;0,"",IFERROR(IF(Str_TypeDonneesCpt4=Cpt_Index,Tab_Compteur_4[[#This Row],[Index]]-E143,Tab_Compteur_4[[#This Row],[Quantité]])/Tab_Compteur_4[[#This Row],[Delta Jour]],""))</f>
        <v/>
      </c>
      <c r="H144" s="186" t="str">
        <f>IFERROR(Tab_Compteur_4[[#This Row],[Montant]]/Tab_Compteur_4[[#This Row],[Delta Jour]],"")</f>
        <v/>
      </c>
      <c r="I144" s="208" t="str">
        <f t="shared" si="7"/>
        <v/>
      </c>
      <c r="J144" s="209"/>
      <c r="K144" s="38"/>
      <c r="L144" s="38"/>
      <c r="M144" s="38"/>
    </row>
    <row r="145" spans="1:13">
      <c r="A145" s="3">
        <f t="shared" si="8"/>
        <v>1</v>
      </c>
      <c r="B145" s="87"/>
      <c r="C145" s="189"/>
      <c r="D145" s="188"/>
      <c r="E145" s="186"/>
      <c r="F145" s="186">
        <f t="shared" si="6"/>
        <v>0</v>
      </c>
      <c r="G145" s="186" t="str">
        <f>IF(IFERROR(IF(Str_TypeDonneesCpt4=Cpt_Index,Tab_Compteur_4[[#This Row],[Index]]-E144,Tab_Compteur_4[[#This Row],[Quantité]])/Tab_Compteur_4[[#This Row],[Delta Jour]],"")&lt;0,"",IFERROR(IF(Str_TypeDonneesCpt4=Cpt_Index,Tab_Compteur_4[[#This Row],[Index]]-E144,Tab_Compteur_4[[#This Row],[Quantité]])/Tab_Compteur_4[[#This Row],[Delta Jour]],""))</f>
        <v/>
      </c>
      <c r="H145" s="186" t="str">
        <f>IFERROR(Tab_Compteur_4[[#This Row],[Montant]]/Tab_Compteur_4[[#This Row],[Delta Jour]],"")</f>
        <v/>
      </c>
      <c r="I145" s="208" t="str">
        <f t="shared" si="7"/>
        <v/>
      </c>
      <c r="J145" s="209"/>
      <c r="K145" s="38"/>
      <c r="L145" s="38"/>
      <c r="M145" s="38"/>
    </row>
    <row r="146" spans="1:13">
      <c r="A146" s="3">
        <f t="shared" si="8"/>
        <v>1</v>
      </c>
      <c r="B146" s="87"/>
      <c r="C146" s="189"/>
      <c r="D146" s="188"/>
      <c r="E146" s="186"/>
      <c r="F146" s="186">
        <f t="shared" si="6"/>
        <v>0</v>
      </c>
      <c r="G146" s="186" t="str">
        <f>IF(IFERROR(IF(Str_TypeDonneesCpt4=Cpt_Index,Tab_Compteur_4[[#This Row],[Index]]-E145,Tab_Compteur_4[[#This Row],[Quantité]])/Tab_Compteur_4[[#This Row],[Delta Jour]],"")&lt;0,"",IFERROR(IF(Str_TypeDonneesCpt4=Cpt_Index,Tab_Compteur_4[[#This Row],[Index]]-E145,Tab_Compteur_4[[#This Row],[Quantité]])/Tab_Compteur_4[[#This Row],[Delta Jour]],""))</f>
        <v/>
      </c>
      <c r="H146" s="186" t="str">
        <f>IFERROR(Tab_Compteur_4[[#This Row],[Montant]]/Tab_Compteur_4[[#This Row],[Delta Jour]],"")</f>
        <v/>
      </c>
      <c r="I146" s="208" t="str">
        <f t="shared" si="7"/>
        <v/>
      </c>
      <c r="J146" s="209"/>
      <c r="K146" s="38"/>
      <c r="L146" s="38"/>
      <c r="M146" s="38"/>
    </row>
    <row r="147" spans="1:13">
      <c r="A147" s="3">
        <f t="shared" si="8"/>
        <v>1</v>
      </c>
      <c r="B147" s="87"/>
      <c r="C147" s="189"/>
      <c r="D147" s="188"/>
      <c r="E147" s="186"/>
      <c r="F147" s="186">
        <f t="shared" si="6"/>
        <v>0</v>
      </c>
      <c r="G147" s="186" t="str">
        <f>IF(IFERROR(IF(Str_TypeDonneesCpt4=Cpt_Index,Tab_Compteur_4[[#This Row],[Index]]-E146,Tab_Compteur_4[[#This Row],[Quantité]])/Tab_Compteur_4[[#This Row],[Delta Jour]],"")&lt;0,"",IFERROR(IF(Str_TypeDonneesCpt4=Cpt_Index,Tab_Compteur_4[[#This Row],[Index]]-E146,Tab_Compteur_4[[#This Row],[Quantité]])/Tab_Compteur_4[[#This Row],[Delta Jour]],""))</f>
        <v/>
      </c>
      <c r="H147" s="186" t="str">
        <f>IFERROR(Tab_Compteur_4[[#This Row],[Montant]]/Tab_Compteur_4[[#This Row],[Delta Jour]],"")</f>
        <v/>
      </c>
      <c r="I147" s="208" t="str">
        <f t="shared" si="7"/>
        <v/>
      </c>
      <c r="J147" s="209"/>
      <c r="K147" s="38"/>
      <c r="L147" s="38"/>
      <c r="M147" s="38"/>
    </row>
    <row r="148" spans="1:13">
      <c r="A148" s="3">
        <f t="shared" si="8"/>
        <v>1</v>
      </c>
      <c r="B148" s="87"/>
      <c r="C148" s="189"/>
      <c r="D148" s="188"/>
      <c r="E148" s="186"/>
      <c r="F148" s="186">
        <f t="shared" si="6"/>
        <v>0</v>
      </c>
      <c r="G148" s="186" t="str">
        <f>IF(IFERROR(IF(Str_TypeDonneesCpt4=Cpt_Index,Tab_Compteur_4[[#This Row],[Index]]-E147,Tab_Compteur_4[[#This Row],[Quantité]])/Tab_Compteur_4[[#This Row],[Delta Jour]],"")&lt;0,"",IFERROR(IF(Str_TypeDonneesCpt4=Cpt_Index,Tab_Compteur_4[[#This Row],[Index]]-E147,Tab_Compteur_4[[#This Row],[Quantité]])/Tab_Compteur_4[[#This Row],[Delta Jour]],""))</f>
        <v/>
      </c>
      <c r="H148" s="186" t="str">
        <f>IFERROR(Tab_Compteur_4[[#This Row],[Montant]]/Tab_Compteur_4[[#This Row],[Delta Jour]],"")</f>
        <v/>
      </c>
      <c r="I148" s="208" t="str">
        <f t="shared" si="7"/>
        <v/>
      </c>
      <c r="J148" s="209"/>
      <c r="K148" s="38"/>
      <c r="L148" s="38"/>
      <c r="M148" s="38"/>
    </row>
    <row r="149" spans="1:13">
      <c r="A149" s="3">
        <f t="shared" si="8"/>
        <v>1</v>
      </c>
      <c r="B149" s="87"/>
      <c r="C149" s="189"/>
      <c r="D149" s="188"/>
      <c r="E149" s="186"/>
      <c r="F149" s="186">
        <f t="shared" si="6"/>
        <v>0</v>
      </c>
      <c r="G149" s="186" t="str">
        <f>IF(IFERROR(IF(Str_TypeDonneesCpt4=Cpt_Index,Tab_Compteur_4[[#This Row],[Index]]-E148,Tab_Compteur_4[[#This Row],[Quantité]])/Tab_Compteur_4[[#This Row],[Delta Jour]],"")&lt;0,"",IFERROR(IF(Str_TypeDonneesCpt4=Cpt_Index,Tab_Compteur_4[[#This Row],[Index]]-E148,Tab_Compteur_4[[#This Row],[Quantité]])/Tab_Compteur_4[[#This Row],[Delta Jour]],""))</f>
        <v/>
      </c>
      <c r="H149" s="186" t="str">
        <f>IFERROR(Tab_Compteur_4[[#This Row],[Montant]]/Tab_Compteur_4[[#This Row],[Delta Jour]],"")</f>
        <v/>
      </c>
      <c r="I149" s="208" t="str">
        <f t="shared" si="7"/>
        <v/>
      </c>
      <c r="J149" s="209"/>
      <c r="K149" s="38"/>
      <c r="L149" s="38"/>
      <c r="M149" s="38"/>
    </row>
    <row r="150" spans="1:13">
      <c r="A150" s="3">
        <f t="shared" si="8"/>
        <v>1</v>
      </c>
      <c r="B150" s="87"/>
      <c r="C150" s="189"/>
      <c r="D150" s="188"/>
      <c r="E150" s="186"/>
      <c r="F150" s="186">
        <f t="shared" si="6"/>
        <v>0</v>
      </c>
      <c r="G150" s="186" t="str">
        <f>IF(IFERROR(IF(Str_TypeDonneesCpt4=Cpt_Index,Tab_Compteur_4[[#This Row],[Index]]-E149,Tab_Compteur_4[[#This Row],[Quantité]])/Tab_Compteur_4[[#This Row],[Delta Jour]],"")&lt;0,"",IFERROR(IF(Str_TypeDonneesCpt4=Cpt_Index,Tab_Compteur_4[[#This Row],[Index]]-E149,Tab_Compteur_4[[#This Row],[Quantité]])/Tab_Compteur_4[[#This Row],[Delta Jour]],""))</f>
        <v/>
      </c>
      <c r="H150" s="186" t="str">
        <f>IFERROR(Tab_Compteur_4[[#This Row],[Montant]]/Tab_Compteur_4[[#This Row],[Delta Jour]],"")</f>
        <v/>
      </c>
      <c r="I150" s="208" t="str">
        <f t="shared" si="7"/>
        <v/>
      </c>
      <c r="J150" s="209"/>
      <c r="K150" s="38"/>
      <c r="L150" s="38"/>
      <c r="M150" s="38"/>
    </row>
    <row r="151" spans="1:13">
      <c r="A151" s="3">
        <f t="shared" si="8"/>
        <v>1</v>
      </c>
      <c r="B151" s="87"/>
      <c r="C151" s="189"/>
      <c r="D151" s="188"/>
      <c r="E151" s="186"/>
      <c r="F151" s="186">
        <f t="shared" si="6"/>
        <v>0</v>
      </c>
      <c r="G151" s="186" t="str">
        <f>IF(IFERROR(IF(Str_TypeDonneesCpt4=Cpt_Index,Tab_Compteur_4[[#This Row],[Index]]-E150,Tab_Compteur_4[[#This Row],[Quantité]])/Tab_Compteur_4[[#This Row],[Delta Jour]],"")&lt;0,"",IFERROR(IF(Str_TypeDonneesCpt4=Cpt_Index,Tab_Compteur_4[[#This Row],[Index]]-E150,Tab_Compteur_4[[#This Row],[Quantité]])/Tab_Compteur_4[[#This Row],[Delta Jour]],""))</f>
        <v/>
      </c>
      <c r="H151" s="186" t="str">
        <f>IFERROR(Tab_Compteur_4[[#This Row],[Montant]]/Tab_Compteur_4[[#This Row],[Delta Jour]],"")</f>
        <v/>
      </c>
      <c r="I151" s="208" t="str">
        <f t="shared" si="7"/>
        <v/>
      </c>
      <c r="J151" s="209"/>
      <c r="K151" s="38"/>
      <c r="L151" s="38"/>
      <c r="M151" s="38"/>
    </row>
    <row r="152" spans="1:13">
      <c r="A152" s="3">
        <f t="shared" si="8"/>
        <v>1</v>
      </c>
      <c r="B152" s="87"/>
      <c r="C152" s="189"/>
      <c r="D152" s="188"/>
      <c r="E152" s="186"/>
      <c r="F152" s="186">
        <f t="shared" si="6"/>
        <v>0</v>
      </c>
      <c r="G152" s="186" t="str">
        <f>IF(IFERROR(IF(Str_TypeDonneesCpt4=Cpt_Index,Tab_Compteur_4[[#This Row],[Index]]-E151,Tab_Compteur_4[[#This Row],[Quantité]])/Tab_Compteur_4[[#This Row],[Delta Jour]],"")&lt;0,"",IFERROR(IF(Str_TypeDonneesCpt4=Cpt_Index,Tab_Compteur_4[[#This Row],[Index]]-E151,Tab_Compteur_4[[#This Row],[Quantité]])/Tab_Compteur_4[[#This Row],[Delta Jour]],""))</f>
        <v/>
      </c>
      <c r="H152" s="186" t="str">
        <f>IFERROR(Tab_Compteur_4[[#This Row],[Montant]]/Tab_Compteur_4[[#This Row],[Delta Jour]],"")</f>
        <v/>
      </c>
      <c r="I152" s="208" t="str">
        <f t="shared" si="7"/>
        <v/>
      </c>
      <c r="J152" s="209"/>
      <c r="K152" s="38"/>
      <c r="L152" s="38"/>
      <c r="M152" s="38"/>
    </row>
    <row r="153" spans="1:13">
      <c r="A153" s="3">
        <f t="shared" si="8"/>
        <v>1</v>
      </c>
      <c r="B153" s="87"/>
      <c r="C153" s="189"/>
      <c r="D153" s="188"/>
      <c r="E153" s="186"/>
      <c r="F153" s="186">
        <f t="shared" si="6"/>
        <v>0</v>
      </c>
      <c r="G153" s="186" t="str">
        <f>IF(IFERROR(IF(Str_TypeDonneesCpt4=Cpt_Index,Tab_Compteur_4[[#This Row],[Index]]-E152,Tab_Compteur_4[[#This Row],[Quantité]])/Tab_Compteur_4[[#This Row],[Delta Jour]],"")&lt;0,"",IFERROR(IF(Str_TypeDonneesCpt4=Cpt_Index,Tab_Compteur_4[[#This Row],[Index]]-E152,Tab_Compteur_4[[#This Row],[Quantité]])/Tab_Compteur_4[[#This Row],[Delta Jour]],""))</f>
        <v/>
      </c>
      <c r="H153" s="186" t="str">
        <f>IFERROR(Tab_Compteur_4[[#This Row],[Montant]]/Tab_Compteur_4[[#This Row],[Delta Jour]],"")</f>
        <v/>
      </c>
      <c r="I153" s="208" t="str">
        <f t="shared" si="7"/>
        <v/>
      </c>
      <c r="J153" s="209"/>
      <c r="K153" s="38"/>
      <c r="L153" s="38"/>
      <c r="M153" s="38"/>
    </row>
    <row r="154" spans="1:13">
      <c r="A154" s="3">
        <f t="shared" si="8"/>
        <v>1</v>
      </c>
      <c r="B154" s="87"/>
      <c r="C154" s="189"/>
      <c r="D154" s="188"/>
      <c r="E154" s="186"/>
      <c r="F154" s="186">
        <f t="shared" si="6"/>
        <v>0</v>
      </c>
      <c r="G154" s="186" t="str">
        <f>IF(IFERROR(IF(Str_TypeDonneesCpt4=Cpt_Index,Tab_Compteur_4[[#This Row],[Index]]-E153,Tab_Compteur_4[[#This Row],[Quantité]])/Tab_Compteur_4[[#This Row],[Delta Jour]],"")&lt;0,"",IFERROR(IF(Str_TypeDonneesCpt4=Cpt_Index,Tab_Compteur_4[[#This Row],[Index]]-E153,Tab_Compteur_4[[#This Row],[Quantité]])/Tab_Compteur_4[[#This Row],[Delta Jour]],""))</f>
        <v/>
      </c>
      <c r="H154" s="186" t="str">
        <f>IFERROR(Tab_Compteur_4[[#This Row],[Montant]]/Tab_Compteur_4[[#This Row],[Delta Jour]],"")</f>
        <v/>
      </c>
      <c r="I154" s="208" t="str">
        <f t="shared" si="7"/>
        <v/>
      </c>
      <c r="J154" s="209"/>
      <c r="K154" s="38"/>
      <c r="L154" s="38"/>
      <c r="M154" s="38"/>
    </row>
    <row r="155" spans="1:13">
      <c r="A155" s="3">
        <f t="shared" si="8"/>
        <v>1</v>
      </c>
      <c r="B155" s="87"/>
      <c r="C155" s="189"/>
      <c r="D155" s="188"/>
      <c r="E155" s="186"/>
      <c r="F155" s="186">
        <f t="shared" si="6"/>
        <v>0</v>
      </c>
      <c r="G155" s="186" t="str">
        <f>IF(IFERROR(IF(Str_TypeDonneesCpt4=Cpt_Index,Tab_Compteur_4[[#This Row],[Index]]-E154,Tab_Compteur_4[[#This Row],[Quantité]])/Tab_Compteur_4[[#This Row],[Delta Jour]],"")&lt;0,"",IFERROR(IF(Str_TypeDonneesCpt4=Cpt_Index,Tab_Compteur_4[[#This Row],[Index]]-E154,Tab_Compteur_4[[#This Row],[Quantité]])/Tab_Compteur_4[[#This Row],[Delta Jour]],""))</f>
        <v/>
      </c>
      <c r="H155" s="186" t="str">
        <f>IFERROR(Tab_Compteur_4[[#This Row],[Montant]]/Tab_Compteur_4[[#This Row],[Delta Jour]],"")</f>
        <v/>
      </c>
      <c r="I155" s="208" t="str">
        <f t="shared" si="7"/>
        <v/>
      </c>
      <c r="J155" s="209"/>
      <c r="K155" s="38"/>
      <c r="L155" s="38"/>
      <c r="M155" s="38"/>
    </row>
    <row r="156" spans="1:13">
      <c r="A156" s="3">
        <f t="shared" si="8"/>
        <v>1</v>
      </c>
      <c r="B156" s="87"/>
      <c r="C156" s="189"/>
      <c r="D156" s="188"/>
      <c r="E156" s="186"/>
      <c r="F156" s="186">
        <f t="shared" si="6"/>
        <v>0</v>
      </c>
      <c r="G156" s="186" t="str">
        <f>IF(IFERROR(IF(Str_TypeDonneesCpt4=Cpt_Index,Tab_Compteur_4[[#This Row],[Index]]-E155,Tab_Compteur_4[[#This Row],[Quantité]])/Tab_Compteur_4[[#This Row],[Delta Jour]],"")&lt;0,"",IFERROR(IF(Str_TypeDonneesCpt4=Cpt_Index,Tab_Compteur_4[[#This Row],[Index]]-E155,Tab_Compteur_4[[#This Row],[Quantité]])/Tab_Compteur_4[[#This Row],[Delta Jour]],""))</f>
        <v/>
      </c>
      <c r="H156" s="186" t="str">
        <f>IFERROR(Tab_Compteur_4[[#This Row],[Montant]]/Tab_Compteur_4[[#This Row],[Delta Jour]],"")</f>
        <v/>
      </c>
      <c r="I156" s="208" t="str">
        <f t="shared" si="7"/>
        <v/>
      </c>
      <c r="J156" s="209"/>
      <c r="K156" s="38"/>
      <c r="L156" s="38"/>
      <c r="M156" s="38"/>
    </row>
    <row r="157" spans="1:13">
      <c r="A157" s="3">
        <f t="shared" si="8"/>
        <v>1</v>
      </c>
      <c r="B157" s="87"/>
      <c r="C157" s="189"/>
      <c r="D157" s="188"/>
      <c r="E157" s="186"/>
      <c r="F157" s="186">
        <f t="shared" si="6"/>
        <v>0</v>
      </c>
      <c r="G157" s="186" t="str">
        <f>IF(IFERROR(IF(Str_TypeDonneesCpt4=Cpt_Index,Tab_Compteur_4[[#This Row],[Index]]-E156,Tab_Compteur_4[[#This Row],[Quantité]])/Tab_Compteur_4[[#This Row],[Delta Jour]],"")&lt;0,"",IFERROR(IF(Str_TypeDonneesCpt4=Cpt_Index,Tab_Compteur_4[[#This Row],[Index]]-E156,Tab_Compteur_4[[#This Row],[Quantité]])/Tab_Compteur_4[[#This Row],[Delta Jour]],""))</f>
        <v/>
      </c>
      <c r="H157" s="186" t="str">
        <f>IFERROR(Tab_Compteur_4[[#This Row],[Montant]]/Tab_Compteur_4[[#This Row],[Delta Jour]],"")</f>
        <v/>
      </c>
      <c r="I157" s="208" t="str">
        <f t="shared" si="7"/>
        <v/>
      </c>
      <c r="J157" s="209"/>
      <c r="K157" s="38"/>
      <c r="L157" s="38"/>
      <c r="M157" s="38"/>
    </row>
    <row r="158" spans="1:13">
      <c r="A158" s="3">
        <f t="shared" si="8"/>
        <v>1</v>
      </c>
      <c r="B158" s="87"/>
      <c r="C158" s="189"/>
      <c r="D158" s="188"/>
      <c r="E158" s="186"/>
      <c r="F158" s="186">
        <f t="shared" si="6"/>
        <v>0</v>
      </c>
      <c r="G158" s="186" t="str">
        <f>IF(IFERROR(IF(Str_TypeDonneesCpt4=Cpt_Index,Tab_Compteur_4[[#This Row],[Index]]-E157,Tab_Compteur_4[[#This Row],[Quantité]])/Tab_Compteur_4[[#This Row],[Delta Jour]],"")&lt;0,"",IFERROR(IF(Str_TypeDonneesCpt4=Cpt_Index,Tab_Compteur_4[[#This Row],[Index]]-E157,Tab_Compteur_4[[#This Row],[Quantité]])/Tab_Compteur_4[[#This Row],[Delta Jour]],""))</f>
        <v/>
      </c>
      <c r="H158" s="186" t="str">
        <f>IFERROR(Tab_Compteur_4[[#This Row],[Montant]]/Tab_Compteur_4[[#This Row],[Delta Jour]],"")</f>
        <v/>
      </c>
      <c r="I158" s="208" t="str">
        <f t="shared" si="7"/>
        <v/>
      </c>
      <c r="J158" s="209"/>
      <c r="K158" s="38"/>
      <c r="L158" s="38"/>
      <c r="M158" s="38"/>
    </row>
    <row r="159" spans="1:13">
      <c r="A159" s="3">
        <f t="shared" si="8"/>
        <v>1</v>
      </c>
      <c r="B159" s="87"/>
      <c r="C159" s="189"/>
      <c r="D159" s="188"/>
      <c r="E159" s="186"/>
      <c r="F159" s="186">
        <f t="shared" si="6"/>
        <v>0</v>
      </c>
      <c r="G159" s="186" t="str">
        <f>IF(IFERROR(IF(Str_TypeDonneesCpt4=Cpt_Index,Tab_Compteur_4[[#This Row],[Index]]-E158,Tab_Compteur_4[[#This Row],[Quantité]])/Tab_Compteur_4[[#This Row],[Delta Jour]],"")&lt;0,"",IFERROR(IF(Str_TypeDonneesCpt4=Cpt_Index,Tab_Compteur_4[[#This Row],[Index]]-E158,Tab_Compteur_4[[#This Row],[Quantité]])/Tab_Compteur_4[[#This Row],[Delta Jour]],""))</f>
        <v/>
      </c>
      <c r="H159" s="186" t="str">
        <f>IFERROR(Tab_Compteur_4[[#This Row],[Montant]]/Tab_Compteur_4[[#This Row],[Delta Jour]],"")</f>
        <v/>
      </c>
      <c r="I159" s="208" t="str">
        <f t="shared" si="7"/>
        <v/>
      </c>
      <c r="J159" s="209"/>
      <c r="K159" s="38"/>
      <c r="L159" s="38"/>
      <c r="M159" s="38"/>
    </row>
    <row r="160" spans="1:13">
      <c r="A160" s="3">
        <f t="shared" si="8"/>
        <v>1</v>
      </c>
      <c r="B160" s="87"/>
      <c r="C160" s="189"/>
      <c r="D160" s="188"/>
      <c r="E160" s="186"/>
      <c r="F160" s="186">
        <f t="shared" si="6"/>
        <v>0</v>
      </c>
      <c r="G160" s="186" t="str">
        <f>IF(IFERROR(IF(Str_TypeDonneesCpt4=Cpt_Index,Tab_Compteur_4[[#This Row],[Index]]-E159,Tab_Compteur_4[[#This Row],[Quantité]])/Tab_Compteur_4[[#This Row],[Delta Jour]],"")&lt;0,"",IFERROR(IF(Str_TypeDonneesCpt4=Cpt_Index,Tab_Compteur_4[[#This Row],[Index]]-E159,Tab_Compteur_4[[#This Row],[Quantité]])/Tab_Compteur_4[[#This Row],[Delta Jour]],""))</f>
        <v/>
      </c>
      <c r="H160" s="186" t="str">
        <f>IFERROR(Tab_Compteur_4[[#This Row],[Montant]]/Tab_Compteur_4[[#This Row],[Delta Jour]],"")</f>
        <v/>
      </c>
      <c r="I160" s="208" t="str">
        <f t="shared" si="7"/>
        <v/>
      </c>
      <c r="J160" s="209"/>
      <c r="K160" s="38"/>
      <c r="L160" s="38"/>
      <c r="M160" s="38"/>
    </row>
    <row r="161" spans="1:13">
      <c r="A161" s="3">
        <f t="shared" si="8"/>
        <v>1</v>
      </c>
      <c r="B161" s="87"/>
      <c r="C161" s="189"/>
      <c r="D161" s="188"/>
      <c r="E161" s="186"/>
      <c r="F161" s="186">
        <f t="shared" si="6"/>
        <v>0</v>
      </c>
      <c r="G161" s="186" t="str">
        <f>IF(IFERROR(IF(Str_TypeDonneesCpt4=Cpt_Index,Tab_Compteur_4[[#This Row],[Index]]-E160,Tab_Compteur_4[[#This Row],[Quantité]])/Tab_Compteur_4[[#This Row],[Delta Jour]],"")&lt;0,"",IFERROR(IF(Str_TypeDonneesCpt4=Cpt_Index,Tab_Compteur_4[[#This Row],[Index]]-E160,Tab_Compteur_4[[#This Row],[Quantité]])/Tab_Compteur_4[[#This Row],[Delta Jour]],""))</f>
        <v/>
      </c>
      <c r="H161" s="186" t="str">
        <f>IFERROR(Tab_Compteur_4[[#This Row],[Montant]]/Tab_Compteur_4[[#This Row],[Delta Jour]],"")</f>
        <v/>
      </c>
      <c r="I161" s="208" t="str">
        <f t="shared" si="7"/>
        <v/>
      </c>
      <c r="J161" s="209"/>
      <c r="K161" s="38"/>
      <c r="L161" s="38"/>
      <c r="M161" s="38"/>
    </row>
    <row r="162" spans="1:13">
      <c r="A162" s="3">
        <f t="shared" si="8"/>
        <v>1</v>
      </c>
      <c r="B162" s="87"/>
      <c r="C162" s="189"/>
      <c r="D162" s="188"/>
      <c r="E162" s="186"/>
      <c r="F162" s="186">
        <f t="shared" si="6"/>
        <v>0</v>
      </c>
      <c r="G162" s="186" t="str">
        <f>IF(IFERROR(IF(Str_TypeDonneesCpt4=Cpt_Index,Tab_Compteur_4[[#This Row],[Index]]-E161,Tab_Compteur_4[[#This Row],[Quantité]])/Tab_Compteur_4[[#This Row],[Delta Jour]],"")&lt;0,"",IFERROR(IF(Str_TypeDonneesCpt4=Cpt_Index,Tab_Compteur_4[[#This Row],[Index]]-E161,Tab_Compteur_4[[#This Row],[Quantité]])/Tab_Compteur_4[[#This Row],[Delta Jour]],""))</f>
        <v/>
      </c>
      <c r="H162" s="186" t="str">
        <f>IFERROR(Tab_Compteur_4[[#This Row],[Montant]]/Tab_Compteur_4[[#This Row],[Delta Jour]],"")</f>
        <v/>
      </c>
      <c r="I162" s="208" t="str">
        <f t="shared" si="7"/>
        <v/>
      </c>
      <c r="J162" s="209"/>
      <c r="K162" s="38"/>
      <c r="L162" s="38"/>
      <c r="M162" s="38"/>
    </row>
    <row r="163" spans="1:13">
      <c r="A163" s="3">
        <f t="shared" si="8"/>
        <v>1</v>
      </c>
      <c r="B163" s="87"/>
      <c r="C163" s="189"/>
      <c r="D163" s="188"/>
      <c r="E163" s="186"/>
      <c r="F163" s="186">
        <f t="shared" si="6"/>
        <v>0</v>
      </c>
      <c r="G163" s="186" t="str">
        <f>IF(IFERROR(IF(Str_TypeDonneesCpt4=Cpt_Index,Tab_Compteur_4[[#This Row],[Index]]-E162,Tab_Compteur_4[[#This Row],[Quantité]])/Tab_Compteur_4[[#This Row],[Delta Jour]],"")&lt;0,"",IFERROR(IF(Str_TypeDonneesCpt4=Cpt_Index,Tab_Compteur_4[[#This Row],[Index]]-E162,Tab_Compteur_4[[#This Row],[Quantité]])/Tab_Compteur_4[[#This Row],[Delta Jour]],""))</f>
        <v/>
      </c>
      <c r="H163" s="186" t="str">
        <f>IFERROR(Tab_Compteur_4[[#This Row],[Montant]]/Tab_Compteur_4[[#This Row],[Delta Jour]],"")</f>
        <v/>
      </c>
      <c r="I163" s="208" t="str">
        <f t="shared" si="7"/>
        <v/>
      </c>
      <c r="J163" s="209"/>
      <c r="K163" s="38"/>
      <c r="L163" s="38"/>
      <c r="M163" s="38"/>
    </row>
    <row r="164" spans="1:13">
      <c r="A164" s="3">
        <f t="shared" si="8"/>
        <v>1</v>
      </c>
      <c r="B164" s="87"/>
      <c r="C164" s="189"/>
      <c r="D164" s="188"/>
      <c r="E164" s="186"/>
      <c r="F164" s="186">
        <f t="shared" si="6"/>
        <v>0</v>
      </c>
      <c r="G164" s="186" t="str">
        <f>IF(IFERROR(IF(Str_TypeDonneesCpt4=Cpt_Index,Tab_Compteur_4[[#This Row],[Index]]-E163,Tab_Compteur_4[[#This Row],[Quantité]])/Tab_Compteur_4[[#This Row],[Delta Jour]],"")&lt;0,"",IFERROR(IF(Str_TypeDonneesCpt4=Cpt_Index,Tab_Compteur_4[[#This Row],[Index]]-E163,Tab_Compteur_4[[#This Row],[Quantité]])/Tab_Compteur_4[[#This Row],[Delta Jour]],""))</f>
        <v/>
      </c>
      <c r="H164" s="186" t="str">
        <f>IFERROR(Tab_Compteur_4[[#This Row],[Montant]]/Tab_Compteur_4[[#This Row],[Delta Jour]],"")</f>
        <v/>
      </c>
      <c r="I164" s="208" t="str">
        <f t="shared" si="7"/>
        <v/>
      </c>
      <c r="J164" s="209"/>
      <c r="K164" s="38"/>
      <c r="L164" s="38"/>
      <c r="M164" s="38"/>
    </row>
    <row r="165" spans="1:13">
      <c r="A165" s="3">
        <f t="shared" si="8"/>
        <v>1</v>
      </c>
      <c r="B165" s="87"/>
      <c r="C165" s="189"/>
      <c r="D165" s="188"/>
      <c r="E165" s="186"/>
      <c r="F165" s="186">
        <f t="shared" si="6"/>
        <v>0</v>
      </c>
      <c r="G165" s="186" t="str">
        <f>IF(IFERROR(IF(Str_TypeDonneesCpt4=Cpt_Index,Tab_Compteur_4[[#This Row],[Index]]-E164,Tab_Compteur_4[[#This Row],[Quantité]])/Tab_Compteur_4[[#This Row],[Delta Jour]],"")&lt;0,"",IFERROR(IF(Str_TypeDonneesCpt4=Cpt_Index,Tab_Compteur_4[[#This Row],[Index]]-E164,Tab_Compteur_4[[#This Row],[Quantité]])/Tab_Compteur_4[[#This Row],[Delta Jour]],""))</f>
        <v/>
      </c>
      <c r="H165" s="186" t="str">
        <f>IFERROR(Tab_Compteur_4[[#This Row],[Montant]]/Tab_Compteur_4[[#This Row],[Delta Jour]],"")</f>
        <v/>
      </c>
      <c r="I165" s="208" t="str">
        <f t="shared" si="7"/>
        <v/>
      </c>
      <c r="J165" s="209"/>
      <c r="K165" s="38"/>
      <c r="L165" s="38"/>
      <c r="M165" s="38"/>
    </row>
    <row r="166" spans="1:13">
      <c r="A166" s="3">
        <f t="shared" si="8"/>
        <v>1</v>
      </c>
      <c r="B166" s="87"/>
      <c r="C166" s="189"/>
      <c r="D166" s="188"/>
      <c r="E166" s="186"/>
      <c r="F166" s="186">
        <f t="shared" si="6"/>
        <v>0</v>
      </c>
      <c r="G166" s="186" t="str">
        <f>IF(IFERROR(IF(Str_TypeDonneesCpt4=Cpt_Index,Tab_Compteur_4[[#This Row],[Index]]-E165,Tab_Compteur_4[[#This Row],[Quantité]])/Tab_Compteur_4[[#This Row],[Delta Jour]],"")&lt;0,"",IFERROR(IF(Str_TypeDonneesCpt4=Cpt_Index,Tab_Compteur_4[[#This Row],[Index]]-E165,Tab_Compteur_4[[#This Row],[Quantité]])/Tab_Compteur_4[[#This Row],[Delta Jour]],""))</f>
        <v/>
      </c>
      <c r="H166" s="186" t="str">
        <f>IFERROR(Tab_Compteur_4[[#This Row],[Montant]]/Tab_Compteur_4[[#This Row],[Delta Jour]],"")</f>
        <v/>
      </c>
      <c r="I166" s="208" t="str">
        <f t="shared" si="7"/>
        <v/>
      </c>
      <c r="J166" s="209"/>
      <c r="K166" s="38"/>
      <c r="L166" s="38"/>
      <c r="M166" s="38"/>
    </row>
    <row r="167" spans="1:13">
      <c r="A167" s="3">
        <f t="shared" si="8"/>
        <v>1</v>
      </c>
      <c r="B167" s="87"/>
      <c r="C167" s="189"/>
      <c r="D167" s="188"/>
      <c r="E167" s="186"/>
      <c r="F167" s="186">
        <f t="shared" si="6"/>
        <v>0</v>
      </c>
      <c r="G167" s="186" t="str">
        <f>IF(IFERROR(IF(Str_TypeDonneesCpt4=Cpt_Index,Tab_Compteur_4[[#This Row],[Index]]-E166,Tab_Compteur_4[[#This Row],[Quantité]])/Tab_Compteur_4[[#This Row],[Delta Jour]],"")&lt;0,"",IFERROR(IF(Str_TypeDonneesCpt4=Cpt_Index,Tab_Compteur_4[[#This Row],[Index]]-E166,Tab_Compteur_4[[#This Row],[Quantité]])/Tab_Compteur_4[[#This Row],[Delta Jour]],""))</f>
        <v/>
      </c>
      <c r="H167" s="186" t="str">
        <f>IFERROR(Tab_Compteur_4[[#This Row],[Montant]]/Tab_Compteur_4[[#This Row],[Delta Jour]],"")</f>
        <v/>
      </c>
      <c r="I167" s="208" t="str">
        <f t="shared" si="7"/>
        <v/>
      </c>
      <c r="J167" s="209"/>
      <c r="K167" s="38"/>
      <c r="L167" s="38"/>
      <c r="M167" s="38"/>
    </row>
    <row r="168" spans="1:13">
      <c r="A168" s="3">
        <f t="shared" si="8"/>
        <v>1</v>
      </c>
      <c r="B168" s="87"/>
      <c r="C168" s="189"/>
      <c r="D168" s="188"/>
      <c r="E168" s="186"/>
      <c r="F168" s="186">
        <f t="shared" si="6"/>
        <v>0</v>
      </c>
      <c r="G168" s="186" t="str">
        <f>IF(IFERROR(IF(Str_TypeDonneesCpt4=Cpt_Index,Tab_Compteur_4[[#This Row],[Index]]-E167,Tab_Compteur_4[[#This Row],[Quantité]])/Tab_Compteur_4[[#This Row],[Delta Jour]],"")&lt;0,"",IFERROR(IF(Str_TypeDonneesCpt4=Cpt_Index,Tab_Compteur_4[[#This Row],[Index]]-E167,Tab_Compteur_4[[#This Row],[Quantité]])/Tab_Compteur_4[[#This Row],[Delta Jour]],""))</f>
        <v/>
      </c>
      <c r="H168" s="186" t="str">
        <f>IFERROR(Tab_Compteur_4[[#This Row],[Montant]]/Tab_Compteur_4[[#This Row],[Delta Jour]],"")</f>
        <v/>
      </c>
      <c r="I168" s="208" t="str">
        <f t="shared" si="7"/>
        <v/>
      </c>
      <c r="J168" s="209"/>
      <c r="K168" s="38"/>
      <c r="L168" s="38"/>
      <c r="M168" s="38"/>
    </row>
    <row r="169" spans="1:13">
      <c r="A169" s="3">
        <f t="shared" si="8"/>
        <v>1</v>
      </c>
      <c r="B169" s="87"/>
      <c r="C169" s="189"/>
      <c r="D169" s="188"/>
      <c r="E169" s="186"/>
      <c r="F169" s="186">
        <f t="shared" si="6"/>
        <v>0</v>
      </c>
      <c r="G169" s="186" t="str">
        <f>IF(IFERROR(IF(Str_TypeDonneesCpt4=Cpt_Index,Tab_Compteur_4[[#This Row],[Index]]-E168,Tab_Compteur_4[[#This Row],[Quantité]])/Tab_Compteur_4[[#This Row],[Delta Jour]],"")&lt;0,"",IFERROR(IF(Str_TypeDonneesCpt4=Cpt_Index,Tab_Compteur_4[[#This Row],[Index]]-E168,Tab_Compteur_4[[#This Row],[Quantité]])/Tab_Compteur_4[[#This Row],[Delta Jour]],""))</f>
        <v/>
      </c>
      <c r="H169" s="186" t="str">
        <f>IFERROR(Tab_Compteur_4[[#This Row],[Montant]]/Tab_Compteur_4[[#This Row],[Delta Jour]],"")</f>
        <v/>
      </c>
      <c r="I169" s="208" t="str">
        <f t="shared" si="7"/>
        <v/>
      </c>
      <c r="J169" s="209"/>
      <c r="K169" s="38"/>
      <c r="L169" s="38"/>
      <c r="M169" s="38"/>
    </row>
    <row r="170" spans="1:13">
      <c r="A170" s="3">
        <f t="shared" si="8"/>
        <v>1</v>
      </c>
      <c r="B170" s="87"/>
      <c r="C170" s="189"/>
      <c r="D170" s="188"/>
      <c r="E170" s="186"/>
      <c r="F170" s="186">
        <f t="shared" si="6"/>
        <v>0</v>
      </c>
      <c r="G170" s="186" t="str">
        <f>IF(IFERROR(IF(Str_TypeDonneesCpt4=Cpt_Index,Tab_Compteur_4[[#This Row],[Index]]-E169,Tab_Compteur_4[[#This Row],[Quantité]])/Tab_Compteur_4[[#This Row],[Delta Jour]],"")&lt;0,"",IFERROR(IF(Str_TypeDonneesCpt4=Cpt_Index,Tab_Compteur_4[[#This Row],[Index]]-E169,Tab_Compteur_4[[#This Row],[Quantité]])/Tab_Compteur_4[[#This Row],[Delta Jour]],""))</f>
        <v/>
      </c>
      <c r="H170" s="186" t="str">
        <f>IFERROR(Tab_Compteur_4[[#This Row],[Montant]]/Tab_Compteur_4[[#This Row],[Delta Jour]],"")</f>
        <v/>
      </c>
      <c r="I170" s="208" t="str">
        <f t="shared" si="7"/>
        <v/>
      </c>
      <c r="J170" s="209"/>
      <c r="K170" s="38"/>
      <c r="L170" s="38"/>
      <c r="M170" s="38"/>
    </row>
    <row r="171" spans="1:13">
      <c r="A171" s="3">
        <f t="shared" si="8"/>
        <v>1</v>
      </c>
      <c r="B171" s="87"/>
      <c r="C171" s="189"/>
      <c r="D171" s="188"/>
      <c r="E171" s="186"/>
      <c r="F171" s="186">
        <f t="shared" si="6"/>
        <v>0</v>
      </c>
      <c r="G171" s="186" t="str">
        <f>IF(IFERROR(IF(Str_TypeDonneesCpt4=Cpt_Index,Tab_Compteur_4[[#This Row],[Index]]-E170,Tab_Compteur_4[[#This Row],[Quantité]])/Tab_Compteur_4[[#This Row],[Delta Jour]],"")&lt;0,"",IFERROR(IF(Str_TypeDonneesCpt4=Cpt_Index,Tab_Compteur_4[[#This Row],[Index]]-E170,Tab_Compteur_4[[#This Row],[Quantité]])/Tab_Compteur_4[[#This Row],[Delta Jour]],""))</f>
        <v/>
      </c>
      <c r="H171" s="186" t="str">
        <f>IFERROR(Tab_Compteur_4[[#This Row],[Montant]]/Tab_Compteur_4[[#This Row],[Delta Jour]],"")</f>
        <v/>
      </c>
      <c r="I171" s="208" t="str">
        <f t="shared" si="7"/>
        <v/>
      </c>
      <c r="J171" s="209"/>
      <c r="K171" s="38"/>
      <c r="L171" s="38"/>
      <c r="M171" s="38"/>
    </row>
    <row r="172" spans="1:13">
      <c r="A172" s="3">
        <f t="shared" si="8"/>
        <v>1</v>
      </c>
      <c r="B172" s="87"/>
      <c r="C172" s="189"/>
      <c r="D172" s="188"/>
      <c r="E172" s="186"/>
      <c r="F172" s="186">
        <f t="shared" si="6"/>
        <v>0</v>
      </c>
      <c r="G172" s="186" t="str">
        <f>IF(IFERROR(IF(Str_TypeDonneesCpt4=Cpt_Index,Tab_Compteur_4[[#This Row],[Index]]-E171,Tab_Compteur_4[[#This Row],[Quantité]])/Tab_Compteur_4[[#This Row],[Delta Jour]],"")&lt;0,"",IFERROR(IF(Str_TypeDonneesCpt4=Cpt_Index,Tab_Compteur_4[[#This Row],[Index]]-E171,Tab_Compteur_4[[#This Row],[Quantité]])/Tab_Compteur_4[[#This Row],[Delta Jour]],""))</f>
        <v/>
      </c>
      <c r="H172" s="186" t="str">
        <f>IFERROR(Tab_Compteur_4[[#This Row],[Montant]]/Tab_Compteur_4[[#This Row],[Delta Jour]],"")</f>
        <v/>
      </c>
      <c r="I172" s="208" t="str">
        <f t="shared" si="7"/>
        <v/>
      </c>
      <c r="J172" s="209"/>
      <c r="K172" s="38"/>
      <c r="L172" s="38"/>
      <c r="M172" s="38"/>
    </row>
    <row r="173" spans="1:13">
      <c r="A173" s="3">
        <f t="shared" si="8"/>
        <v>1</v>
      </c>
      <c r="B173" s="87"/>
      <c r="C173" s="189"/>
      <c r="D173" s="188"/>
      <c r="E173" s="186"/>
      <c r="F173" s="186">
        <f t="shared" si="6"/>
        <v>0</v>
      </c>
      <c r="G173" s="186" t="str">
        <f>IF(IFERROR(IF(Str_TypeDonneesCpt4=Cpt_Index,Tab_Compteur_4[[#This Row],[Index]]-E172,Tab_Compteur_4[[#This Row],[Quantité]])/Tab_Compteur_4[[#This Row],[Delta Jour]],"")&lt;0,"",IFERROR(IF(Str_TypeDonneesCpt4=Cpt_Index,Tab_Compteur_4[[#This Row],[Index]]-E172,Tab_Compteur_4[[#This Row],[Quantité]])/Tab_Compteur_4[[#This Row],[Delta Jour]],""))</f>
        <v/>
      </c>
      <c r="H173" s="186" t="str">
        <f>IFERROR(Tab_Compteur_4[[#This Row],[Montant]]/Tab_Compteur_4[[#This Row],[Delta Jour]],"")</f>
        <v/>
      </c>
      <c r="I173" s="208" t="str">
        <f t="shared" si="7"/>
        <v/>
      </c>
      <c r="J173" s="209"/>
      <c r="K173" s="38"/>
      <c r="L173" s="38"/>
      <c r="M173" s="38"/>
    </row>
    <row r="174" spans="1:13">
      <c r="A174" s="3">
        <f t="shared" si="8"/>
        <v>1</v>
      </c>
      <c r="B174" s="87"/>
      <c r="C174" s="189"/>
      <c r="D174" s="188"/>
      <c r="E174" s="186"/>
      <c r="F174" s="186">
        <f t="shared" si="6"/>
        <v>0</v>
      </c>
      <c r="G174" s="186" t="str">
        <f>IF(IFERROR(IF(Str_TypeDonneesCpt4=Cpt_Index,Tab_Compteur_4[[#This Row],[Index]]-E173,Tab_Compteur_4[[#This Row],[Quantité]])/Tab_Compteur_4[[#This Row],[Delta Jour]],"")&lt;0,"",IFERROR(IF(Str_TypeDonneesCpt4=Cpt_Index,Tab_Compteur_4[[#This Row],[Index]]-E173,Tab_Compteur_4[[#This Row],[Quantité]])/Tab_Compteur_4[[#This Row],[Delta Jour]],""))</f>
        <v/>
      </c>
      <c r="H174" s="186" t="str">
        <f>IFERROR(Tab_Compteur_4[[#This Row],[Montant]]/Tab_Compteur_4[[#This Row],[Delta Jour]],"")</f>
        <v/>
      </c>
      <c r="I174" s="208" t="str">
        <f t="shared" si="7"/>
        <v/>
      </c>
      <c r="J174" s="209"/>
      <c r="K174" s="38"/>
      <c r="L174" s="38"/>
      <c r="M174" s="38"/>
    </row>
    <row r="175" spans="1:13">
      <c r="A175" s="3">
        <f t="shared" si="8"/>
        <v>1</v>
      </c>
      <c r="B175" s="87"/>
      <c r="C175" s="189"/>
      <c r="D175" s="188"/>
      <c r="E175" s="186"/>
      <c r="F175" s="186">
        <f t="shared" si="6"/>
        <v>0</v>
      </c>
      <c r="G175" s="186" t="str">
        <f>IF(IFERROR(IF(Str_TypeDonneesCpt4=Cpt_Index,Tab_Compteur_4[[#This Row],[Index]]-E174,Tab_Compteur_4[[#This Row],[Quantité]])/Tab_Compteur_4[[#This Row],[Delta Jour]],"")&lt;0,"",IFERROR(IF(Str_TypeDonneesCpt4=Cpt_Index,Tab_Compteur_4[[#This Row],[Index]]-E174,Tab_Compteur_4[[#This Row],[Quantité]])/Tab_Compteur_4[[#This Row],[Delta Jour]],""))</f>
        <v/>
      </c>
      <c r="H175" s="186" t="str">
        <f>IFERROR(Tab_Compteur_4[[#This Row],[Montant]]/Tab_Compteur_4[[#This Row],[Delta Jour]],"")</f>
        <v/>
      </c>
      <c r="I175" s="208" t="str">
        <f t="shared" si="7"/>
        <v/>
      </c>
      <c r="J175" s="209"/>
      <c r="K175" s="38"/>
      <c r="L175" s="38"/>
      <c r="M175" s="38"/>
    </row>
    <row r="176" spans="1:13">
      <c r="A176" s="3">
        <f t="shared" si="8"/>
        <v>1</v>
      </c>
      <c r="B176" s="87"/>
      <c r="C176" s="189"/>
      <c r="D176" s="188"/>
      <c r="E176" s="186"/>
      <c r="F176" s="186">
        <f t="shared" si="6"/>
        <v>0</v>
      </c>
      <c r="G176" s="186" t="str">
        <f>IF(IFERROR(IF(Str_TypeDonneesCpt4=Cpt_Index,Tab_Compteur_4[[#This Row],[Index]]-E175,Tab_Compteur_4[[#This Row],[Quantité]])/Tab_Compteur_4[[#This Row],[Delta Jour]],"")&lt;0,"",IFERROR(IF(Str_TypeDonneesCpt4=Cpt_Index,Tab_Compteur_4[[#This Row],[Index]]-E175,Tab_Compteur_4[[#This Row],[Quantité]])/Tab_Compteur_4[[#This Row],[Delta Jour]],""))</f>
        <v/>
      </c>
      <c r="H176" s="186" t="str">
        <f>IFERROR(Tab_Compteur_4[[#This Row],[Montant]]/Tab_Compteur_4[[#This Row],[Delta Jour]],"")</f>
        <v/>
      </c>
      <c r="I176" s="208" t="str">
        <f t="shared" si="7"/>
        <v/>
      </c>
      <c r="J176" s="209"/>
      <c r="K176" s="38"/>
      <c r="L176" s="38"/>
      <c r="M176" s="38"/>
    </row>
    <row r="177" spans="1:13">
      <c r="A177" s="3">
        <f t="shared" si="8"/>
        <v>1</v>
      </c>
      <c r="B177" s="87"/>
      <c r="C177" s="189"/>
      <c r="D177" s="188"/>
      <c r="E177" s="186"/>
      <c r="F177" s="186">
        <f t="shared" si="6"/>
        <v>0</v>
      </c>
      <c r="G177" s="186" t="str">
        <f>IF(IFERROR(IF(Str_TypeDonneesCpt4=Cpt_Index,Tab_Compteur_4[[#This Row],[Index]]-E176,Tab_Compteur_4[[#This Row],[Quantité]])/Tab_Compteur_4[[#This Row],[Delta Jour]],"")&lt;0,"",IFERROR(IF(Str_TypeDonneesCpt4=Cpt_Index,Tab_Compteur_4[[#This Row],[Index]]-E176,Tab_Compteur_4[[#This Row],[Quantité]])/Tab_Compteur_4[[#This Row],[Delta Jour]],""))</f>
        <v/>
      </c>
      <c r="H177" s="186" t="str">
        <f>IFERROR(Tab_Compteur_4[[#This Row],[Montant]]/Tab_Compteur_4[[#This Row],[Delta Jour]],"")</f>
        <v/>
      </c>
      <c r="I177" s="208" t="str">
        <f t="shared" si="7"/>
        <v/>
      </c>
      <c r="J177" s="209"/>
      <c r="K177" s="38"/>
      <c r="L177" s="38"/>
      <c r="M177" s="38"/>
    </row>
    <row r="178" spans="1:13">
      <c r="A178" s="3">
        <f t="shared" si="8"/>
        <v>1</v>
      </c>
      <c r="B178" s="87"/>
      <c r="C178" s="189"/>
      <c r="D178" s="188"/>
      <c r="E178" s="186"/>
      <c r="F178" s="186">
        <f t="shared" si="6"/>
        <v>0</v>
      </c>
      <c r="G178" s="186" t="str">
        <f>IF(IFERROR(IF(Str_TypeDonneesCpt4=Cpt_Index,Tab_Compteur_4[[#This Row],[Index]]-E177,Tab_Compteur_4[[#This Row],[Quantité]])/Tab_Compteur_4[[#This Row],[Delta Jour]],"")&lt;0,"",IFERROR(IF(Str_TypeDonneesCpt4=Cpt_Index,Tab_Compteur_4[[#This Row],[Index]]-E177,Tab_Compteur_4[[#This Row],[Quantité]])/Tab_Compteur_4[[#This Row],[Delta Jour]],""))</f>
        <v/>
      </c>
      <c r="H178" s="186" t="str">
        <f>IFERROR(Tab_Compteur_4[[#This Row],[Montant]]/Tab_Compteur_4[[#This Row],[Delta Jour]],"")</f>
        <v/>
      </c>
      <c r="I178" s="208" t="str">
        <f t="shared" si="7"/>
        <v/>
      </c>
      <c r="J178" s="209"/>
      <c r="K178" s="38"/>
      <c r="L178" s="38"/>
      <c r="M178" s="38"/>
    </row>
    <row r="179" spans="1:13">
      <c r="A179" s="3">
        <f t="shared" si="8"/>
        <v>1</v>
      </c>
      <c r="B179" s="87"/>
      <c r="C179" s="189"/>
      <c r="D179" s="188"/>
      <c r="E179" s="186"/>
      <c r="F179" s="186">
        <f t="shared" si="6"/>
        <v>0</v>
      </c>
      <c r="G179" s="186" t="str">
        <f>IF(IFERROR(IF(Str_TypeDonneesCpt4=Cpt_Index,Tab_Compteur_4[[#This Row],[Index]]-E178,Tab_Compteur_4[[#This Row],[Quantité]])/Tab_Compteur_4[[#This Row],[Delta Jour]],"")&lt;0,"",IFERROR(IF(Str_TypeDonneesCpt4=Cpt_Index,Tab_Compteur_4[[#This Row],[Index]]-E178,Tab_Compteur_4[[#This Row],[Quantité]])/Tab_Compteur_4[[#This Row],[Delta Jour]],""))</f>
        <v/>
      </c>
      <c r="H179" s="186" t="str">
        <f>IFERROR(Tab_Compteur_4[[#This Row],[Montant]]/Tab_Compteur_4[[#This Row],[Delta Jour]],"")</f>
        <v/>
      </c>
      <c r="I179" s="208" t="str">
        <f t="shared" si="7"/>
        <v/>
      </c>
      <c r="J179" s="209"/>
      <c r="K179" s="38"/>
      <c r="L179" s="38"/>
      <c r="M179" s="38"/>
    </row>
    <row r="180" spans="1:13">
      <c r="A180" s="3">
        <f t="shared" si="8"/>
        <v>1</v>
      </c>
      <c r="B180" s="87"/>
      <c r="C180" s="189"/>
      <c r="D180" s="188"/>
      <c r="E180" s="186"/>
      <c r="F180" s="186">
        <f t="shared" si="6"/>
        <v>0</v>
      </c>
      <c r="G180" s="186" t="str">
        <f>IF(IFERROR(IF(Str_TypeDonneesCpt4=Cpt_Index,Tab_Compteur_4[[#This Row],[Index]]-E179,Tab_Compteur_4[[#This Row],[Quantité]])/Tab_Compteur_4[[#This Row],[Delta Jour]],"")&lt;0,"",IFERROR(IF(Str_TypeDonneesCpt4=Cpt_Index,Tab_Compteur_4[[#This Row],[Index]]-E179,Tab_Compteur_4[[#This Row],[Quantité]])/Tab_Compteur_4[[#This Row],[Delta Jour]],""))</f>
        <v/>
      </c>
      <c r="H180" s="186" t="str">
        <f>IFERROR(Tab_Compteur_4[[#This Row],[Montant]]/Tab_Compteur_4[[#This Row],[Delta Jour]],"")</f>
        <v/>
      </c>
      <c r="I180" s="208" t="str">
        <f t="shared" si="7"/>
        <v/>
      </c>
      <c r="J180" s="209"/>
      <c r="K180" s="38"/>
      <c r="L180" s="38"/>
      <c r="M180" s="38"/>
    </row>
    <row r="181" spans="1:13">
      <c r="A181" s="3">
        <f t="shared" si="8"/>
        <v>1</v>
      </c>
      <c r="B181" s="87"/>
      <c r="C181" s="189"/>
      <c r="D181" s="188"/>
      <c r="E181" s="186"/>
      <c r="F181" s="186">
        <f t="shared" si="6"/>
        <v>0</v>
      </c>
      <c r="G181" s="186" t="str">
        <f>IF(IFERROR(IF(Str_TypeDonneesCpt4=Cpt_Index,Tab_Compteur_4[[#This Row],[Index]]-E180,Tab_Compteur_4[[#This Row],[Quantité]])/Tab_Compteur_4[[#This Row],[Delta Jour]],"")&lt;0,"",IFERROR(IF(Str_TypeDonneesCpt4=Cpt_Index,Tab_Compteur_4[[#This Row],[Index]]-E180,Tab_Compteur_4[[#This Row],[Quantité]])/Tab_Compteur_4[[#This Row],[Delta Jour]],""))</f>
        <v/>
      </c>
      <c r="H181" s="186" t="str">
        <f>IFERROR(Tab_Compteur_4[[#This Row],[Montant]]/Tab_Compteur_4[[#This Row],[Delta Jour]],"")</f>
        <v/>
      </c>
      <c r="I181" s="208" t="str">
        <f t="shared" si="7"/>
        <v/>
      </c>
      <c r="J181" s="209"/>
      <c r="K181" s="38"/>
      <c r="L181" s="38"/>
      <c r="M181" s="38"/>
    </row>
    <row r="182" spans="1:13">
      <c r="A182" s="3">
        <f t="shared" si="8"/>
        <v>1</v>
      </c>
      <c r="B182" s="87"/>
      <c r="C182" s="189"/>
      <c r="D182" s="188"/>
      <c r="E182" s="186"/>
      <c r="F182" s="186">
        <f t="shared" si="6"/>
        <v>0</v>
      </c>
      <c r="G182" s="186" t="str">
        <f>IF(IFERROR(IF(Str_TypeDonneesCpt4=Cpt_Index,Tab_Compteur_4[[#This Row],[Index]]-E181,Tab_Compteur_4[[#This Row],[Quantité]])/Tab_Compteur_4[[#This Row],[Delta Jour]],"")&lt;0,"",IFERROR(IF(Str_TypeDonneesCpt4=Cpt_Index,Tab_Compteur_4[[#This Row],[Index]]-E181,Tab_Compteur_4[[#This Row],[Quantité]])/Tab_Compteur_4[[#This Row],[Delta Jour]],""))</f>
        <v/>
      </c>
      <c r="H182" s="186" t="str">
        <f>IFERROR(Tab_Compteur_4[[#This Row],[Montant]]/Tab_Compteur_4[[#This Row],[Delta Jour]],"")</f>
        <v/>
      </c>
      <c r="I182" s="208" t="str">
        <f t="shared" si="7"/>
        <v/>
      </c>
      <c r="J182" s="209"/>
      <c r="K182" s="38"/>
      <c r="L182" s="38"/>
      <c r="M182" s="38"/>
    </row>
    <row r="183" spans="1:13">
      <c r="A183" s="3">
        <f t="shared" si="8"/>
        <v>1</v>
      </c>
      <c r="B183" s="87"/>
      <c r="C183" s="189"/>
      <c r="D183" s="188"/>
      <c r="E183" s="186"/>
      <c r="F183" s="186">
        <f t="shared" si="6"/>
        <v>0</v>
      </c>
      <c r="G183" s="186" t="str">
        <f>IF(IFERROR(IF(Str_TypeDonneesCpt4=Cpt_Index,Tab_Compteur_4[[#This Row],[Index]]-E182,Tab_Compteur_4[[#This Row],[Quantité]])/Tab_Compteur_4[[#This Row],[Delta Jour]],"")&lt;0,"",IFERROR(IF(Str_TypeDonneesCpt4=Cpt_Index,Tab_Compteur_4[[#This Row],[Index]]-E182,Tab_Compteur_4[[#This Row],[Quantité]])/Tab_Compteur_4[[#This Row],[Delta Jour]],""))</f>
        <v/>
      </c>
      <c r="H183" s="186" t="str">
        <f>IFERROR(Tab_Compteur_4[[#This Row],[Montant]]/Tab_Compteur_4[[#This Row],[Delta Jour]],"")</f>
        <v/>
      </c>
      <c r="I183" s="208" t="str">
        <f t="shared" si="7"/>
        <v/>
      </c>
      <c r="J183" s="209"/>
      <c r="K183" s="38"/>
      <c r="L183" s="38"/>
      <c r="M183" s="38"/>
    </row>
    <row r="184" spans="1:13">
      <c r="A184" s="3">
        <f t="shared" si="8"/>
        <v>1</v>
      </c>
      <c r="B184" s="87"/>
      <c r="C184" s="189"/>
      <c r="D184" s="188"/>
      <c r="E184" s="186"/>
      <c r="F184" s="186">
        <f t="shared" si="6"/>
        <v>0</v>
      </c>
      <c r="G184" s="186" t="str">
        <f>IF(IFERROR(IF(Str_TypeDonneesCpt4=Cpt_Index,Tab_Compteur_4[[#This Row],[Index]]-E183,Tab_Compteur_4[[#This Row],[Quantité]])/Tab_Compteur_4[[#This Row],[Delta Jour]],"")&lt;0,"",IFERROR(IF(Str_TypeDonneesCpt4=Cpt_Index,Tab_Compteur_4[[#This Row],[Index]]-E183,Tab_Compteur_4[[#This Row],[Quantité]])/Tab_Compteur_4[[#This Row],[Delta Jour]],""))</f>
        <v/>
      </c>
      <c r="H184" s="186" t="str">
        <f>IFERROR(Tab_Compteur_4[[#This Row],[Montant]]/Tab_Compteur_4[[#This Row],[Delta Jour]],"")</f>
        <v/>
      </c>
      <c r="I184" s="208" t="str">
        <f t="shared" si="7"/>
        <v/>
      </c>
      <c r="J184" s="209"/>
      <c r="K184" s="38"/>
      <c r="L184" s="38"/>
      <c r="M184" s="38"/>
    </row>
    <row r="185" spans="1:13">
      <c r="A185" s="3">
        <f t="shared" si="8"/>
        <v>1</v>
      </c>
      <c r="B185" s="87"/>
      <c r="C185" s="189"/>
      <c r="D185" s="188"/>
      <c r="E185" s="186"/>
      <c r="F185" s="186">
        <f t="shared" si="6"/>
        <v>0</v>
      </c>
      <c r="G185" s="186" t="str">
        <f>IF(IFERROR(IF(Str_TypeDonneesCpt4=Cpt_Index,Tab_Compteur_4[[#This Row],[Index]]-E184,Tab_Compteur_4[[#This Row],[Quantité]])/Tab_Compteur_4[[#This Row],[Delta Jour]],"")&lt;0,"",IFERROR(IF(Str_TypeDonneesCpt4=Cpt_Index,Tab_Compteur_4[[#This Row],[Index]]-E184,Tab_Compteur_4[[#This Row],[Quantité]])/Tab_Compteur_4[[#This Row],[Delta Jour]],""))</f>
        <v/>
      </c>
      <c r="H185" s="186" t="str">
        <f>IFERROR(Tab_Compteur_4[[#This Row],[Montant]]/Tab_Compteur_4[[#This Row],[Delta Jour]],"")</f>
        <v/>
      </c>
      <c r="I185" s="208" t="str">
        <f t="shared" si="7"/>
        <v/>
      </c>
      <c r="J185" s="209"/>
      <c r="K185" s="38"/>
      <c r="L185" s="38"/>
      <c r="M185" s="38"/>
    </row>
    <row r="186" spans="1:13">
      <c r="A186" s="3">
        <f t="shared" si="8"/>
        <v>1</v>
      </c>
      <c r="B186" s="87"/>
      <c r="C186" s="189"/>
      <c r="D186" s="188"/>
      <c r="E186" s="186"/>
      <c r="F186" s="186">
        <f t="shared" si="6"/>
        <v>0</v>
      </c>
      <c r="G186" s="186" t="str">
        <f>IF(IFERROR(IF(Str_TypeDonneesCpt4=Cpt_Index,Tab_Compteur_4[[#This Row],[Index]]-E185,Tab_Compteur_4[[#This Row],[Quantité]])/Tab_Compteur_4[[#This Row],[Delta Jour]],"")&lt;0,"",IFERROR(IF(Str_TypeDonneesCpt4=Cpt_Index,Tab_Compteur_4[[#This Row],[Index]]-E185,Tab_Compteur_4[[#This Row],[Quantité]])/Tab_Compteur_4[[#This Row],[Delta Jour]],""))</f>
        <v/>
      </c>
      <c r="H186" s="186" t="str">
        <f>IFERROR(Tab_Compteur_4[[#This Row],[Montant]]/Tab_Compteur_4[[#This Row],[Delta Jour]],"")</f>
        <v/>
      </c>
      <c r="I186" s="208" t="str">
        <f t="shared" si="7"/>
        <v/>
      </c>
      <c r="J186" s="209"/>
      <c r="K186" s="38"/>
      <c r="L186" s="38"/>
      <c r="M186" s="38"/>
    </row>
    <row r="187" spans="1:13">
      <c r="A187" s="3">
        <f t="shared" si="8"/>
        <v>1</v>
      </c>
      <c r="B187" s="87"/>
      <c r="C187" s="189"/>
      <c r="D187" s="188"/>
      <c r="E187" s="186"/>
      <c r="F187" s="186">
        <f t="shared" si="6"/>
        <v>0</v>
      </c>
      <c r="G187" s="186" t="str">
        <f>IF(IFERROR(IF(Str_TypeDonneesCpt4=Cpt_Index,Tab_Compteur_4[[#This Row],[Index]]-E186,Tab_Compteur_4[[#This Row],[Quantité]])/Tab_Compteur_4[[#This Row],[Delta Jour]],"")&lt;0,"",IFERROR(IF(Str_TypeDonneesCpt4=Cpt_Index,Tab_Compteur_4[[#This Row],[Index]]-E186,Tab_Compteur_4[[#This Row],[Quantité]])/Tab_Compteur_4[[#This Row],[Delta Jour]],""))</f>
        <v/>
      </c>
      <c r="H187" s="186" t="str">
        <f>IFERROR(Tab_Compteur_4[[#This Row],[Montant]]/Tab_Compteur_4[[#This Row],[Delta Jour]],"")</f>
        <v/>
      </c>
      <c r="I187" s="208" t="str">
        <f t="shared" si="7"/>
        <v/>
      </c>
      <c r="J187" s="209"/>
      <c r="K187" s="38"/>
      <c r="L187" s="38"/>
      <c r="M187" s="38"/>
    </row>
    <row r="188" spans="1:13">
      <c r="A188" s="3">
        <f t="shared" si="8"/>
        <v>1</v>
      </c>
      <c r="B188" s="87"/>
      <c r="C188" s="189"/>
      <c r="D188" s="188"/>
      <c r="E188" s="186"/>
      <c r="F188" s="186">
        <f t="shared" si="6"/>
        <v>0</v>
      </c>
      <c r="G188" s="186" t="str">
        <f>IF(IFERROR(IF(Str_TypeDonneesCpt4=Cpt_Index,Tab_Compteur_4[[#This Row],[Index]]-E187,Tab_Compteur_4[[#This Row],[Quantité]])/Tab_Compteur_4[[#This Row],[Delta Jour]],"")&lt;0,"",IFERROR(IF(Str_TypeDonneesCpt4=Cpt_Index,Tab_Compteur_4[[#This Row],[Index]]-E187,Tab_Compteur_4[[#This Row],[Quantité]])/Tab_Compteur_4[[#This Row],[Delta Jour]],""))</f>
        <v/>
      </c>
      <c r="H188" s="186" t="str">
        <f>IFERROR(Tab_Compteur_4[[#This Row],[Montant]]/Tab_Compteur_4[[#This Row],[Delta Jour]],"")</f>
        <v/>
      </c>
      <c r="I188" s="208" t="str">
        <f t="shared" si="7"/>
        <v/>
      </c>
      <c r="J188" s="209"/>
      <c r="K188" s="38"/>
      <c r="L188" s="38"/>
      <c r="M188" s="38"/>
    </row>
    <row r="189" spans="1:13">
      <c r="A189" s="3">
        <f t="shared" si="8"/>
        <v>1</v>
      </c>
      <c r="B189" s="87"/>
      <c r="C189" s="189"/>
      <c r="D189" s="188"/>
      <c r="E189" s="186"/>
      <c r="F189" s="186">
        <f t="shared" si="6"/>
        <v>0</v>
      </c>
      <c r="G189" s="186" t="str">
        <f>IF(IFERROR(IF(Str_TypeDonneesCpt4=Cpt_Index,Tab_Compteur_4[[#This Row],[Index]]-E188,Tab_Compteur_4[[#This Row],[Quantité]])/Tab_Compteur_4[[#This Row],[Delta Jour]],"")&lt;0,"",IFERROR(IF(Str_TypeDonneesCpt4=Cpt_Index,Tab_Compteur_4[[#This Row],[Index]]-E188,Tab_Compteur_4[[#This Row],[Quantité]])/Tab_Compteur_4[[#This Row],[Delta Jour]],""))</f>
        <v/>
      </c>
      <c r="H189" s="186" t="str">
        <f>IFERROR(Tab_Compteur_4[[#This Row],[Montant]]/Tab_Compteur_4[[#This Row],[Delta Jour]],"")</f>
        <v/>
      </c>
      <c r="I189" s="208" t="str">
        <f t="shared" si="7"/>
        <v/>
      </c>
      <c r="J189" s="209"/>
      <c r="K189" s="38"/>
      <c r="L189" s="38"/>
      <c r="M189" s="38"/>
    </row>
    <row r="190" spans="1:13">
      <c r="A190" s="3">
        <f t="shared" si="8"/>
        <v>1</v>
      </c>
      <c r="B190" s="87"/>
      <c r="C190" s="189"/>
      <c r="D190" s="188"/>
      <c r="E190" s="186"/>
      <c r="F190" s="186">
        <f t="shared" si="6"/>
        <v>0</v>
      </c>
      <c r="G190" s="186" t="str">
        <f>IF(IFERROR(IF(Str_TypeDonneesCpt4=Cpt_Index,Tab_Compteur_4[[#This Row],[Index]]-E189,Tab_Compteur_4[[#This Row],[Quantité]])/Tab_Compteur_4[[#This Row],[Delta Jour]],"")&lt;0,"",IFERROR(IF(Str_TypeDonneesCpt4=Cpt_Index,Tab_Compteur_4[[#This Row],[Index]]-E189,Tab_Compteur_4[[#This Row],[Quantité]])/Tab_Compteur_4[[#This Row],[Delta Jour]],""))</f>
        <v/>
      </c>
      <c r="H190" s="186" t="str">
        <f>IFERROR(Tab_Compteur_4[[#This Row],[Montant]]/Tab_Compteur_4[[#This Row],[Delta Jour]],"")</f>
        <v/>
      </c>
      <c r="I190" s="208" t="str">
        <f t="shared" si="7"/>
        <v/>
      </c>
      <c r="J190" s="209"/>
      <c r="K190" s="38"/>
      <c r="L190" s="38"/>
      <c r="M190" s="38"/>
    </row>
    <row r="191" spans="1:13">
      <c r="A191" s="3">
        <f t="shared" si="8"/>
        <v>1</v>
      </c>
      <c r="B191" s="87"/>
      <c r="C191" s="189"/>
      <c r="D191" s="188"/>
      <c r="E191" s="186"/>
      <c r="F191" s="186">
        <f t="shared" si="6"/>
        <v>0</v>
      </c>
      <c r="G191" s="186" t="str">
        <f>IF(IFERROR(IF(Str_TypeDonneesCpt4=Cpt_Index,Tab_Compteur_4[[#This Row],[Index]]-E190,Tab_Compteur_4[[#This Row],[Quantité]])/Tab_Compteur_4[[#This Row],[Delta Jour]],"")&lt;0,"",IFERROR(IF(Str_TypeDonneesCpt4=Cpt_Index,Tab_Compteur_4[[#This Row],[Index]]-E190,Tab_Compteur_4[[#This Row],[Quantité]])/Tab_Compteur_4[[#This Row],[Delta Jour]],""))</f>
        <v/>
      </c>
      <c r="H191" s="186" t="str">
        <f>IFERROR(Tab_Compteur_4[[#This Row],[Montant]]/Tab_Compteur_4[[#This Row],[Delta Jour]],"")</f>
        <v/>
      </c>
      <c r="I191" s="208" t="str">
        <f t="shared" si="7"/>
        <v/>
      </c>
      <c r="J191" s="209"/>
      <c r="K191" s="38"/>
      <c r="L191" s="38"/>
      <c r="M191" s="38"/>
    </row>
    <row r="192" spans="1:13">
      <c r="A192" s="3">
        <f t="shared" si="8"/>
        <v>1</v>
      </c>
      <c r="B192" s="87"/>
      <c r="C192" s="189"/>
      <c r="D192" s="188"/>
      <c r="E192" s="186"/>
      <c r="F192" s="186">
        <f t="shared" si="6"/>
        <v>0</v>
      </c>
      <c r="G192" s="186" t="str">
        <f>IF(IFERROR(IF(Str_TypeDonneesCpt4=Cpt_Index,Tab_Compteur_4[[#This Row],[Index]]-E191,Tab_Compteur_4[[#This Row],[Quantité]])/Tab_Compteur_4[[#This Row],[Delta Jour]],"")&lt;0,"",IFERROR(IF(Str_TypeDonneesCpt4=Cpt_Index,Tab_Compteur_4[[#This Row],[Index]]-E191,Tab_Compteur_4[[#This Row],[Quantité]])/Tab_Compteur_4[[#This Row],[Delta Jour]],""))</f>
        <v/>
      </c>
      <c r="H192" s="186" t="str">
        <f>IFERROR(Tab_Compteur_4[[#This Row],[Montant]]/Tab_Compteur_4[[#This Row],[Delta Jour]],"")</f>
        <v/>
      </c>
      <c r="I192" s="208" t="str">
        <f t="shared" si="7"/>
        <v/>
      </c>
      <c r="J192" s="209"/>
      <c r="K192" s="38"/>
      <c r="L192" s="38"/>
      <c r="M192" s="38"/>
    </row>
    <row r="193" spans="1:13">
      <c r="A193" s="3">
        <f t="shared" si="8"/>
        <v>1</v>
      </c>
      <c r="B193" s="87"/>
      <c r="C193" s="189"/>
      <c r="D193" s="188"/>
      <c r="E193" s="186"/>
      <c r="F193" s="186">
        <f t="shared" si="6"/>
        <v>0</v>
      </c>
      <c r="G193" s="186" t="str">
        <f>IF(IFERROR(IF(Str_TypeDonneesCpt4=Cpt_Index,Tab_Compteur_4[[#This Row],[Index]]-E192,Tab_Compteur_4[[#This Row],[Quantité]])/Tab_Compteur_4[[#This Row],[Delta Jour]],"")&lt;0,"",IFERROR(IF(Str_TypeDonneesCpt4=Cpt_Index,Tab_Compteur_4[[#This Row],[Index]]-E192,Tab_Compteur_4[[#This Row],[Quantité]])/Tab_Compteur_4[[#This Row],[Delta Jour]],""))</f>
        <v/>
      </c>
      <c r="H193" s="186" t="str">
        <f>IFERROR(Tab_Compteur_4[[#This Row],[Montant]]/Tab_Compteur_4[[#This Row],[Delta Jour]],"")</f>
        <v/>
      </c>
      <c r="I193" s="208" t="str">
        <f t="shared" si="7"/>
        <v/>
      </c>
      <c r="J193" s="209"/>
      <c r="K193" s="38"/>
      <c r="L193" s="38"/>
      <c r="M193" s="38"/>
    </row>
    <row r="194" spans="1:13">
      <c r="A194" s="3">
        <f t="shared" si="8"/>
        <v>1</v>
      </c>
      <c r="B194" s="87"/>
      <c r="C194" s="189"/>
      <c r="D194" s="188"/>
      <c r="E194" s="186"/>
      <c r="F194" s="186">
        <f t="shared" si="6"/>
        <v>0</v>
      </c>
      <c r="G194" s="186" t="str">
        <f>IF(IFERROR(IF(Str_TypeDonneesCpt4=Cpt_Index,Tab_Compteur_4[[#This Row],[Index]]-E193,Tab_Compteur_4[[#This Row],[Quantité]])/Tab_Compteur_4[[#This Row],[Delta Jour]],"")&lt;0,"",IFERROR(IF(Str_TypeDonneesCpt4=Cpt_Index,Tab_Compteur_4[[#This Row],[Index]]-E193,Tab_Compteur_4[[#This Row],[Quantité]])/Tab_Compteur_4[[#This Row],[Delta Jour]],""))</f>
        <v/>
      </c>
      <c r="H194" s="186" t="str">
        <f>IFERROR(Tab_Compteur_4[[#This Row],[Montant]]/Tab_Compteur_4[[#This Row],[Delta Jour]],"")</f>
        <v/>
      </c>
      <c r="I194" s="208" t="str">
        <f t="shared" si="7"/>
        <v/>
      </c>
      <c r="J194" s="209"/>
      <c r="K194" s="38"/>
      <c r="L194" s="38"/>
      <c r="M194" s="38"/>
    </row>
    <row r="195" spans="1:13">
      <c r="A195" s="3">
        <f t="shared" si="8"/>
        <v>1</v>
      </c>
      <c r="B195" s="87"/>
      <c r="C195" s="189"/>
      <c r="D195" s="188"/>
      <c r="E195" s="186"/>
      <c r="F195" s="186">
        <f t="shared" ref="F195:F243" si="9">IFERROR(B195-A195+1,"")</f>
        <v>0</v>
      </c>
      <c r="G195" s="186" t="str">
        <f>IF(IFERROR(IF(Str_TypeDonneesCpt4=Cpt_Index,Tab_Compteur_4[[#This Row],[Index]]-E194,Tab_Compteur_4[[#This Row],[Quantité]])/Tab_Compteur_4[[#This Row],[Delta Jour]],"")&lt;0,"",IFERROR(IF(Str_TypeDonneesCpt4=Cpt_Index,Tab_Compteur_4[[#This Row],[Index]]-E194,Tab_Compteur_4[[#This Row],[Quantité]])/Tab_Compteur_4[[#This Row],[Delta Jour]],""))</f>
        <v/>
      </c>
      <c r="H195" s="186" t="str">
        <f>IFERROR(Tab_Compteur_4[[#This Row],[Montant]]/Tab_Compteur_4[[#This Row],[Delta Jour]],"")</f>
        <v/>
      </c>
      <c r="I195" s="208" t="str">
        <f t="shared" ref="I195:I243" si="10">G195</f>
        <v/>
      </c>
      <c r="J195" s="209"/>
      <c r="K195" s="38"/>
      <c r="L195" s="38"/>
      <c r="M195" s="38"/>
    </row>
    <row r="196" spans="1:13">
      <c r="A196" s="3">
        <f t="shared" si="8"/>
        <v>1</v>
      </c>
      <c r="B196" s="87"/>
      <c r="C196" s="189"/>
      <c r="D196" s="188"/>
      <c r="E196" s="186"/>
      <c r="F196" s="186">
        <f t="shared" si="9"/>
        <v>0</v>
      </c>
      <c r="G196" s="186" t="str">
        <f>IF(IFERROR(IF(Str_TypeDonneesCpt4=Cpt_Index,Tab_Compteur_4[[#This Row],[Index]]-E195,Tab_Compteur_4[[#This Row],[Quantité]])/Tab_Compteur_4[[#This Row],[Delta Jour]],"")&lt;0,"",IFERROR(IF(Str_TypeDonneesCpt4=Cpt_Index,Tab_Compteur_4[[#This Row],[Index]]-E195,Tab_Compteur_4[[#This Row],[Quantité]])/Tab_Compteur_4[[#This Row],[Delta Jour]],""))</f>
        <v/>
      </c>
      <c r="H196" s="186" t="str">
        <f>IFERROR(Tab_Compteur_4[[#This Row],[Montant]]/Tab_Compteur_4[[#This Row],[Delta Jour]],"")</f>
        <v/>
      </c>
      <c r="I196" s="208" t="str">
        <f t="shared" si="10"/>
        <v/>
      </c>
      <c r="J196" s="209"/>
      <c r="K196" s="38"/>
      <c r="L196" s="38"/>
      <c r="M196" s="38"/>
    </row>
    <row r="197" spans="1:13">
      <c r="A197" s="3">
        <f t="shared" si="8"/>
        <v>1</v>
      </c>
      <c r="B197" s="87"/>
      <c r="C197" s="189"/>
      <c r="D197" s="188"/>
      <c r="E197" s="186"/>
      <c r="F197" s="186">
        <f t="shared" si="9"/>
        <v>0</v>
      </c>
      <c r="G197" s="186" t="str">
        <f>IF(IFERROR(IF(Str_TypeDonneesCpt4=Cpt_Index,Tab_Compteur_4[[#This Row],[Index]]-E196,Tab_Compteur_4[[#This Row],[Quantité]])/Tab_Compteur_4[[#This Row],[Delta Jour]],"")&lt;0,"",IFERROR(IF(Str_TypeDonneesCpt4=Cpt_Index,Tab_Compteur_4[[#This Row],[Index]]-E196,Tab_Compteur_4[[#This Row],[Quantité]])/Tab_Compteur_4[[#This Row],[Delta Jour]],""))</f>
        <v/>
      </c>
      <c r="H197" s="186" t="str">
        <f>IFERROR(Tab_Compteur_4[[#This Row],[Montant]]/Tab_Compteur_4[[#This Row],[Delta Jour]],"")</f>
        <v/>
      </c>
      <c r="I197" s="208" t="str">
        <f t="shared" si="10"/>
        <v/>
      </c>
      <c r="J197" s="209"/>
      <c r="K197" s="38"/>
      <c r="L197" s="38"/>
      <c r="M197" s="38"/>
    </row>
    <row r="198" spans="1:13">
      <c r="A198" s="3">
        <f t="shared" ref="A198:A243" si="11">IFERROR(B197+1,0)</f>
        <v>1</v>
      </c>
      <c r="B198" s="87"/>
      <c r="C198" s="189"/>
      <c r="D198" s="188"/>
      <c r="E198" s="186"/>
      <c r="F198" s="186">
        <f t="shared" si="9"/>
        <v>0</v>
      </c>
      <c r="G198" s="186" t="str">
        <f>IF(IFERROR(IF(Str_TypeDonneesCpt4=Cpt_Index,Tab_Compteur_4[[#This Row],[Index]]-E197,Tab_Compteur_4[[#This Row],[Quantité]])/Tab_Compteur_4[[#This Row],[Delta Jour]],"")&lt;0,"",IFERROR(IF(Str_TypeDonneesCpt4=Cpt_Index,Tab_Compteur_4[[#This Row],[Index]]-E197,Tab_Compteur_4[[#This Row],[Quantité]])/Tab_Compteur_4[[#This Row],[Delta Jour]],""))</f>
        <v/>
      </c>
      <c r="H198" s="186" t="str">
        <f>IFERROR(Tab_Compteur_4[[#This Row],[Montant]]/Tab_Compteur_4[[#This Row],[Delta Jour]],"")</f>
        <v/>
      </c>
      <c r="I198" s="208" t="str">
        <f t="shared" si="10"/>
        <v/>
      </c>
      <c r="J198" s="209"/>
      <c r="K198" s="38"/>
      <c r="L198" s="38"/>
      <c r="M198" s="38"/>
    </row>
    <row r="199" spans="1:13">
      <c r="A199" s="3">
        <f t="shared" si="11"/>
        <v>1</v>
      </c>
      <c r="B199" s="87"/>
      <c r="C199" s="189"/>
      <c r="D199" s="188"/>
      <c r="E199" s="186"/>
      <c r="F199" s="186">
        <f t="shared" si="9"/>
        <v>0</v>
      </c>
      <c r="G199" s="186" t="str">
        <f>IF(IFERROR(IF(Str_TypeDonneesCpt4=Cpt_Index,Tab_Compteur_4[[#This Row],[Index]]-E198,Tab_Compteur_4[[#This Row],[Quantité]])/Tab_Compteur_4[[#This Row],[Delta Jour]],"")&lt;0,"",IFERROR(IF(Str_TypeDonneesCpt4=Cpt_Index,Tab_Compteur_4[[#This Row],[Index]]-E198,Tab_Compteur_4[[#This Row],[Quantité]])/Tab_Compteur_4[[#This Row],[Delta Jour]],""))</f>
        <v/>
      </c>
      <c r="H199" s="186" t="str">
        <f>IFERROR(Tab_Compteur_4[[#This Row],[Montant]]/Tab_Compteur_4[[#This Row],[Delta Jour]],"")</f>
        <v/>
      </c>
      <c r="I199" s="208" t="str">
        <f t="shared" si="10"/>
        <v/>
      </c>
      <c r="J199" s="209"/>
      <c r="K199" s="38"/>
      <c r="L199" s="38"/>
      <c r="M199" s="38"/>
    </row>
    <row r="200" spans="1:13">
      <c r="A200" s="3">
        <f t="shared" si="11"/>
        <v>1</v>
      </c>
      <c r="B200" s="87"/>
      <c r="C200" s="189"/>
      <c r="D200" s="188"/>
      <c r="E200" s="186"/>
      <c r="F200" s="186">
        <f t="shared" si="9"/>
        <v>0</v>
      </c>
      <c r="G200" s="186" t="str">
        <f>IF(IFERROR(IF(Str_TypeDonneesCpt4=Cpt_Index,Tab_Compteur_4[[#This Row],[Index]]-E199,Tab_Compteur_4[[#This Row],[Quantité]])/Tab_Compteur_4[[#This Row],[Delta Jour]],"")&lt;0,"",IFERROR(IF(Str_TypeDonneesCpt4=Cpt_Index,Tab_Compteur_4[[#This Row],[Index]]-E199,Tab_Compteur_4[[#This Row],[Quantité]])/Tab_Compteur_4[[#This Row],[Delta Jour]],""))</f>
        <v/>
      </c>
      <c r="H200" s="186" t="str">
        <f>IFERROR(Tab_Compteur_4[[#This Row],[Montant]]/Tab_Compteur_4[[#This Row],[Delta Jour]],"")</f>
        <v/>
      </c>
      <c r="I200" s="208" t="str">
        <f t="shared" si="10"/>
        <v/>
      </c>
      <c r="J200" s="209"/>
      <c r="K200" s="38"/>
      <c r="L200" s="38"/>
      <c r="M200" s="38"/>
    </row>
    <row r="201" spans="1:13">
      <c r="A201" s="3">
        <f t="shared" si="11"/>
        <v>1</v>
      </c>
      <c r="B201" s="87"/>
      <c r="C201" s="189"/>
      <c r="D201" s="188"/>
      <c r="E201" s="186"/>
      <c r="F201" s="186">
        <f t="shared" si="9"/>
        <v>0</v>
      </c>
      <c r="G201" s="186" t="str">
        <f>IF(IFERROR(IF(Str_TypeDonneesCpt4=Cpt_Index,Tab_Compteur_4[[#This Row],[Index]]-E200,Tab_Compteur_4[[#This Row],[Quantité]])/Tab_Compteur_4[[#This Row],[Delta Jour]],"")&lt;0,"",IFERROR(IF(Str_TypeDonneesCpt4=Cpt_Index,Tab_Compteur_4[[#This Row],[Index]]-E200,Tab_Compteur_4[[#This Row],[Quantité]])/Tab_Compteur_4[[#This Row],[Delta Jour]],""))</f>
        <v/>
      </c>
      <c r="H201" s="186" t="str">
        <f>IFERROR(Tab_Compteur_4[[#This Row],[Montant]]/Tab_Compteur_4[[#This Row],[Delta Jour]],"")</f>
        <v/>
      </c>
      <c r="I201" s="208" t="str">
        <f t="shared" si="10"/>
        <v/>
      </c>
      <c r="J201" s="209"/>
      <c r="K201" s="38"/>
      <c r="L201" s="38"/>
      <c r="M201" s="38"/>
    </row>
    <row r="202" spans="1:13">
      <c r="A202" s="3">
        <f t="shared" si="11"/>
        <v>1</v>
      </c>
      <c r="B202" s="87"/>
      <c r="C202" s="189"/>
      <c r="D202" s="188"/>
      <c r="E202" s="186"/>
      <c r="F202" s="186">
        <f t="shared" si="9"/>
        <v>0</v>
      </c>
      <c r="G202" s="186" t="str">
        <f>IF(IFERROR(IF(Str_TypeDonneesCpt4=Cpt_Index,Tab_Compteur_4[[#This Row],[Index]]-E201,Tab_Compteur_4[[#This Row],[Quantité]])/Tab_Compteur_4[[#This Row],[Delta Jour]],"")&lt;0,"",IFERROR(IF(Str_TypeDonneesCpt4=Cpt_Index,Tab_Compteur_4[[#This Row],[Index]]-E201,Tab_Compteur_4[[#This Row],[Quantité]])/Tab_Compteur_4[[#This Row],[Delta Jour]],""))</f>
        <v/>
      </c>
      <c r="H202" s="186" t="str">
        <f>IFERROR(Tab_Compteur_4[[#This Row],[Montant]]/Tab_Compteur_4[[#This Row],[Delta Jour]],"")</f>
        <v/>
      </c>
      <c r="I202" s="208" t="str">
        <f t="shared" si="10"/>
        <v/>
      </c>
      <c r="J202" s="209"/>
      <c r="K202" s="38"/>
      <c r="L202" s="38"/>
      <c r="M202" s="38"/>
    </row>
    <row r="203" spans="1:13">
      <c r="A203" s="3">
        <f t="shared" si="11"/>
        <v>1</v>
      </c>
      <c r="B203" s="87"/>
      <c r="C203" s="189"/>
      <c r="D203" s="188"/>
      <c r="E203" s="186"/>
      <c r="F203" s="186">
        <f t="shared" si="9"/>
        <v>0</v>
      </c>
      <c r="G203" s="186" t="str">
        <f>IF(IFERROR(IF(Str_TypeDonneesCpt4=Cpt_Index,Tab_Compteur_4[[#This Row],[Index]]-E202,Tab_Compteur_4[[#This Row],[Quantité]])/Tab_Compteur_4[[#This Row],[Delta Jour]],"")&lt;0,"",IFERROR(IF(Str_TypeDonneesCpt4=Cpt_Index,Tab_Compteur_4[[#This Row],[Index]]-E202,Tab_Compteur_4[[#This Row],[Quantité]])/Tab_Compteur_4[[#This Row],[Delta Jour]],""))</f>
        <v/>
      </c>
      <c r="H203" s="186" t="str">
        <f>IFERROR(Tab_Compteur_4[[#This Row],[Montant]]/Tab_Compteur_4[[#This Row],[Delta Jour]],"")</f>
        <v/>
      </c>
      <c r="I203" s="208" t="str">
        <f t="shared" si="10"/>
        <v/>
      </c>
      <c r="J203" s="209"/>
      <c r="K203" s="38"/>
      <c r="L203" s="38"/>
      <c r="M203" s="38"/>
    </row>
    <row r="204" spans="1:13">
      <c r="A204" s="3">
        <f t="shared" si="11"/>
        <v>1</v>
      </c>
      <c r="B204" s="87"/>
      <c r="C204" s="189"/>
      <c r="D204" s="188"/>
      <c r="E204" s="186"/>
      <c r="F204" s="186">
        <f t="shared" si="9"/>
        <v>0</v>
      </c>
      <c r="G204" s="186" t="str">
        <f>IF(IFERROR(IF(Str_TypeDonneesCpt4=Cpt_Index,Tab_Compteur_4[[#This Row],[Index]]-E203,Tab_Compteur_4[[#This Row],[Quantité]])/Tab_Compteur_4[[#This Row],[Delta Jour]],"")&lt;0,"",IFERROR(IF(Str_TypeDonneesCpt4=Cpt_Index,Tab_Compteur_4[[#This Row],[Index]]-E203,Tab_Compteur_4[[#This Row],[Quantité]])/Tab_Compteur_4[[#This Row],[Delta Jour]],""))</f>
        <v/>
      </c>
      <c r="H204" s="186" t="str">
        <f>IFERROR(Tab_Compteur_4[[#This Row],[Montant]]/Tab_Compteur_4[[#This Row],[Delta Jour]],"")</f>
        <v/>
      </c>
      <c r="I204" s="208" t="str">
        <f t="shared" si="10"/>
        <v/>
      </c>
      <c r="J204" s="209"/>
      <c r="K204" s="38"/>
      <c r="L204" s="38"/>
      <c r="M204" s="38"/>
    </row>
    <row r="205" spans="1:13">
      <c r="A205" s="3">
        <f t="shared" si="11"/>
        <v>1</v>
      </c>
      <c r="B205" s="87"/>
      <c r="C205" s="189"/>
      <c r="D205" s="188"/>
      <c r="E205" s="186"/>
      <c r="F205" s="186">
        <f t="shared" si="9"/>
        <v>0</v>
      </c>
      <c r="G205" s="186" t="str">
        <f>IF(IFERROR(IF(Str_TypeDonneesCpt4=Cpt_Index,Tab_Compteur_4[[#This Row],[Index]]-E204,Tab_Compteur_4[[#This Row],[Quantité]])/Tab_Compteur_4[[#This Row],[Delta Jour]],"")&lt;0,"",IFERROR(IF(Str_TypeDonneesCpt4=Cpt_Index,Tab_Compteur_4[[#This Row],[Index]]-E204,Tab_Compteur_4[[#This Row],[Quantité]])/Tab_Compteur_4[[#This Row],[Delta Jour]],""))</f>
        <v/>
      </c>
      <c r="H205" s="186" t="str">
        <f>IFERROR(Tab_Compteur_4[[#This Row],[Montant]]/Tab_Compteur_4[[#This Row],[Delta Jour]],"")</f>
        <v/>
      </c>
      <c r="I205" s="208" t="str">
        <f t="shared" si="10"/>
        <v/>
      </c>
      <c r="J205" s="209"/>
      <c r="K205" s="38"/>
      <c r="L205" s="38"/>
      <c r="M205" s="38"/>
    </row>
    <row r="206" spans="1:13">
      <c r="A206" s="3">
        <f t="shared" si="11"/>
        <v>1</v>
      </c>
      <c r="B206" s="87"/>
      <c r="C206" s="189"/>
      <c r="D206" s="188"/>
      <c r="E206" s="186"/>
      <c r="F206" s="186">
        <f t="shared" si="9"/>
        <v>0</v>
      </c>
      <c r="G206" s="186" t="str">
        <f>IF(IFERROR(IF(Str_TypeDonneesCpt4=Cpt_Index,Tab_Compteur_4[[#This Row],[Index]]-E205,Tab_Compteur_4[[#This Row],[Quantité]])/Tab_Compteur_4[[#This Row],[Delta Jour]],"")&lt;0,"",IFERROR(IF(Str_TypeDonneesCpt4=Cpt_Index,Tab_Compteur_4[[#This Row],[Index]]-E205,Tab_Compteur_4[[#This Row],[Quantité]])/Tab_Compteur_4[[#This Row],[Delta Jour]],""))</f>
        <v/>
      </c>
      <c r="H206" s="186" t="str">
        <f>IFERROR(Tab_Compteur_4[[#This Row],[Montant]]/Tab_Compteur_4[[#This Row],[Delta Jour]],"")</f>
        <v/>
      </c>
      <c r="I206" s="208" t="str">
        <f t="shared" si="10"/>
        <v/>
      </c>
      <c r="J206" s="209"/>
      <c r="K206" s="38"/>
      <c r="L206" s="38"/>
      <c r="M206" s="38"/>
    </row>
    <row r="207" spans="1:13">
      <c r="A207" s="3">
        <f t="shared" si="11"/>
        <v>1</v>
      </c>
      <c r="B207" s="87"/>
      <c r="C207" s="189"/>
      <c r="D207" s="188"/>
      <c r="E207" s="186"/>
      <c r="F207" s="186">
        <f t="shared" si="9"/>
        <v>0</v>
      </c>
      <c r="G207" s="186" t="str">
        <f>IF(IFERROR(IF(Str_TypeDonneesCpt4=Cpt_Index,Tab_Compteur_4[[#This Row],[Index]]-E206,Tab_Compteur_4[[#This Row],[Quantité]])/Tab_Compteur_4[[#This Row],[Delta Jour]],"")&lt;0,"",IFERROR(IF(Str_TypeDonneesCpt4=Cpt_Index,Tab_Compteur_4[[#This Row],[Index]]-E206,Tab_Compteur_4[[#This Row],[Quantité]])/Tab_Compteur_4[[#This Row],[Delta Jour]],""))</f>
        <v/>
      </c>
      <c r="H207" s="186" t="str">
        <f>IFERROR(Tab_Compteur_4[[#This Row],[Montant]]/Tab_Compteur_4[[#This Row],[Delta Jour]],"")</f>
        <v/>
      </c>
      <c r="I207" s="208" t="str">
        <f t="shared" si="10"/>
        <v/>
      </c>
      <c r="J207" s="209"/>
      <c r="K207" s="38"/>
      <c r="L207" s="38"/>
      <c r="M207" s="38"/>
    </row>
    <row r="208" spans="1:13">
      <c r="A208" s="3">
        <f t="shared" si="11"/>
        <v>1</v>
      </c>
      <c r="B208" s="87"/>
      <c r="C208" s="189"/>
      <c r="D208" s="188"/>
      <c r="E208" s="186"/>
      <c r="F208" s="186">
        <f t="shared" si="9"/>
        <v>0</v>
      </c>
      <c r="G208" s="186" t="str">
        <f>IF(IFERROR(IF(Str_TypeDonneesCpt4=Cpt_Index,Tab_Compteur_4[[#This Row],[Index]]-E207,Tab_Compteur_4[[#This Row],[Quantité]])/Tab_Compteur_4[[#This Row],[Delta Jour]],"")&lt;0,"",IFERROR(IF(Str_TypeDonneesCpt4=Cpt_Index,Tab_Compteur_4[[#This Row],[Index]]-E207,Tab_Compteur_4[[#This Row],[Quantité]])/Tab_Compteur_4[[#This Row],[Delta Jour]],""))</f>
        <v/>
      </c>
      <c r="H208" s="186" t="str">
        <f>IFERROR(Tab_Compteur_4[[#This Row],[Montant]]/Tab_Compteur_4[[#This Row],[Delta Jour]],"")</f>
        <v/>
      </c>
      <c r="I208" s="208" t="str">
        <f t="shared" si="10"/>
        <v/>
      </c>
      <c r="J208" s="209"/>
      <c r="K208" s="38"/>
      <c r="L208" s="38"/>
      <c r="M208" s="38"/>
    </row>
    <row r="209" spans="1:13">
      <c r="A209" s="3">
        <f t="shared" si="11"/>
        <v>1</v>
      </c>
      <c r="B209" s="87"/>
      <c r="C209" s="189"/>
      <c r="D209" s="188"/>
      <c r="E209" s="186"/>
      <c r="F209" s="186">
        <f t="shared" si="9"/>
        <v>0</v>
      </c>
      <c r="G209" s="186" t="str">
        <f>IF(IFERROR(IF(Str_TypeDonneesCpt4=Cpt_Index,Tab_Compteur_4[[#This Row],[Index]]-E208,Tab_Compteur_4[[#This Row],[Quantité]])/Tab_Compteur_4[[#This Row],[Delta Jour]],"")&lt;0,"",IFERROR(IF(Str_TypeDonneesCpt4=Cpt_Index,Tab_Compteur_4[[#This Row],[Index]]-E208,Tab_Compteur_4[[#This Row],[Quantité]])/Tab_Compteur_4[[#This Row],[Delta Jour]],""))</f>
        <v/>
      </c>
      <c r="H209" s="186" t="str">
        <f>IFERROR(Tab_Compteur_4[[#This Row],[Montant]]/Tab_Compteur_4[[#This Row],[Delta Jour]],"")</f>
        <v/>
      </c>
      <c r="I209" s="208" t="str">
        <f t="shared" si="10"/>
        <v/>
      </c>
      <c r="J209" s="209"/>
      <c r="K209" s="38"/>
      <c r="L209" s="38"/>
      <c r="M209" s="38"/>
    </row>
    <row r="210" spans="1:13">
      <c r="A210" s="3">
        <f t="shared" si="11"/>
        <v>1</v>
      </c>
      <c r="B210" s="87"/>
      <c r="C210" s="189"/>
      <c r="D210" s="188"/>
      <c r="E210" s="186"/>
      <c r="F210" s="186">
        <f t="shared" si="9"/>
        <v>0</v>
      </c>
      <c r="G210" s="186" t="str">
        <f>IF(IFERROR(IF(Str_TypeDonneesCpt4=Cpt_Index,Tab_Compteur_4[[#This Row],[Index]]-E209,Tab_Compteur_4[[#This Row],[Quantité]])/Tab_Compteur_4[[#This Row],[Delta Jour]],"")&lt;0,"",IFERROR(IF(Str_TypeDonneesCpt4=Cpt_Index,Tab_Compteur_4[[#This Row],[Index]]-E209,Tab_Compteur_4[[#This Row],[Quantité]])/Tab_Compteur_4[[#This Row],[Delta Jour]],""))</f>
        <v/>
      </c>
      <c r="H210" s="186" t="str">
        <f>IFERROR(Tab_Compteur_4[[#This Row],[Montant]]/Tab_Compteur_4[[#This Row],[Delta Jour]],"")</f>
        <v/>
      </c>
      <c r="I210" s="208" t="str">
        <f t="shared" si="10"/>
        <v/>
      </c>
      <c r="J210" s="209"/>
      <c r="K210" s="38"/>
      <c r="L210" s="38"/>
      <c r="M210" s="38"/>
    </row>
    <row r="211" spans="1:13">
      <c r="A211" s="3">
        <f t="shared" si="11"/>
        <v>1</v>
      </c>
      <c r="B211" s="87"/>
      <c r="C211" s="189"/>
      <c r="D211" s="188"/>
      <c r="E211" s="186"/>
      <c r="F211" s="186">
        <f t="shared" si="9"/>
        <v>0</v>
      </c>
      <c r="G211" s="186" t="str">
        <f>IF(IFERROR(IF(Str_TypeDonneesCpt4=Cpt_Index,Tab_Compteur_4[[#This Row],[Index]]-E210,Tab_Compteur_4[[#This Row],[Quantité]])/Tab_Compteur_4[[#This Row],[Delta Jour]],"")&lt;0,"",IFERROR(IF(Str_TypeDonneesCpt4=Cpt_Index,Tab_Compteur_4[[#This Row],[Index]]-E210,Tab_Compteur_4[[#This Row],[Quantité]])/Tab_Compteur_4[[#This Row],[Delta Jour]],""))</f>
        <v/>
      </c>
      <c r="H211" s="186" t="str">
        <f>IFERROR(Tab_Compteur_4[[#This Row],[Montant]]/Tab_Compteur_4[[#This Row],[Delta Jour]],"")</f>
        <v/>
      </c>
      <c r="I211" s="208" t="str">
        <f t="shared" si="10"/>
        <v/>
      </c>
      <c r="J211" s="209"/>
      <c r="K211" s="38"/>
      <c r="L211" s="38"/>
      <c r="M211" s="38"/>
    </row>
    <row r="212" spans="1:13">
      <c r="A212" s="3">
        <f t="shared" si="11"/>
        <v>1</v>
      </c>
      <c r="B212" s="87"/>
      <c r="C212" s="189"/>
      <c r="D212" s="188"/>
      <c r="E212" s="186"/>
      <c r="F212" s="186">
        <f t="shared" si="9"/>
        <v>0</v>
      </c>
      <c r="G212" s="186" t="str">
        <f>IF(IFERROR(IF(Str_TypeDonneesCpt4=Cpt_Index,Tab_Compteur_4[[#This Row],[Index]]-E211,Tab_Compteur_4[[#This Row],[Quantité]])/Tab_Compteur_4[[#This Row],[Delta Jour]],"")&lt;0,"",IFERROR(IF(Str_TypeDonneesCpt4=Cpt_Index,Tab_Compteur_4[[#This Row],[Index]]-E211,Tab_Compteur_4[[#This Row],[Quantité]])/Tab_Compteur_4[[#This Row],[Delta Jour]],""))</f>
        <v/>
      </c>
      <c r="H212" s="186" t="str">
        <f>IFERROR(Tab_Compteur_4[[#This Row],[Montant]]/Tab_Compteur_4[[#This Row],[Delta Jour]],"")</f>
        <v/>
      </c>
      <c r="I212" s="208" t="str">
        <f t="shared" si="10"/>
        <v/>
      </c>
      <c r="J212" s="209"/>
      <c r="K212" s="38"/>
      <c r="L212" s="38"/>
      <c r="M212" s="38"/>
    </row>
    <row r="213" spans="1:13">
      <c r="A213" s="3">
        <f t="shared" si="11"/>
        <v>1</v>
      </c>
      <c r="B213" s="87"/>
      <c r="C213" s="189"/>
      <c r="D213" s="188"/>
      <c r="E213" s="186"/>
      <c r="F213" s="186">
        <f t="shared" si="9"/>
        <v>0</v>
      </c>
      <c r="G213" s="186" t="str">
        <f>IF(IFERROR(IF(Str_TypeDonneesCpt4=Cpt_Index,Tab_Compteur_4[[#This Row],[Index]]-E212,Tab_Compteur_4[[#This Row],[Quantité]])/Tab_Compteur_4[[#This Row],[Delta Jour]],"")&lt;0,"",IFERROR(IF(Str_TypeDonneesCpt4=Cpt_Index,Tab_Compteur_4[[#This Row],[Index]]-E212,Tab_Compteur_4[[#This Row],[Quantité]])/Tab_Compteur_4[[#This Row],[Delta Jour]],""))</f>
        <v/>
      </c>
      <c r="H213" s="186" t="str">
        <f>IFERROR(Tab_Compteur_4[[#This Row],[Montant]]/Tab_Compteur_4[[#This Row],[Delta Jour]],"")</f>
        <v/>
      </c>
      <c r="I213" s="208" t="str">
        <f t="shared" si="10"/>
        <v/>
      </c>
      <c r="J213" s="209"/>
      <c r="K213" s="38"/>
      <c r="L213" s="38"/>
      <c r="M213" s="38"/>
    </row>
    <row r="214" spans="1:13">
      <c r="A214" s="3">
        <f t="shared" si="11"/>
        <v>1</v>
      </c>
      <c r="B214" s="87"/>
      <c r="C214" s="189"/>
      <c r="D214" s="188"/>
      <c r="E214" s="186"/>
      <c r="F214" s="186">
        <f t="shared" si="9"/>
        <v>0</v>
      </c>
      <c r="G214" s="186" t="str">
        <f>IF(IFERROR(IF(Str_TypeDonneesCpt4=Cpt_Index,Tab_Compteur_4[[#This Row],[Index]]-E213,Tab_Compteur_4[[#This Row],[Quantité]])/Tab_Compteur_4[[#This Row],[Delta Jour]],"")&lt;0,"",IFERROR(IF(Str_TypeDonneesCpt4=Cpt_Index,Tab_Compteur_4[[#This Row],[Index]]-E213,Tab_Compteur_4[[#This Row],[Quantité]])/Tab_Compteur_4[[#This Row],[Delta Jour]],""))</f>
        <v/>
      </c>
      <c r="H214" s="186" t="str">
        <f>IFERROR(Tab_Compteur_4[[#This Row],[Montant]]/Tab_Compteur_4[[#This Row],[Delta Jour]],"")</f>
        <v/>
      </c>
      <c r="I214" s="208" t="str">
        <f t="shared" si="10"/>
        <v/>
      </c>
      <c r="J214" s="209"/>
      <c r="K214" s="38"/>
      <c r="L214" s="38"/>
      <c r="M214" s="38"/>
    </row>
    <row r="215" spans="1:13">
      <c r="A215" s="3">
        <f t="shared" si="11"/>
        <v>1</v>
      </c>
      <c r="B215" s="87"/>
      <c r="C215" s="189"/>
      <c r="D215" s="188"/>
      <c r="E215" s="186"/>
      <c r="F215" s="186">
        <f t="shared" si="9"/>
        <v>0</v>
      </c>
      <c r="G215" s="186" t="str">
        <f>IF(IFERROR(IF(Str_TypeDonneesCpt4=Cpt_Index,Tab_Compteur_4[[#This Row],[Index]]-E214,Tab_Compteur_4[[#This Row],[Quantité]])/Tab_Compteur_4[[#This Row],[Delta Jour]],"")&lt;0,"",IFERROR(IF(Str_TypeDonneesCpt4=Cpt_Index,Tab_Compteur_4[[#This Row],[Index]]-E214,Tab_Compteur_4[[#This Row],[Quantité]])/Tab_Compteur_4[[#This Row],[Delta Jour]],""))</f>
        <v/>
      </c>
      <c r="H215" s="186" t="str">
        <f>IFERROR(Tab_Compteur_4[[#This Row],[Montant]]/Tab_Compteur_4[[#This Row],[Delta Jour]],"")</f>
        <v/>
      </c>
      <c r="I215" s="208" t="str">
        <f t="shared" si="10"/>
        <v/>
      </c>
      <c r="J215" s="209"/>
      <c r="K215" s="38"/>
      <c r="L215" s="38"/>
      <c r="M215" s="38"/>
    </row>
    <row r="216" spans="1:13">
      <c r="A216" s="3">
        <f t="shared" si="11"/>
        <v>1</v>
      </c>
      <c r="B216" s="87"/>
      <c r="C216" s="189"/>
      <c r="D216" s="188"/>
      <c r="E216" s="186"/>
      <c r="F216" s="186">
        <f t="shared" si="9"/>
        <v>0</v>
      </c>
      <c r="G216" s="186" t="str">
        <f>IF(IFERROR(IF(Str_TypeDonneesCpt4=Cpt_Index,Tab_Compteur_4[[#This Row],[Index]]-E215,Tab_Compteur_4[[#This Row],[Quantité]])/Tab_Compteur_4[[#This Row],[Delta Jour]],"")&lt;0,"",IFERROR(IF(Str_TypeDonneesCpt4=Cpt_Index,Tab_Compteur_4[[#This Row],[Index]]-E215,Tab_Compteur_4[[#This Row],[Quantité]])/Tab_Compteur_4[[#This Row],[Delta Jour]],""))</f>
        <v/>
      </c>
      <c r="H216" s="186" t="str">
        <f>IFERROR(Tab_Compteur_4[[#This Row],[Montant]]/Tab_Compteur_4[[#This Row],[Delta Jour]],"")</f>
        <v/>
      </c>
      <c r="I216" s="208" t="str">
        <f t="shared" si="10"/>
        <v/>
      </c>
      <c r="J216" s="209"/>
      <c r="K216" s="38"/>
      <c r="L216" s="38"/>
      <c r="M216" s="38"/>
    </row>
    <row r="217" spans="1:13">
      <c r="A217" s="3">
        <f t="shared" si="11"/>
        <v>1</v>
      </c>
      <c r="B217" s="87"/>
      <c r="C217" s="189"/>
      <c r="D217" s="188"/>
      <c r="E217" s="186"/>
      <c r="F217" s="186">
        <f t="shared" si="9"/>
        <v>0</v>
      </c>
      <c r="G217" s="186" t="str">
        <f>IF(IFERROR(IF(Str_TypeDonneesCpt4=Cpt_Index,Tab_Compteur_4[[#This Row],[Index]]-E216,Tab_Compteur_4[[#This Row],[Quantité]])/Tab_Compteur_4[[#This Row],[Delta Jour]],"")&lt;0,"",IFERROR(IF(Str_TypeDonneesCpt4=Cpt_Index,Tab_Compteur_4[[#This Row],[Index]]-E216,Tab_Compteur_4[[#This Row],[Quantité]])/Tab_Compteur_4[[#This Row],[Delta Jour]],""))</f>
        <v/>
      </c>
      <c r="H217" s="186" t="str">
        <f>IFERROR(Tab_Compteur_4[[#This Row],[Montant]]/Tab_Compteur_4[[#This Row],[Delta Jour]],"")</f>
        <v/>
      </c>
      <c r="I217" s="208" t="str">
        <f t="shared" si="10"/>
        <v/>
      </c>
      <c r="J217" s="209"/>
      <c r="K217" s="38"/>
      <c r="L217" s="38"/>
      <c r="M217" s="38"/>
    </row>
    <row r="218" spans="1:13">
      <c r="A218" s="3">
        <f t="shared" si="11"/>
        <v>1</v>
      </c>
      <c r="B218" s="87"/>
      <c r="C218" s="189"/>
      <c r="D218" s="188"/>
      <c r="E218" s="186"/>
      <c r="F218" s="186">
        <f t="shared" si="9"/>
        <v>0</v>
      </c>
      <c r="G218" s="186" t="str">
        <f>IF(IFERROR(IF(Str_TypeDonneesCpt4=Cpt_Index,Tab_Compteur_4[[#This Row],[Index]]-E217,Tab_Compteur_4[[#This Row],[Quantité]])/Tab_Compteur_4[[#This Row],[Delta Jour]],"")&lt;0,"",IFERROR(IF(Str_TypeDonneesCpt4=Cpt_Index,Tab_Compteur_4[[#This Row],[Index]]-E217,Tab_Compteur_4[[#This Row],[Quantité]])/Tab_Compteur_4[[#This Row],[Delta Jour]],""))</f>
        <v/>
      </c>
      <c r="H218" s="186" t="str">
        <f>IFERROR(Tab_Compteur_4[[#This Row],[Montant]]/Tab_Compteur_4[[#This Row],[Delta Jour]],"")</f>
        <v/>
      </c>
      <c r="I218" s="208" t="str">
        <f t="shared" si="10"/>
        <v/>
      </c>
      <c r="J218" s="209"/>
      <c r="K218" s="38"/>
      <c r="L218" s="38"/>
      <c r="M218" s="38"/>
    </row>
    <row r="219" spans="1:13">
      <c r="A219" s="3">
        <f t="shared" si="11"/>
        <v>1</v>
      </c>
      <c r="B219" s="87"/>
      <c r="C219" s="189"/>
      <c r="D219" s="188"/>
      <c r="E219" s="186"/>
      <c r="F219" s="186">
        <f t="shared" si="9"/>
        <v>0</v>
      </c>
      <c r="G219" s="186" t="str">
        <f>IF(IFERROR(IF(Str_TypeDonneesCpt4=Cpt_Index,Tab_Compteur_4[[#This Row],[Index]]-E218,Tab_Compteur_4[[#This Row],[Quantité]])/Tab_Compteur_4[[#This Row],[Delta Jour]],"")&lt;0,"",IFERROR(IF(Str_TypeDonneesCpt4=Cpt_Index,Tab_Compteur_4[[#This Row],[Index]]-E218,Tab_Compteur_4[[#This Row],[Quantité]])/Tab_Compteur_4[[#This Row],[Delta Jour]],""))</f>
        <v/>
      </c>
      <c r="H219" s="186" t="str">
        <f>IFERROR(Tab_Compteur_4[[#This Row],[Montant]]/Tab_Compteur_4[[#This Row],[Delta Jour]],"")</f>
        <v/>
      </c>
      <c r="I219" s="208" t="str">
        <f t="shared" si="10"/>
        <v/>
      </c>
      <c r="J219" s="209"/>
      <c r="K219" s="38"/>
      <c r="L219" s="38"/>
      <c r="M219" s="38"/>
    </row>
    <row r="220" spans="1:13">
      <c r="A220" s="3">
        <f t="shared" si="11"/>
        <v>1</v>
      </c>
      <c r="B220" s="87"/>
      <c r="C220" s="189"/>
      <c r="D220" s="188"/>
      <c r="E220" s="186"/>
      <c r="F220" s="186">
        <f t="shared" si="9"/>
        <v>0</v>
      </c>
      <c r="G220" s="186" t="str">
        <f>IF(IFERROR(IF(Str_TypeDonneesCpt4=Cpt_Index,Tab_Compteur_4[[#This Row],[Index]]-E219,Tab_Compteur_4[[#This Row],[Quantité]])/Tab_Compteur_4[[#This Row],[Delta Jour]],"")&lt;0,"",IFERROR(IF(Str_TypeDonneesCpt4=Cpt_Index,Tab_Compteur_4[[#This Row],[Index]]-E219,Tab_Compteur_4[[#This Row],[Quantité]])/Tab_Compteur_4[[#This Row],[Delta Jour]],""))</f>
        <v/>
      </c>
      <c r="H220" s="186" t="str">
        <f>IFERROR(Tab_Compteur_4[[#This Row],[Montant]]/Tab_Compteur_4[[#This Row],[Delta Jour]],"")</f>
        <v/>
      </c>
      <c r="I220" s="208" t="str">
        <f t="shared" si="10"/>
        <v/>
      </c>
      <c r="J220" s="209"/>
      <c r="K220" s="38"/>
      <c r="L220" s="38"/>
      <c r="M220" s="38"/>
    </row>
    <row r="221" spans="1:13">
      <c r="A221" s="3">
        <f t="shared" si="11"/>
        <v>1</v>
      </c>
      <c r="B221" s="87"/>
      <c r="C221" s="189"/>
      <c r="D221" s="188"/>
      <c r="E221" s="186"/>
      <c r="F221" s="186">
        <f t="shared" si="9"/>
        <v>0</v>
      </c>
      <c r="G221" s="186" t="str">
        <f>IF(IFERROR(IF(Str_TypeDonneesCpt4=Cpt_Index,Tab_Compteur_4[[#This Row],[Index]]-E220,Tab_Compteur_4[[#This Row],[Quantité]])/Tab_Compteur_4[[#This Row],[Delta Jour]],"")&lt;0,"",IFERROR(IF(Str_TypeDonneesCpt4=Cpt_Index,Tab_Compteur_4[[#This Row],[Index]]-E220,Tab_Compteur_4[[#This Row],[Quantité]])/Tab_Compteur_4[[#This Row],[Delta Jour]],""))</f>
        <v/>
      </c>
      <c r="H221" s="186" t="str">
        <f>IFERROR(Tab_Compteur_4[[#This Row],[Montant]]/Tab_Compteur_4[[#This Row],[Delta Jour]],"")</f>
        <v/>
      </c>
      <c r="I221" s="208" t="str">
        <f t="shared" si="10"/>
        <v/>
      </c>
      <c r="J221" s="209"/>
      <c r="K221" s="38"/>
      <c r="L221" s="38"/>
      <c r="M221" s="38"/>
    </row>
    <row r="222" spans="1:13">
      <c r="A222" s="3">
        <f t="shared" si="11"/>
        <v>1</v>
      </c>
      <c r="B222" s="87"/>
      <c r="C222" s="189"/>
      <c r="D222" s="188"/>
      <c r="E222" s="186"/>
      <c r="F222" s="186">
        <f t="shared" si="9"/>
        <v>0</v>
      </c>
      <c r="G222" s="186" t="str">
        <f>IF(IFERROR(IF(Str_TypeDonneesCpt4=Cpt_Index,Tab_Compteur_4[[#This Row],[Index]]-E221,Tab_Compteur_4[[#This Row],[Quantité]])/Tab_Compteur_4[[#This Row],[Delta Jour]],"")&lt;0,"",IFERROR(IF(Str_TypeDonneesCpt4=Cpt_Index,Tab_Compteur_4[[#This Row],[Index]]-E221,Tab_Compteur_4[[#This Row],[Quantité]])/Tab_Compteur_4[[#This Row],[Delta Jour]],""))</f>
        <v/>
      </c>
      <c r="H222" s="186" t="str">
        <f>IFERROR(Tab_Compteur_4[[#This Row],[Montant]]/Tab_Compteur_4[[#This Row],[Delta Jour]],"")</f>
        <v/>
      </c>
      <c r="I222" s="208" t="str">
        <f t="shared" si="10"/>
        <v/>
      </c>
      <c r="J222" s="209"/>
      <c r="K222" s="38"/>
      <c r="L222" s="38"/>
      <c r="M222" s="38"/>
    </row>
    <row r="223" spans="1:13">
      <c r="A223" s="3">
        <f t="shared" si="11"/>
        <v>1</v>
      </c>
      <c r="B223" s="87"/>
      <c r="C223" s="189"/>
      <c r="D223" s="188"/>
      <c r="E223" s="186"/>
      <c r="F223" s="186">
        <f t="shared" si="9"/>
        <v>0</v>
      </c>
      <c r="G223" s="186" t="str">
        <f>IF(IFERROR(IF(Str_TypeDonneesCpt4=Cpt_Index,Tab_Compteur_4[[#This Row],[Index]]-E222,Tab_Compteur_4[[#This Row],[Quantité]])/Tab_Compteur_4[[#This Row],[Delta Jour]],"")&lt;0,"",IFERROR(IF(Str_TypeDonneesCpt4=Cpt_Index,Tab_Compteur_4[[#This Row],[Index]]-E222,Tab_Compteur_4[[#This Row],[Quantité]])/Tab_Compteur_4[[#This Row],[Delta Jour]],""))</f>
        <v/>
      </c>
      <c r="H223" s="186" t="str">
        <f>IFERROR(Tab_Compteur_4[[#This Row],[Montant]]/Tab_Compteur_4[[#This Row],[Delta Jour]],"")</f>
        <v/>
      </c>
      <c r="I223" s="208" t="str">
        <f t="shared" si="10"/>
        <v/>
      </c>
      <c r="J223" s="209"/>
      <c r="K223" s="38"/>
      <c r="L223" s="38"/>
      <c r="M223" s="38"/>
    </row>
    <row r="224" spans="1:13">
      <c r="A224" s="3">
        <f t="shared" si="11"/>
        <v>1</v>
      </c>
      <c r="B224" s="87"/>
      <c r="C224" s="189"/>
      <c r="D224" s="188"/>
      <c r="E224" s="186"/>
      <c r="F224" s="186">
        <f t="shared" si="9"/>
        <v>0</v>
      </c>
      <c r="G224" s="186" t="str">
        <f>IF(IFERROR(IF(Str_TypeDonneesCpt4=Cpt_Index,Tab_Compteur_4[[#This Row],[Index]]-E223,Tab_Compteur_4[[#This Row],[Quantité]])/Tab_Compteur_4[[#This Row],[Delta Jour]],"")&lt;0,"",IFERROR(IF(Str_TypeDonneesCpt4=Cpt_Index,Tab_Compteur_4[[#This Row],[Index]]-E223,Tab_Compteur_4[[#This Row],[Quantité]])/Tab_Compteur_4[[#This Row],[Delta Jour]],""))</f>
        <v/>
      </c>
      <c r="H224" s="186" t="str">
        <f>IFERROR(Tab_Compteur_4[[#This Row],[Montant]]/Tab_Compteur_4[[#This Row],[Delta Jour]],"")</f>
        <v/>
      </c>
      <c r="I224" s="208" t="str">
        <f t="shared" si="10"/>
        <v/>
      </c>
      <c r="J224" s="209"/>
      <c r="K224" s="38"/>
      <c r="L224" s="38"/>
      <c r="M224" s="38"/>
    </row>
    <row r="225" spans="1:13">
      <c r="A225" s="3">
        <f t="shared" si="11"/>
        <v>1</v>
      </c>
      <c r="B225" s="87"/>
      <c r="C225" s="189"/>
      <c r="D225" s="188"/>
      <c r="E225" s="186"/>
      <c r="F225" s="186">
        <f t="shared" si="9"/>
        <v>0</v>
      </c>
      <c r="G225" s="186" t="str">
        <f>IF(IFERROR(IF(Str_TypeDonneesCpt4=Cpt_Index,Tab_Compteur_4[[#This Row],[Index]]-E224,Tab_Compteur_4[[#This Row],[Quantité]])/Tab_Compteur_4[[#This Row],[Delta Jour]],"")&lt;0,"",IFERROR(IF(Str_TypeDonneesCpt4=Cpt_Index,Tab_Compteur_4[[#This Row],[Index]]-E224,Tab_Compteur_4[[#This Row],[Quantité]])/Tab_Compteur_4[[#This Row],[Delta Jour]],""))</f>
        <v/>
      </c>
      <c r="H225" s="186" t="str">
        <f>IFERROR(Tab_Compteur_4[[#This Row],[Montant]]/Tab_Compteur_4[[#This Row],[Delta Jour]],"")</f>
        <v/>
      </c>
      <c r="I225" s="208" t="str">
        <f t="shared" si="10"/>
        <v/>
      </c>
      <c r="J225" s="209"/>
      <c r="K225" s="38"/>
      <c r="L225" s="38"/>
      <c r="M225" s="38"/>
    </row>
    <row r="226" spans="1:13">
      <c r="A226" s="3">
        <f t="shared" si="11"/>
        <v>1</v>
      </c>
      <c r="B226" s="87"/>
      <c r="C226" s="189"/>
      <c r="D226" s="188"/>
      <c r="E226" s="186"/>
      <c r="F226" s="186">
        <f t="shared" si="9"/>
        <v>0</v>
      </c>
      <c r="G226" s="186" t="str">
        <f>IF(IFERROR(IF(Str_TypeDonneesCpt4=Cpt_Index,Tab_Compteur_4[[#This Row],[Index]]-E225,Tab_Compteur_4[[#This Row],[Quantité]])/Tab_Compteur_4[[#This Row],[Delta Jour]],"")&lt;0,"",IFERROR(IF(Str_TypeDonneesCpt4=Cpt_Index,Tab_Compteur_4[[#This Row],[Index]]-E225,Tab_Compteur_4[[#This Row],[Quantité]])/Tab_Compteur_4[[#This Row],[Delta Jour]],""))</f>
        <v/>
      </c>
      <c r="H226" s="186" t="str">
        <f>IFERROR(Tab_Compteur_4[[#This Row],[Montant]]/Tab_Compteur_4[[#This Row],[Delta Jour]],"")</f>
        <v/>
      </c>
      <c r="I226" s="208" t="str">
        <f t="shared" si="10"/>
        <v/>
      </c>
      <c r="J226" s="209"/>
      <c r="K226" s="38"/>
      <c r="L226" s="38"/>
      <c r="M226" s="38"/>
    </row>
    <row r="227" spans="1:13">
      <c r="A227" s="3">
        <f t="shared" si="11"/>
        <v>1</v>
      </c>
      <c r="B227" s="87"/>
      <c r="C227" s="189"/>
      <c r="D227" s="188"/>
      <c r="E227" s="186"/>
      <c r="F227" s="186">
        <f t="shared" si="9"/>
        <v>0</v>
      </c>
      <c r="G227" s="186" t="str">
        <f>IF(IFERROR(IF(Str_TypeDonneesCpt4=Cpt_Index,Tab_Compteur_4[[#This Row],[Index]]-E226,Tab_Compteur_4[[#This Row],[Quantité]])/Tab_Compteur_4[[#This Row],[Delta Jour]],"")&lt;0,"",IFERROR(IF(Str_TypeDonneesCpt4=Cpt_Index,Tab_Compteur_4[[#This Row],[Index]]-E226,Tab_Compteur_4[[#This Row],[Quantité]])/Tab_Compteur_4[[#This Row],[Delta Jour]],""))</f>
        <v/>
      </c>
      <c r="H227" s="186" t="str">
        <f>IFERROR(Tab_Compteur_4[[#This Row],[Montant]]/Tab_Compteur_4[[#This Row],[Delta Jour]],"")</f>
        <v/>
      </c>
      <c r="I227" s="208" t="str">
        <f t="shared" si="10"/>
        <v/>
      </c>
      <c r="J227" s="209"/>
      <c r="K227" s="38"/>
      <c r="L227" s="38"/>
      <c r="M227" s="38"/>
    </row>
    <row r="228" spans="1:13">
      <c r="A228" s="3">
        <f t="shared" si="11"/>
        <v>1</v>
      </c>
      <c r="B228" s="87"/>
      <c r="C228" s="189"/>
      <c r="D228" s="188"/>
      <c r="E228" s="186"/>
      <c r="F228" s="186">
        <f t="shared" si="9"/>
        <v>0</v>
      </c>
      <c r="G228" s="186" t="str">
        <f>IF(IFERROR(IF(Str_TypeDonneesCpt4=Cpt_Index,Tab_Compteur_4[[#This Row],[Index]]-E227,Tab_Compteur_4[[#This Row],[Quantité]])/Tab_Compteur_4[[#This Row],[Delta Jour]],"")&lt;0,"",IFERROR(IF(Str_TypeDonneesCpt4=Cpt_Index,Tab_Compteur_4[[#This Row],[Index]]-E227,Tab_Compteur_4[[#This Row],[Quantité]])/Tab_Compteur_4[[#This Row],[Delta Jour]],""))</f>
        <v/>
      </c>
      <c r="H228" s="186" t="str">
        <f>IFERROR(Tab_Compteur_4[[#This Row],[Montant]]/Tab_Compteur_4[[#This Row],[Delta Jour]],"")</f>
        <v/>
      </c>
      <c r="I228" s="208" t="str">
        <f t="shared" si="10"/>
        <v/>
      </c>
      <c r="J228" s="209"/>
      <c r="K228" s="38"/>
      <c r="L228" s="38"/>
      <c r="M228" s="38"/>
    </row>
    <row r="229" spans="1:13">
      <c r="A229" s="3">
        <f t="shared" si="11"/>
        <v>1</v>
      </c>
      <c r="B229" s="87"/>
      <c r="C229" s="189"/>
      <c r="D229" s="188"/>
      <c r="E229" s="186"/>
      <c r="F229" s="186">
        <f t="shared" si="9"/>
        <v>0</v>
      </c>
      <c r="G229" s="186" t="str">
        <f>IF(IFERROR(IF(Str_TypeDonneesCpt4=Cpt_Index,Tab_Compteur_4[[#This Row],[Index]]-E228,Tab_Compteur_4[[#This Row],[Quantité]])/Tab_Compteur_4[[#This Row],[Delta Jour]],"")&lt;0,"",IFERROR(IF(Str_TypeDonneesCpt4=Cpt_Index,Tab_Compteur_4[[#This Row],[Index]]-E228,Tab_Compteur_4[[#This Row],[Quantité]])/Tab_Compteur_4[[#This Row],[Delta Jour]],""))</f>
        <v/>
      </c>
      <c r="H229" s="186" t="str">
        <f>IFERROR(Tab_Compteur_4[[#This Row],[Montant]]/Tab_Compteur_4[[#This Row],[Delta Jour]],"")</f>
        <v/>
      </c>
      <c r="I229" s="208" t="str">
        <f t="shared" si="10"/>
        <v/>
      </c>
      <c r="J229" s="209"/>
      <c r="K229" s="38"/>
      <c r="L229" s="38"/>
      <c r="M229" s="38"/>
    </row>
    <row r="230" spans="1:13">
      <c r="A230" s="3">
        <f t="shared" si="11"/>
        <v>1</v>
      </c>
      <c r="B230" s="87"/>
      <c r="C230" s="189"/>
      <c r="D230" s="188"/>
      <c r="E230" s="186"/>
      <c r="F230" s="186">
        <f t="shared" si="9"/>
        <v>0</v>
      </c>
      <c r="G230" s="186" t="str">
        <f>IF(IFERROR(IF(Str_TypeDonneesCpt4=Cpt_Index,Tab_Compteur_4[[#This Row],[Index]]-E229,Tab_Compteur_4[[#This Row],[Quantité]])/Tab_Compteur_4[[#This Row],[Delta Jour]],"")&lt;0,"",IFERROR(IF(Str_TypeDonneesCpt4=Cpt_Index,Tab_Compteur_4[[#This Row],[Index]]-E229,Tab_Compteur_4[[#This Row],[Quantité]])/Tab_Compteur_4[[#This Row],[Delta Jour]],""))</f>
        <v/>
      </c>
      <c r="H230" s="186" t="str">
        <f>IFERROR(Tab_Compteur_4[[#This Row],[Montant]]/Tab_Compteur_4[[#This Row],[Delta Jour]],"")</f>
        <v/>
      </c>
      <c r="I230" s="208" t="str">
        <f t="shared" si="10"/>
        <v/>
      </c>
      <c r="J230" s="209"/>
      <c r="K230" s="38"/>
      <c r="L230" s="38"/>
      <c r="M230" s="38"/>
    </row>
    <row r="231" spans="1:13">
      <c r="A231" s="3">
        <f t="shared" si="11"/>
        <v>1</v>
      </c>
      <c r="B231" s="87"/>
      <c r="C231" s="189"/>
      <c r="D231" s="188"/>
      <c r="E231" s="186"/>
      <c r="F231" s="186">
        <f t="shared" si="9"/>
        <v>0</v>
      </c>
      <c r="G231" s="186" t="str">
        <f>IF(IFERROR(IF(Str_TypeDonneesCpt4=Cpt_Index,Tab_Compteur_4[[#This Row],[Index]]-E230,Tab_Compteur_4[[#This Row],[Quantité]])/Tab_Compteur_4[[#This Row],[Delta Jour]],"")&lt;0,"",IFERROR(IF(Str_TypeDonneesCpt4=Cpt_Index,Tab_Compteur_4[[#This Row],[Index]]-E230,Tab_Compteur_4[[#This Row],[Quantité]])/Tab_Compteur_4[[#This Row],[Delta Jour]],""))</f>
        <v/>
      </c>
      <c r="H231" s="186" t="str">
        <f>IFERROR(Tab_Compteur_4[[#This Row],[Montant]]/Tab_Compteur_4[[#This Row],[Delta Jour]],"")</f>
        <v/>
      </c>
      <c r="I231" s="208" t="str">
        <f t="shared" si="10"/>
        <v/>
      </c>
      <c r="J231" s="209"/>
      <c r="K231" s="38"/>
      <c r="L231" s="38"/>
      <c r="M231" s="38"/>
    </row>
    <row r="232" spans="1:13">
      <c r="A232" s="3">
        <f t="shared" si="11"/>
        <v>1</v>
      </c>
      <c r="B232" s="87"/>
      <c r="C232" s="189"/>
      <c r="D232" s="188"/>
      <c r="E232" s="186"/>
      <c r="F232" s="186">
        <f t="shared" si="9"/>
        <v>0</v>
      </c>
      <c r="G232" s="186" t="str">
        <f>IF(IFERROR(IF(Str_TypeDonneesCpt4=Cpt_Index,Tab_Compteur_4[[#This Row],[Index]]-E231,Tab_Compteur_4[[#This Row],[Quantité]])/Tab_Compteur_4[[#This Row],[Delta Jour]],"")&lt;0,"",IFERROR(IF(Str_TypeDonneesCpt4=Cpt_Index,Tab_Compteur_4[[#This Row],[Index]]-E231,Tab_Compteur_4[[#This Row],[Quantité]])/Tab_Compteur_4[[#This Row],[Delta Jour]],""))</f>
        <v/>
      </c>
      <c r="H232" s="186" t="str">
        <f>IFERROR(Tab_Compteur_4[[#This Row],[Montant]]/Tab_Compteur_4[[#This Row],[Delta Jour]],"")</f>
        <v/>
      </c>
      <c r="I232" s="208" t="str">
        <f t="shared" si="10"/>
        <v/>
      </c>
      <c r="J232" s="209"/>
      <c r="K232" s="38"/>
      <c r="L232" s="38"/>
      <c r="M232" s="38"/>
    </row>
    <row r="233" spans="1:13">
      <c r="A233" s="3">
        <f t="shared" si="11"/>
        <v>1</v>
      </c>
      <c r="B233" s="87"/>
      <c r="C233" s="189"/>
      <c r="D233" s="188"/>
      <c r="E233" s="186"/>
      <c r="F233" s="186">
        <f t="shared" si="9"/>
        <v>0</v>
      </c>
      <c r="G233" s="186" t="str">
        <f>IF(IFERROR(IF(Str_TypeDonneesCpt4=Cpt_Index,Tab_Compteur_4[[#This Row],[Index]]-E232,Tab_Compteur_4[[#This Row],[Quantité]])/Tab_Compteur_4[[#This Row],[Delta Jour]],"")&lt;0,"",IFERROR(IF(Str_TypeDonneesCpt4=Cpt_Index,Tab_Compteur_4[[#This Row],[Index]]-E232,Tab_Compteur_4[[#This Row],[Quantité]])/Tab_Compteur_4[[#This Row],[Delta Jour]],""))</f>
        <v/>
      </c>
      <c r="H233" s="186" t="str">
        <f>IFERROR(Tab_Compteur_4[[#This Row],[Montant]]/Tab_Compteur_4[[#This Row],[Delta Jour]],"")</f>
        <v/>
      </c>
      <c r="I233" s="208" t="str">
        <f t="shared" si="10"/>
        <v/>
      </c>
      <c r="J233" s="209"/>
      <c r="K233" s="38"/>
      <c r="L233" s="38"/>
      <c r="M233" s="38"/>
    </row>
    <row r="234" spans="1:13">
      <c r="A234" s="3">
        <f t="shared" si="11"/>
        <v>1</v>
      </c>
      <c r="B234" s="87"/>
      <c r="C234" s="189"/>
      <c r="D234" s="188"/>
      <c r="E234" s="186"/>
      <c r="F234" s="186">
        <f t="shared" si="9"/>
        <v>0</v>
      </c>
      <c r="G234" s="186" t="str">
        <f>IF(IFERROR(IF(Str_TypeDonneesCpt4=Cpt_Index,Tab_Compteur_4[[#This Row],[Index]]-E233,Tab_Compteur_4[[#This Row],[Quantité]])/Tab_Compteur_4[[#This Row],[Delta Jour]],"")&lt;0,"",IFERROR(IF(Str_TypeDonneesCpt4=Cpt_Index,Tab_Compteur_4[[#This Row],[Index]]-E233,Tab_Compteur_4[[#This Row],[Quantité]])/Tab_Compteur_4[[#This Row],[Delta Jour]],""))</f>
        <v/>
      </c>
      <c r="H234" s="186" t="str">
        <f>IFERROR(Tab_Compteur_4[[#This Row],[Montant]]/Tab_Compteur_4[[#This Row],[Delta Jour]],"")</f>
        <v/>
      </c>
      <c r="I234" s="208" t="str">
        <f t="shared" si="10"/>
        <v/>
      </c>
      <c r="J234" s="209"/>
      <c r="K234" s="38"/>
      <c r="L234" s="38"/>
      <c r="M234" s="38"/>
    </row>
    <row r="235" spans="1:13">
      <c r="A235" s="3">
        <f t="shared" si="11"/>
        <v>1</v>
      </c>
      <c r="B235" s="87"/>
      <c r="C235" s="189"/>
      <c r="D235" s="188"/>
      <c r="E235" s="186"/>
      <c r="F235" s="186">
        <f t="shared" si="9"/>
        <v>0</v>
      </c>
      <c r="G235" s="186" t="str">
        <f>IF(IFERROR(IF(Str_TypeDonneesCpt4=Cpt_Index,Tab_Compteur_4[[#This Row],[Index]]-E234,Tab_Compteur_4[[#This Row],[Quantité]])/Tab_Compteur_4[[#This Row],[Delta Jour]],"")&lt;0,"",IFERROR(IF(Str_TypeDonneesCpt4=Cpt_Index,Tab_Compteur_4[[#This Row],[Index]]-E234,Tab_Compteur_4[[#This Row],[Quantité]])/Tab_Compteur_4[[#This Row],[Delta Jour]],""))</f>
        <v/>
      </c>
      <c r="H235" s="186" t="str">
        <f>IFERROR(Tab_Compteur_4[[#This Row],[Montant]]/Tab_Compteur_4[[#This Row],[Delta Jour]],"")</f>
        <v/>
      </c>
      <c r="I235" s="208" t="str">
        <f t="shared" si="10"/>
        <v/>
      </c>
      <c r="J235" s="209"/>
      <c r="K235" s="38"/>
      <c r="L235" s="38"/>
      <c r="M235" s="38"/>
    </row>
    <row r="236" spans="1:13">
      <c r="A236" s="3">
        <f t="shared" si="11"/>
        <v>1</v>
      </c>
      <c r="B236" s="87"/>
      <c r="C236" s="189"/>
      <c r="D236" s="188"/>
      <c r="E236" s="186"/>
      <c r="F236" s="186">
        <f t="shared" si="9"/>
        <v>0</v>
      </c>
      <c r="G236" s="186" t="str">
        <f>IF(IFERROR(IF(Str_TypeDonneesCpt4=Cpt_Index,Tab_Compteur_4[[#This Row],[Index]]-E235,Tab_Compteur_4[[#This Row],[Quantité]])/Tab_Compteur_4[[#This Row],[Delta Jour]],"")&lt;0,"",IFERROR(IF(Str_TypeDonneesCpt4=Cpt_Index,Tab_Compteur_4[[#This Row],[Index]]-E235,Tab_Compteur_4[[#This Row],[Quantité]])/Tab_Compteur_4[[#This Row],[Delta Jour]],""))</f>
        <v/>
      </c>
      <c r="H236" s="186" t="str">
        <f>IFERROR(Tab_Compteur_4[[#This Row],[Montant]]/Tab_Compteur_4[[#This Row],[Delta Jour]],"")</f>
        <v/>
      </c>
      <c r="I236" s="208" t="str">
        <f t="shared" si="10"/>
        <v/>
      </c>
      <c r="J236" s="209"/>
      <c r="K236" s="38"/>
      <c r="L236" s="38"/>
      <c r="M236" s="38"/>
    </row>
    <row r="237" spans="1:13">
      <c r="A237" s="3">
        <f t="shared" si="11"/>
        <v>1</v>
      </c>
      <c r="B237" s="87"/>
      <c r="C237" s="189"/>
      <c r="D237" s="188"/>
      <c r="E237" s="186"/>
      <c r="F237" s="186">
        <f t="shared" si="9"/>
        <v>0</v>
      </c>
      <c r="G237" s="186" t="str">
        <f>IF(IFERROR(IF(Str_TypeDonneesCpt4=Cpt_Index,Tab_Compteur_4[[#This Row],[Index]]-E236,Tab_Compteur_4[[#This Row],[Quantité]])/Tab_Compteur_4[[#This Row],[Delta Jour]],"")&lt;0,"",IFERROR(IF(Str_TypeDonneesCpt4=Cpt_Index,Tab_Compteur_4[[#This Row],[Index]]-E236,Tab_Compteur_4[[#This Row],[Quantité]])/Tab_Compteur_4[[#This Row],[Delta Jour]],""))</f>
        <v/>
      </c>
      <c r="H237" s="186" t="str">
        <f>IFERROR(Tab_Compteur_4[[#This Row],[Montant]]/Tab_Compteur_4[[#This Row],[Delta Jour]],"")</f>
        <v/>
      </c>
      <c r="I237" s="208" t="str">
        <f t="shared" si="10"/>
        <v/>
      </c>
      <c r="J237" s="209"/>
      <c r="K237" s="38"/>
      <c r="L237" s="38"/>
      <c r="M237" s="38"/>
    </row>
    <row r="238" spans="1:13">
      <c r="A238" s="3">
        <f t="shared" si="11"/>
        <v>1</v>
      </c>
      <c r="B238" s="87"/>
      <c r="C238" s="189"/>
      <c r="D238" s="188"/>
      <c r="E238" s="186"/>
      <c r="F238" s="186">
        <f t="shared" si="9"/>
        <v>0</v>
      </c>
      <c r="G238" s="186" t="str">
        <f>IF(IFERROR(IF(Str_TypeDonneesCpt4=Cpt_Index,Tab_Compteur_4[[#This Row],[Index]]-E237,Tab_Compteur_4[[#This Row],[Quantité]])/Tab_Compteur_4[[#This Row],[Delta Jour]],"")&lt;0,"",IFERROR(IF(Str_TypeDonneesCpt4=Cpt_Index,Tab_Compteur_4[[#This Row],[Index]]-E237,Tab_Compteur_4[[#This Row],[Quantité]])/Tab_Compteur_4[[#This Row],[Delta Jour]],""))</f>
        <v/>
      </c>
      <c r="H238" s="186" t="str">
        <f>IFERROR(Tab_Compteur_4[[#This Row],[Montant]]/Tab_Compteur_4[[#This Row],[Delta Jour]],"")</f>
        <v/>
      </c>
      <c r="I238" s="208" t="str">
        <f t="shared" si="10"/>
        <v/>
      </c>
      <c r="J238" s="209"/>
      <c r="K238" s="38"/>
      <c r="L238" s="38"/>
      <c r="M238" s="38"/>
    </row>
    <row r="239" spans="1:13">
      <c r="A239" s="3">
        <f t="shared" si="11"/>
        <v>1</v>
      </c>
      <c r="B239" s="87"/>
      <c r="C239" s="189"/>
      <c r="D239" s="188"/>
      <c r="E239" s="186"/>
      <c r="F239" s="186">
        <f t="shared" si="9"/>
        <v>0</v>
      </c>
      <c r="G239" s="186" t="str">
        <f>IF(IFERROR(IF(Str_TypeDonneesCpt4=Cpt_Index,Tab_Compteur_4[[#This Row],[Index]]-E238,Tab_Compteur_4[[#This Row],[Quantité]])/Tab_Compteur_4[[#This Row],[Delta Jour]],"")&lt;0,"",IFERROR(IF(Str_TypeDonneesCpt4=Cpt_Index,Tab_Compteur_4[[#This Row],[Index]]-E238,Tab_Compteur_4[[#This Row],[Quantité]])/Tab_Compteur_4[[#This Row],[Delta Jour]],""))</f>
        <v/>
      </c>
      <c r="H239" s="186" t="str">
        <f>IFERROR(Tab_Compteur_4[[#This Row],[Montant]]/Tab_Compteur_4[[#This Row],[Delta Jour]],"")</f>
        <v/>
      </c>
      <c r="I239" s="208" t="str">
        <f t="shared" si="10"/>
        <v/>
      </c>
      <c r="J239" s="209"/>
      <c r="K239" s="38"/>
      <c r="L239" s="38"/>
      <c r="M239" s="38"/>
    </row>
    <row r="240" spans="1:13">
      <c r="A240" s="3">
        <f t="shared" si="11"/>
        <v>1</v>
      </c>
      <c r="B240" s="87"/>
      <c r="C240" s="189"/>
      <c r="D240" s="188"/>
      <c r="E240" s="186"/>
      <c r="F240" s="186">
        <f t="shared" si="9"/>
        <v>0</v>
      </c>
      <c r="G240" s="186" t="str">
        <f>IF(IFERROR(IF(Str_TypeDonneesCpt4=Cpt_Index,Tab_Compteur_4[[#This Row],[Index]]-E239,Tab_Compteur_4[[#This Row],[Quantité]])/Tab_Compteur_4[[#This Row],[Delta Jour]],"")&lt;0,"",IFERROR(IF(Str_TypeDonneesCpt4=Cpt_Index,Tab_Compteur_4[[#This Row],[Index]]-E239,Tab_Compteur_4[[#This Row],[Quantité]])/Tab_Compteur_4[[#This Row],[Delta Jour]],""))</f>
        <v/>
      </c>
      <c r="H240" s="186" t="str">
        <f>IFERROR(Tab_Compteur_4[[#This Row],[Montant]]/Tab_Compteur_4[[#This Row],[Delta Jour]],"")</f>
        <v/>
      </c>
      <c r="I240" s="208" t="str">
        <f t="shared" si="10"/>
        <v/>
      </c>
      <c r="J240" s="209"/>
      <c r="K240" s="38"/>
      <c r="L240" s="38"/>
      <c r="M240" s="38"/>
    </row>
    <row r="241" spans="1:13">
      <c r="A241" s="3">
        <f t="shared" si="11"/>
        <v>1</v>
      </c>
      <c r="B241" s="87"/>
      <c r="C241" s="189"/>
      <c r="D241" s="188"/>
      <c r="E241" s="186"/>
      <c r="F241" s="186">
        <f t="shared" si="9"/>
        <v>0</v>
      </c>
      <c r="G241" s="186" t="str">
        <f>IF(IFERROR(IF(Str_TypeDonneesCpt4=Cpt_Index,Tab_Compteur_4[[#This Row],[Index]]-E240,Tab_Compteur_4[[#This Row],[Quantité]])/Tab_Compteur_4[[#This Row],[Delta Jour]],"")&lt;0,"",IFERROR(IF(Str_TypeDonneesCpt4=Cpt_Index,Tab_Compteur_4[[#This Row],[Index]]-E240,Tab_Compteur_4[[#This Row],[Quantité]])/Tab_Compteur_4[[#This Row],[Delta Jour]],""))</f>
        <v/>
      </c>
      <c r="H241" s="186" t="str">
        <f>IFERROR(Tab_Compteur_4[[#This Row],[Montant]]/Tab_Compteur_4[[#This Row],[Delta Jour]],"")</f>
        <v/>
      </c>
      <c r="I241" s="208" t="str">
        <f t="shared" si="10"/>
        <v/>
      </c>
      <c r="J241" s="209"/>
      <c r="K241" s="38"/>
      <c r="L241" s="38"/>
      <c r="M241" s="38"/>
    </row>
    <row r="242" spans="1:13">
      <c r="A242" s="3">
        <f t="shared" si="11"/>
        <v>1</v>
      </c>
      <c r="B242" s="87"/>
      <c r="C242" s="189"/>
      <c r="D242" s="188"/>
      <c r="E242" s="186"/>
      <c r="F242" s="186">
        <f t="shared" si="9"/>
        <v>0</v>
      </c>
      <c r="G242" s="186" t="str">
        <f>IF(IFERROR(IF(Str_TypeDonneesCpt4=Cpt_Index,Tab_Compteur_4[[#This Row],[Index]]-E241,Tab_Compteur_4[[#This Row],[Quantité]])/Tab_Compteur_4[[#This Row],[Delta Jour]],"")&lt;0,"",IFERROR(IF(Str_TypeDonneesCpt4=Cpt_Index,Tab_Compteur_4[[#This Row],[Index]]-E241,Tab_Compteur_4[[#This Row],[Quantité]])/Tab_Compteur_4[[#This Row],[Delta Jour]],""))</f>
        <v/>
      </c>
      <c r="H242" s="186" t="str">
        <f>IFERROR(Tab_Compteur_4[[#This Row],[Montant]]/Tab_Compteur_4[[#This Row],[Delta Jour]],"")</f>
        <v/>
      </c>
      <c r="I242" s="208" t="str">
        <f t="shared" si="10"/>
        <v/>
      </c>
      <c r="J242" s="209"/>
      <c r="K242" s="38"/>
      <c r="L242" s="38"/>
      <c r="M242" s="38"/>
    </row>
    <row r="243" spans="1:13">
      <c r="A243" s="3">
        <f t="shared" si="11"/>
        <v>1</v>
      </c>
      <c r="B243" s="87"/>
      <c r="C243" s="189"/>
      <c r="D243" s="188"/>
      <c r="E243" s="186"/>
      <c r="F243" s="186">
        <f t="shared" si="9"/>
        <v>0</v>
      </c>
      <c r="G243" s="186" t="str">
        <f>IF(IFERROR(IF(Str_TypeDonneesCpt4=Cpt_Index,Tab_Compteur_4[[#This Row],[Index]]-E242,Tab_Compteur_4[[#This Row],[Quantité]])/Tab_Compteur_4[[#This Row],[Delta Jour]],"")&lt;0,"",IFERROR(IF(Str_TypeDonneesCpt4=Cpt_Index,Tab_Compteur_4[[#This Row],[Index]]-E242,Tab_Compteur_4[[#This Row],[Quantité]])/Tab_Compteur_4[[#This Row],[Delta Jour]],""))</f>
        <v/>
      </c>
      <c r="H243" s="186" t="str">
        <f>IFERROR(Tab_Compteur_4[[#This Row],[Montant]]/Tab_Compteur_4[[#This Row],[Delta Jour]],"")</f>
        <v/>
      </c>
      <c r="I243" s="208" t="str">
        <f t="shared" si="10"/>
        <v/>
      </c>
      <c r="J243" s="209"/>
      <c r="K243" s="38"/>
      <c r="L243" s="38"/>
      <c r="M243" s="38"/>
    </row>
  </sheetData>
  <sheetProtection sheet="1" objects="1" scenarios="1" selectLockedCells="1"/>
  <protectedRanges>
    <protectedRange sqref="C6:D18 A4:D5 A6:B243" name="Données_compteur4_1"/>
    <protectedRange sqref="C19:D59" name="Donnée_compteur1"/>
    <protectedRange sqref="L2:M2 J34:M243 K5:M7 J8:M10 J2:J7 K3:M3 C60:D243 K244:N1048576" name="Données_compteur4"/>
    <protectedRange sqref="J11:M33" name="Données_compteur3_3_1"/>
    <protectedRange sqref="E2" name="Compteur_1_1"/>
    <protectedRange sqref="I2" name="Compteur_1_1_1"/>
    <protectedRange sqref="K4:L4" name="Compteur_1"/>
    <protectedRange sqref="L1 E1 I1" name="Compteur_1_2"/>
  </protectedRanges>
  <mergeCells count="2">
    <mergeCell ref="L2:M2"/>
    <mergeCell ref="K11:M33"/>
  </mergeCells>
  <conditionalFormatting sqref="B15:B243">
    <cfRule type="expression" dxfId="11" priority="3">
      <formula>$B15&lt;$A15</formula>
    </cfRule>
  </conditionalFormatting>
  <conditionalFormatting sqref="B5:B14">
    <cfRule type="expression" dxfId="10" priority="2">
      <formula>$B5&lt;$A5</formula>
    </cfRule>
  </conditionalFormatting>
  <conditionalFormatting sqref="B4">
    <cfRule type="expression" dxfId="9"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4"/>
  <dimension ref="A2:T242"/>
  <sheetViews>
    <sheetView workbookViewId="0"/>
  </sheetViews>
  <sheetFormatPr baseColWidth="10" defaultColWidth="11.42578125" defaultRowHeight="15"/>
  <cols>
    <col min="1" max="1" width="11.42578125" style="281"/>
    <col min="2" max="2" width="13.85546875" style="281" customWidth="1"/>
    <col min="3" max="3" width="16.140625" style="281" customWidth="1"/>
    <col min="4" max="5" width="11.42578125" style="281"/>
    <col min="6" max="6" width="20.140625" style="281" bestFit="1" customWidth="1"/>
    <col min="7" max="7" width="22.28515625" style="281" bestFit="1" customWidth="1"/>
    <col min="8" max="8" width="7.28515625" style="281" bestFit="1" customWidth="1"/>
    <col min="9" max="10" width="4" style="281" bestFit="1" customWidth="1"/>
    <col min="11" max="11" width="3.85546875" style="281" bestFit="1" customWidth="1"/>
    <col min="12" max="13" width="4" style="281" bestFit="1" customWidth="1"/>
    <col min="14" max="14" width="3.85546875" style="281" bestFit="1" customWidth="1"/>
    <col min="15" max="15" width="4" style="281" bestFit="1" customWidth="1"/>
    <col min="16" max="16" width="3" style="281" bestFit="1" customWidth="1"/>
    <col min="17" max="17" width="10.140625" style="281" bestFit="1" customWidth="1"/>
    <col min="18" max="18" width="8" style="281" bestFit="1" customWidth="1"/>
    <col min="19" max="19" width="7.85546875" style="281" bestFit="1" customWidth="1"/>
    <col min="20" max="20" width="11.7109375" style="281" bestFit="1" customWidth="1"/>
    <col min="21" max="16384" width="11.42578125" style="281"/>
  </cols>
  <sheetData>
    <row r="2" spans="2:13">
      <c r="B2" s="281" t="s">
        <v>135</v>
      </c>
      <c r="C2" s="281" t="s">
        <v>136</v>
      </c>
      <c r="F2" s="281" t="s">
        <v>702</v>
      </c>
      <c r="G2" s="281" t="s">
        <v>703</v>
      </c>
      <c r="H2" s="281" t="s">
        <v>704</v>
      </c>
      <c r="I2" s="281" t="s">
        <v>705</v>
      </c>
      <c r="J2" s="281" t="s">
        <v>706</v>
      </c>
      <c r="K2" s="281" t="s">
        <v>707</v>
      </c>
      <c r="L2" s="281" t="s">
        <v>708</v>
      </c>
      <c r="M2" s="281" t="s">
        <v>709</v>
      </c>
    </row>
    <row r="3" spans="2:13">
      <c r="B3" s="90" t="s">
        <v>144</v>
      </c>
      <c r="C3" s="91" t="s">
        <v>145</v>
      </c>
      <c r="F3" s="281" t="s">
        <v>703</v>
      </c>
      <c r="G3" s="32" t="s">
        <v>587</v>
      </c>
      <c r="H3" s="32" t="s">
        <v>627</v>
      </c>
      <c r="I3" s="281" t="s">
        <v>644</v>
      </c>
      <c r="J3" s="281" t="s">
        <v>650</v>
      </c>
      <c r="K3" s="281" t="s">
        <v>657</v>
      </c>
      <c r="L3" s="281" t="s">
        <v>663</v>
      </c>
      <c r="M3" s="281" t="s">
        <v>652</v>
      </c>
    </row>
    <row r="4" spans="2:13" ht="25.5">
      <c r="B4" s="90" t="s">
        <v>161</v>
      </c>
      <c r="C4" s="91" t="s">
        <v>162</v>
      </c>
      <c r="F4" s="281" t="s">
        <v>704</v>
      </c>
      <c r="G4" s="32" t="s">
        <v>591</v>
      </c>
      <c r="H4" s="32" t="s">
        <v>626</v>
      </c>
      <c r="I4" s="281" t="s">
        <v>648</v>
      </c>
      <c r="J4" s="281" t="s">
        <v>651</v>
      </c>
      <c r="K4" s="281" t="s">
        <v>658</v>
      </c>
      <c r="L4" s="281" t="s">
        <v>666</v>
      </c>
      <c r="M4" s="281" t="s">
        <v>656</v>
      </c>
    </row>
    <row r="5" spans="2:13" ht="25.5">
      <c r="B5" s="90" t="s">
        <v>173</v>
      </c>
      <c r="C5" s="91" t="s">
        <v>174</v>
      </c>
      <c r="F5" s="281" t="s">
        <v>705</v>
      </c>
      <c r="G5" s="32" t="s">
        <v>593</v>
      </c>
      <c r="H5" s="32" t="s">
        <v>624</v>
      </c>
      <c r="K5" s="281" t="s">
        <v>659</v>
      </c>
      <c r="L5" s="281" t="s">
        <v>667</v>
      </c>
    </row>
    <row r="6" spans="2:13" ht="25.5">
      <c r="B6" s="90" t="s">
        <v>179</v>
      </c>
      <c r="C6" s="91" t="s">
        <v>180</v>
      </c>
      <c r="F6" s="281" t="s">
        <v>706</v>
      </c>
      <c r="G6" s="32" t="s">
        <v>613</v>
      </c>
      <c r="H6" s="32" t="s">
        <v>628</v>
      </c>
      <c r="K6" s="281" t="s">
        <v>661</v>
      </c>
      <c r="L6" s="281" t="s">
        <v>668</v>
      </c>
    </row>
    <row r="7" spans="2:13">
      <c r="B7" s="90" t="s">
        <v>184</v>
      </c>
      <c r="C7" s="91" t="s">
        <v>185</v>
      </c>
      <c r="F7" s="281" t="s">
        <v>707</v>
      </c>
      <c r="G7" s="32" t="s">
        <v>594</v>
      </c>
      <c r="H7" s="32" t="s">
        <v>629</v>
      </c>
      <c r="L7" s="281" t="s">
        <v>669</v>
      </c>
    </row>
    <row r="8" spans="2:13">
      <c r="B8" s="90" t="s">
        <v>189</v>
      </c>
      <c r="F8" s="281" t="s">
        <v>708</v>
      </c>
      <c r="G8" s="32" t="s">
        <v>597</v>
      </c>
      <c r="H8" s="32" t="s">
        <v>615</v>
      </c>
      <c r="L8" s="281" t="s">
        <v>670</v>
      </c>
    </row>
    <row r="9" spans="2:13">
      <c r="B9" s="90" t="s">
        <v>192</v>
      </c>
      <c r="F9" s="281" t="s">
        <v>709</v>
      </c>
      <c r="G9" s="32" t="s">
        <v>598</v>
      </c>
      <c r="H9" s="32" t="s">
        <v>618</v>
      </c>
      <c r="L9" s="281" t="s">
        <v>671</v>
      </c>
    </row>
    <row r="10" spans="2:13">
      <c r="B10" s="90" t="s">
        <v>194</v>
      </c>
      <c r="G10" s="32" t="s">
        <v>614</v>
      </c>
      <c r="H10" s="32" t="s">
        <v>630</v>
      </c>
      <c r="L10" s="281" t="s">
        <v>672</v>
      </c>
    </row>
    <row r="11" spans="2:13">
      <c r="B11" s="90" t="s">
        <v>695</v>
      </c>
      <c r="G11" s="32" t="s">
        <v>601</v>
      </c>
      <c r="H11" s="32" t="s">
        <v>621</v>
      </c>
      <c r="L11" s="281" t="s">
        <v>689</v>
      </c>
    </row>
    <row r="12" spans="2:13">
      <c r="B12" s="90" t="s">
        <v>693</v>
      </c>
      <c r="G12" s="32" t="s">
        <v>604</v>
      </c>
      <c r="H12" s="376" t="s">
        <v>673</v>
      </c>
      <c r="L12" s="281" t="s">
        <v>690</v>
      </c>
    </row>
    <row r="13" spans="2:13">
      <c r="B13" s="90" t="s">
        <v>694</v>
      </c>
      <c r="H13" s="32" t="s">
        <v>633</v>
      </c>
    </row>
    <row r="14" spans="2:13">
      <c r="B14" s="90" t="s">
        <v>697</v>
      </c>
      <c r="H14" s="281" t="s">
        <v>637</v>
      </c>
    </row>
    <row r="15" spans="2:13">
      <c r="B15" s="90" t="s">
        <v>696</v>
      </c>
      <c r="G15" s="32"/>
      <c r="H15" s="281" t="s">
        <v>643</v>
      </c>
    </row>
    <row r="16" spans="2:13">
      <c r="H16" s="281" t="s">
        <v>640</v>
      </c>
    </row>
    <row r="17" spans="1:20">
      <c r="H17" s="281" t="s">
        <v>675</v>
      </c>
    </row>
    <row r="18" spans="1:20">
      <c r="H18" s="281" t="s">
        <v>684</v>
      </c>
    </row>
    <row r="19" spans="1:20">
      <c r="H19" s="281" t="s">
        <v>685</v>
      </c>
    </row>
    <row r="20" spans="1:20">
      <c r="C20" s="546" t="s">
        <v>710</v>
      </c>
      <c r="D20" s="546"/>
      <c r="E20" s="546"/>
      <c r="F20" s="546"/>
      <c r="H20" s="281" t="s">
        <v>688</v>
      </c>
    </row>
    <row r="21" spans="1:20">
      <c r="C21" s="546"/>
      <c r="D21" s="546"/>
      <c r="E21" s="546"/>
      <c r="F21" s="546"/>
    </row>
    <row r="22" spans="1:20">
      <c r="C22" s="546"/>
      <c r="D22" s="546"/>
      <c r="E22" s="546"/>
      <c r="F22" s="546"/>
    </row>
    <row r="23" spans="1:20">
      <c r="C23" s="546"/>
      <c r="D23" s="546"/>
      <c r="E23" s="546"/>
      <c r="F23" s="546"/>
    </row>
    <row r="24" spans="1:20">
      <c r="C24" s="546"/>
      <c r="D24" s="546"/>
      <c r="E24" s="546"/>
      <c r="F24" s="546"/>
    </row>
    <row r="25" spans="1:20">
      <c r="C25" s="546"/>
      <c r="D25" s="546"/>
      <c r="E25" s="546"/>
      <c r="F25" s="546"/>
    </row>
    <row r="27" spans="1:20">
      <c r="A27" s="386" t="s">
        <v>715</v>
      </c>
      <c r="B27" s="386" t="s">
        <v>716</v>
      </c>
      <c r="C27" s="386" t="s">
        <v>135</v>
      </c>
      <c r="D27" s="386" t="s">
        <v>825</v>
      </c>
      <c r="F27" s="174" t="s">
        <v>64</v>
      </c>
      <c r="G27"/>
      <c r="H27"/>
      <c r="I27"/>
      <c r="J27"/>
      <c r="K27"/>
      <c r="L27"/>
      <c r="M27"/>
      <c r="N27"/>
      <c r="O27"/>
      <c r="P27"/>
      <c r="Q27"/>
      <c r="R27"/>
      <c r="S27"/>
      <c r="T27"/>
    </row>
    <row r="28" spans="1:20">
      <c r="A28" s="387">
        <v>1</v>
      </c>
      <c r="B28" s="387" t="s">
        <v>717</v>
      </c>
      <c r="C28" s="387" t="s">
        <v>173</v>
      </c>
      <c r="D28" s="281" t="s">
        <v>812</v>
      </c>
      <c r="F28" s="88" t="s">
        <v>822</v>
      </c>
      <c r="G28"/>
      <c r="H28"/>
      <c r="I28"/>
      <c r="J28"/>
      <c r="K28"/>
      <c r="L28"/>
      <c r="M28"/>
      <c r="N28"/>
      <c r="O28"/>
      <c r="P28"/>
      <c r="Q28"/>
      <c r="R28"/>
      <c r="S28"/>
      <c r="T28"/>
    </row>
    <row r="29" spans="1:20">
      <c r="A29" s="387">
        <v>2</v>
      </c>
      <c r="B29" s="387" t="s">
        <v>718</v>
      </c>
      <c r="C29" s="387" t="s">
        <v>144</v>
      </c>
      <c r="D29" s="281" t="s">
        <v>813</v>
      </c>
      <c r="F29" s="175" t="s">
        <v>788</v>
      </c>
      <c r="G29"/>
      <c r="H29"/>
      <c r="I29"/>
      <c r="J29"/>
      <c r="K29"/>
      <c r="L29"/>
      <c r="M29"/>
      <c r="N29"/>
      <c r="O29"/>
      <c r="P29"/>
      <c r="Q29"/>
      <c r="R29"/>
      <c r="S29"/>
      <c r="T29"/>
    </row>
    <row r="30" spans="1:20">
      <c r="A30" s="387">
        <v>3</v>
      </c>
      <c r="B30" s="387" t="s">
        <v>719</v>
      </c>
      <c r="C30" s="387" t="s">
        <v>173</v>
      </c>
      <c r="D30" s="281" t="s">
        <v>812</v>
      </c>
      <c r="F30" s="389" t="s">
        <v>184</v>
      </c>
      <c r="G30"/>
      <c r="H30"/>
      <c r="I30"/>
      <c r="J30"/>
      <c r="K30"/>
      <c r="L30"/>
      <c r="M30"/>
      <c r="N30"/>
      <c r="O30"/>
      <c r="P30"/>
      <c r="Q30"/>
      <c r="R30"/>
      <c r="S30"/>
      <c r="T30"/>
    </row>
    <row r="31" spans="1:20" ht="45">
      <c r="A31" s="387">
        <v>4</v>
      </c>
      <c r="B31" s="387" t="s">
        <v>720</v>
      </c>
      <c r="C31" s="387" t="s">
        <v>192</v>
      </c>
      <c r="D31" s="281" t="s">
        <v>814</v>
      </c>
      <c r="F31"/>
      <c r="G31"/>
      <c r="H31"/>
      <c r="I31"/>
      <c r="J31"/>
      <c r="K31"/>
      <c r="L31"/>
      <c r="M31"/>
      <c r="N31"/>
      <c r="O31"/>
      <c r="P31"/>
      <c r="Q31"/>
      <c r="R31"/>
      <c r="S31"/>
      <c r="T31"/>
    </row>
    <row r="32" spans="1:20">
      <c r="A32" s="387">
        <v>5</v>
      </c>
      <c r="B32" s="387" t="s">
        <v>721</v>
      </c>
      <c r="C32" s="387" t="s">
        <v>173</v>
      </c>
      <c r="D32" s="281" t="s">
        <v>814</v>
      </c>
      <c r="F32"/>
      <c r="G32"/>
      <c r="H32"/>
      <c r="I32"/>
      <c r="J32"/>
      <c r="K32"/>
      <c r="L32"/>
      <c r="M32"/>
      <c r="N32"/>
      <c r="O32"/>
      <c r="P32"/>
      <c r="Q32"/>
      <c r="R32"/>
      <c r="S32"/>
      <c r="T32"/>
    </row>
    <row r="33" spans="1:20" ht="30">
      <c r="A33" s="387">
        <v>6</v>
      </c>
      <c r="B33" s="387" t="s">
        <v>722</v>
      </c>
      <c r="C33" s="387" t="s">
        <v>194</v>
      </c>
      <c r="D33" s="281" t="s">
        <v>814</v>
      </c>
      <c r="F33"/>
      <c r="G33"/>
      <c r="H33"/>
      <c r="I33"/>
      <c r="J33"/>
      <c r="K33"/>
      <c r="L33"/>
      <c r="M33"/>
      <c r="N33"/>
      <c r="O33"/>
      <c r="P33"/>
      <c r="Q33"/>
      <c r="R33"/>
      <c r="S33"/>
      <c r="T33"/>
    </row>
    <row r="34" spans="1:20">
      <c r="A34" s="387">
        <v>7</v>
      </c>
      <c r="B34" s="387" t="s">
        <v>723</v>
      </c>
      <c r="C34" s="387" t="s">
        <v>192</v>
      </c>
      <c r="D34" s="281" t="s">
        <v>812</v>
      </c>
      <c r="F34"/>
      <c r="G34"/>
      <c r="H34"/>
      <c r="I34"/>
      <c r="J34"/>
      <c r="K34"/>
      <c r="L34"/>
      <c r="M34"/>
      <c r="N34"/>
      <c r="O34"/>
      <c r="P34"/>
      <c r="Q34"/>
      <c r="R34"/>
      <c r="S34"/>
      <c r="T34"/>
    </row>
    <row r="35" spans="1:20">
      <c r="A35" s="387">
        <v>8</v>
      </c>
      <c r="B35" s="387" t="s">
        <v>724</v>
      </c>
      <c r="C35" s="387" t="s">
        <v>161</v>
      </c>
      <c r="D35" s="281" t="s">
        <v>815</v>
      </c>
      <c r="F35"/>
      <c r="G35"/>
      <c r="H35"/>
      <c r="I35"/>
      <c r="J35"/>
      <c r="K35"/>
      <c r="L35"/>
      <c r="M35"/>
      <c r="N35"/>
      <c r="O35"/>
      <c r="P35"/>
      <c r="Q35"/>
      <c r="R35"/>
      <c r="S35"/>
      <c r="T35"/>
    </row>
    <row r="36" spans="1:20">
      <c r="A36" s="387">
        <v>9</v>
      </c>
      <c r="B36" s="387" t="s">
        <v>725</v>
      </c>
      <c r="C36" s="387" t="s">
        <v>189</v>
      </c>
      <c r="D36" s="281" t="s">
        <v>816</v>
      </c>
      <c r="F36"/>
      <c r="G36"/>
      <c r="H36"/>
      <c r="I36"/>
      <c r="J36"/>
      <c r="K36"/>
      <c r="L36"/>
      <c r="M36"/>
      <c r="N36"/>
      <c r="O36"/>
      <c r="P36"/>
      <c r="Q36"/>
      <c r="R36"/>
      <c r="S36"/>
      <c r="T36"/>
    </row>
    <row r="37" spans="1:20">
      <c r="A37" s="387">
        <v>10</v>
      </c>
      <c r="B37" s="387" t="s">
        <v>726</v>
      </c>
      <c r="C37" s="387" t="s">
        <v>161</v>
      </c>
      <c r="D37" s="281" t="s">
        <v>815</v>
      </c>
      <c r="F37"/>
      <c r="G37"/>
      <c r="H37"/>
      <c r="I37"/>
      <c r="J37"/>
      <c r="K37"/>
      <c r="L37"/>
      <c r="M37"/>
      <c r="N37"/>
      <c r="O37"/>
      <c r="P37"/>
      <c r="Q37"/>
      <c r="R37"/>
      <c r="S37"/>
      <c r="T37"/>
    </row>
    <row r="38" spans="1:20">
      <c r="A38" s="387">
        <v>11</v>
      </c>
      <c r="B38" s="387" t="s">
        <v>727</v>
      </c>
      <c r="C38" s="387" t="s">
        <v>194</v>
      </c>
      <c r="D38" s="281" t="s">
        <v>816</v>
      </c>
      <c r="F38"/>
      <c r="G38"/>
      <c r="H38"/>
      <c r="I38"/>
      <c r="J38"/>
      <c r="K38"/>
      <c r="L38"/>
      <c r="M38"/>
      <c r="N38"/>
      <c r="O38"/>
      <c r="P38"/>
      <c r="Q38"/>
      <c r="R38"/>
      <c r="S38"/>
      <c r="T38"/>
    </row>
    <row r="39" spans="1:20">
      <c r="A39" s="387">
        <v>12</v>
      </c>
      <c r="B39" s="387" t="s">
        <v>728</v>
      </c>
      <c r="C39" s="387" t="s">
        <v>189</v>
      </c>
      <c r="D39" s="281" t="s">
        <v>816</v>
      </c>
      <c r="F39"/>
      <c r="G39"/>
      <c r="H39"/>
      <c r="I39"/>
      <c r="J39"/>
      <c r="K39"/>
      <c r="L39"/>
      <c r="M39"/>
      <c r="N39"/>
      <c r="O39"/>
      <c r="P39"/>
      <c r="Q39"/>
      <c r="R39"/>
      <c r="S39"/>
      <c r="T39"/>
    </row>
    <row r="40" spans="1:20" ht="30">
      <c r="A40" s="387">
        <v>13</v>
      </c>
      <c r="B40" s="387" t="s">
        <v>729</v>
      </c>
      <c r="C40" s="387" t="s">
        <v>194</v>
      </c>
      <c r="D40" s="281" t="s">
        <v>814</v>
      </c>
      <c r="F40"/>
      <c r="G40"/>
      <c r="H40"/>
      <c r="I40"/>
      <c r="J40"/>
      <c r="K40"/>
      <c r="L40"/>
      <c r="M40"/>
      <c r="N40"/>
      <c r="O40"/>
      <c r="P40"/>
      <c r="Q40"/>
      <c r="R40"/>
      <c r="S40"/>
      <c r="T40"/>
    </row>
    <row r="41" spans="1:20">
      <c r="A41" s="387">
        <v>14</v>
      </c>
      <c r="B41" s="387" t="s">
        <v>730</v>
      </c>
      <c r="C41" s="387" t="s">
        <v>144</v>
      </c>
      <c r="D41" s="281" t="s">
        <v>817</v>
      </c>
      <c r="F41"/>
      <c r="G41"/>
      <c r="H41"/>
      <c r="I41"/>
      <c r="J41"/>
      <c r="K41"/>
      <c r="L41"/>
      <c r="M41"/>
      <c r="N41"/>
      <c r="O41"/>
      <c r="P41"/>
      <c r="Q41"/>
      <c r="R41"/>
      <c r="S41"/>
      <c r="T41"/>
    </row>
    <row r="42" spans="1:20">
      <c r="A42" s="387">
        <v>15</v>
      </c>
      <c r="B42" s="387" t="s">
        <v>731</v>
      </c>
      <c r="C42" s="387" t="s">
        <v>173</v>
      </c>
      <c r="D42" s="281" t="s">
        <v>812</v>
      </c>
      <c r="F42"/>
      <c r="G42"/>
      <c r="H42"/>
      <c r="I42"/>
      <c r="J42"/>
      <c r="K42"/>
      <c r="L42"/>
      <c r="M42"/>
      <c r="N42"/>
      <c r="O42"/>
      <c r="P42"/>
      <c r="Q42"/>
      <c r="R42"/>
      <c r="S42"/>
      <c r="T42"/>
    </row>
    <row r="43" spans="1:20">
      <c r="A43" s="387">
        <v>16</v>
      </c>
      <c r="B43" s="387" t="s">
        <v>732</v>
      </c>
      <c r="C43" s="387" t="s">
        <v>184</v>
      </c>
      <c r="D43" s="281" t="s">
        <v>818</v>
      </c>
      <c r="F43"/>
      <c r="G43"/>
      <c r="H43"/>
      <c r="I43"/>
      <c r="J43"/>
      <c r="K43"/>
      <c r="L43"/>
      <c r="M43"/>
      <c r="N43"/>
      <c r="O43"/>
      <c r="P43"/>
      <c r="Q43"/>
      <c r="R43"/>
      <c r="S43"/>
      <c r="T43"/>
    </row>
    <row r="44" spans="1:20" ht="30">
      <c r="A44" s="387">
        <v>17</v>
      </c>
      <c r="B44" s="387" t="s">
        <v>733</v>
      </c>
      <c r="C44" s="387" t="s">
        <v>184</v>
      </c>
      <c r="D44" s="281" t="s">
        <v>818</v>
      </c>
      <c r="F44"/>
      <c r="G44"/>
      <c r="H44"/>
      <c r="I44"/>
      <c r="J44"/>
      <c r="K44"/>
      <c r="L44"/>
      <c r="M44"/>
      <c r="N44"/>
      <c r="O44"/>
      <c r="P44"/>
      <c r="Q44"/>
      <c r="R44"/>
      <c r="S44"/>
      <c r="T44"/>
    </row>
    <row r="45" spans="1:20">
      <c r="A45" s="387">
        <v>18</v>
      </c>
      <c r="B45" s="387" t="s">
        <v>734</v>
      </c>
      <c r="C45" s="387" t="s">
        <v>184</v>
      </c>
      <c r="D45" s="281" t="s">
        <v>819</v>
      </c>
      <c r="F45"/>
      <c r="G45"/>
      <c r="H45"/>
      <c r="I45"/>
      <c r="J45"/>
      <c r="K45"/>
      <c r="L45"/>
      <c r="M45"/>
      <c r="N45"/>
      <c r="O45"/>
      <c r="P45"/>
      <c r="Q45"/>
      <c r="R45"/>
      <c r="S45"/>
      <c r="T45"/>
    </row>
    <row r="46" spans="1:20">
      <c r="A46" s="387">
        <v>19</v>
      </c>
      <c r="B46" s="387" t="s">
        <v>735</v>
      </c>
      <c r="C46" s="387" t="s">
        <v>173</v>
      </c>
      <c r="D46" s="281" t="s">
        <v>818</v>
      </c>
      <c r="F46"/>
      <c r="G46"/>
      <c r="H46"/>
      <c r="I46"/>
      <c r="J46"/>
      <c r="K46"/>
      <c r="L46"/>
      <c r="M46"/>
      <c r="N46"/>
      <c r="O46"/>
      <c r="P46"/>
      <c r="Q46"/>
      <c r="R46"/>
      <c r="S46"/>
      <c r="T46"/>
    </row>
    <row r="47" spans="1:20" ht="30">
      <c r="A47" s="387">
        <v>20</v>
      </c>
      <c r="B47" s="387" t="s">
        <v>736</v>
      </c>
      <c r="C47" s="387" t="s">
        <v>194</v>
      </c>
      <c r="D47" s="281" t="s">
        <v>824</v>
      </c>
      <c r="F47"/>
      <c r="G47"/>
      <c r="H47"/>
      <c r="I47"/>
      <c r="J47"/>
      <c r="K47"/>
      <c r="L47"/>
      <c r="M47"/>
      <c r="N47"/>
      <c r="O47"/>
      <c r="P47"/>
      <c r="Q47"/>
      <c r="R47"/>
      <c r="S47"/>
      <c r="T47"/>
    </row>
    <row r="48" spans="1:20">
      <c r="A48" s="387">
        <v>21</v>
      </c>
      <c r="B48" s="387" t="s">
        <v>737</v>
      </c>
      <c r="C48" s="387" t="s">
        <v>173</v>
      </c>
      <c r="D48" s="384" t="s">
        <v>820</v>
      </c>
      <c r="F48"/>
      <c r="G48"/>
      <c r="H48"/>
      <c r="I48"/>
      <c r="J48"/>
      <c r="K48"/>
      <c r="L48"/>
      <c r="M48"/>
      <c r="N48"/>
      <c r="O48"/>
      <c r="P48"/>
      <c r="Q48"/>
      <c r="R48"/>
      <c r="S48"/>
      <c r="T48"/>
    </row>
    <row r="49" spans="1:20" ht="30">
      <c r="A49" s="387">
        <v>22</v>
      </c>
      <c r="B49" s="387" t="s">
        <v>738</v>
      </c>
      <c r="C49" s="387" t="s">
        <v>179</v>
      </c>
      <c r="D49" s="384" t="s">
        <v>821</v>
      </c>
      <c r="F49"/>
      <c r="G49"/>
      <c r="H49"/>
      <c r="I49"/>
      <c r="J49"/>
      <c r="K49"/>
      <c r="L49"/>
      <c r="M49"/>
      <c r="N49"/>
      <c r="O49"/>
      <c r="P49"/>
      <c r="Q49"/>
      <c r="R49"/>
      <c r="S49"/>
      <c r="T49"/>
    </row>
    <row r="50" spans="1:20">
      <c r="A50" s="387">
        <v>23</v>
      </c>
      <c r="B50" s="387" t="s">
        <v>739</v>
      </c>
      <c r="C50" s="387" t="s">
        <v>173</v>
      </c>
      <c r="D50" s="281" t="s">
        <v>818</v>
      </c>
      <c r="F50"/>
      <c r="G50"/>
      <c r="H50"/>
      <c r="I50"/>
      <c r="J50"/>
      <c r="K50"/>
      <c r="L50"/>
      <c r="M50"/>
      <c r="N50"/>
      <c r="O50"/>
      <c r="P50"/>
      <c r="Q50"/>
      <c r="R50"/>
      <c r="S50"/>
      <c r="T50"/>
    </row>
    <row r="51" spans="1:20">
      <c r="A51" s="387">
        <v>24</v>
      </c>
      <c r="B51" s="387" t="s">
        <v>740</v>
      </c>
      <c r="C51" s="387" t="s">
        <v>189</v>
      </c>
      <c r="D51" s="281" t="s">
        <v>818</v>
      </c>
      <c r="F51"/>
      <c r="G51"/>
      <c r="H51"/>
      <c r="I51"/>
      <c r="J51"/>
      <c r="K51"/>
      <c r="L51"/>
      <c r="M51"/>
      <c r="N51"/>
      <c r="O51"/>
      <c r="P51"/>
      <c r="Q51"/>
      <c r="R51"/>
      <c r="S51"/>
      <c r="T51"/>
    </row>
    <row r="52" spans="1:20">
      <c r="A52" s="387">
        <v>25</v>
      </c>
      <c r="B52" s="387" t="s">
        <v>741</v>
      </c>
      <c r="C52" s="387" t="s">
        <v>173</v>
      </c>
      <c r="D52" s="281" t="s">
        <v>820</v>
      </c>
      <c r="F52"/>
      <c r="G52"/>
      <c r="H52"/>
      <c r="I52"/>
      <c r="J52"/>
      <c r="K52"/>
      <c r="L52"/>
      <c r="M52"/>
      <c r="N52"/>
      <c r="O52"/>
      <c r="P52"/>
      <c r="Q52"/>
      <c r="R52"/>
      <c r="S52"/>
      <c r="T52"/>
    </row>
    <row r="53" spans="1:20">
      <c r="A53" s="387">
        <v>26</v>
      </c>
      <c r="B53" s="387" t="s">
        <v>742</v>
      </c>
      <c r="C53" s="387" t="s">
        <v>192</v>
      </c>
      <c r="D53" s="281" t="s">
        <v>812</v>
      </c>
      <c r="F53"/>
      <c r="G53"/>
      <c r="H53"/>
      <c r="I53"/>
      <c r="J53"/>
      <c r="K53"/>
      <c r="L53"/>
      <c r="M53"/>
      <c r="N53"/>
      <c r="O53"/>
      <c r="P53"/>
      <c r="Q53"/>
      <c r="R53"/>
      <c r="S53"/>
      <c r="T53"/>
    </row>
    <row r="54" spans="1:20">
      <c r="A54" s="387">
        <v>27</v>
      </c>
      <c r="B54" s="387" t="s">
        <v>743</v>
      </c>
      <c r="C54" s="387" t="s">
        <v>144</v>
      </c>
      <c r="D54" s="281" t="s">
        <v>817</v>
      </c>
      <c r="F54"/>
      <c r="G54"/>
      <c r="H54"/>
      <c r="I54"/>
      <c r="J54"/>
      <c r="K54"/>
      <c r="L54"/>
      <c r="M54"/>
      <c r="N54"/>
      <c r="O54"/>
      <c r="P54"/>
      <c r="Q54"/>
      <c r="R54"/>
      <c r="S54"/>
      <c r="T54"/>
    </row>
    <row r="55" spans="1:20">
      <c r="A55" s="387">
        <v>28</v>
      </c>
      <c r="B55" s="387" t="s">
        <v>744</v>
      </c>
      <c r="C55" s="387" t="s">
        <v>144</v>
      </c>
      <c r="D55" s="281" t="s">
        <v>819</v>
      </c>
      <c r="F55"/>
      <c r="G55"/>
      <c r="H55"/>
      <c r="I55"/>
      <c r="J55"/>
      <c r="K55"/>
      <c r="L55"/>
      <c r="M55"/>
      <c r="N55"/>
      <c r="O55"/>
      <c r="P55"/>
      <c r="Q55"/>
      <c r="R55"/>
      <c r="S55"/>
      <c r="T55"/>
    </row>
    <row r="56" spans="1:20">
      <c r="A56" s="387">
        <v>29</v>
      </c>
      <c r="B56" s="387" t="s">
        <v>745</v>
      </c>
      <c r="C56" s="387" t="s">
        <v>179</v>
      </c>
      <c r="D56" s="281" t="s">
        <v>821</v>
      </c>
      <c r="F56"/>
      <c r="G56"/>
      <c r="H56"/>
      <c r="I56"/>
      <c r="J56"/>
      <c r="K56"/>
      <c r="L56"/>
      <c r="M56"/>
      <c r="N56"/>
      <c r="O56"/>
      <c r="P56"/>
      <c r="Q56"/>
      <c r="R56"/>
      <c r="S56"/>
      <c r="T56"/>
    </row>
    <row r="57" spans="1:20">
      <c r="A57" s="387">
        <v>30</v>
      </c>
      <c r="B57" s="387" t="s">
        <v>746</v>
      </c>
      <c r="C57" s="387" t="s">
        <v>194</v>
      </c>
      <c r="D57" s="281" t="s">
        <v>816</v>
      </c>
      <c r="F57"/>
      <c r="G57"/>
      <c r="H57"/>
      <c r="I57"/>
      <c r="J57"/>
      <c r="K57"/>
      <c r="L57"/>
      <c r="M57"/>
      <c r="N57"/>
      <c r="O57"/>
      <c r="P57"/>
      <c r="Q57"/>
      <c r="R57"/>
      <c r="S57"/>
      <c r="T57"/>
    </row>
    <row r="58" spans="1:20" ht="30">
      <c r="A58" s="387">
        <v>31</v>
      </c>
      <c r="B58" s="387" t="s">
        <v>747</v>
      </c>
      <c r="C58" s="387" t="s">
        <v>189</v>
      </c>
      <c r="D58" s="281" t="s">
        <v>816</v>
      </c>
      <c r="F58"/>
      <c r="G58"/>
      <c r="H58"/>
      <c r="I58"/>
      <c r="J58"/>
      <c r="K58"/>
      <c r="L58"/>
      <c r="M58"/>
      <c r="N58"/>
      <c r="O58"/>
      <c r="P58"/>
      <c r="Q58"/>
      <c r="R58"/>
      <c r="S58"/>
      <c r="T58"/>
    </row>
    <row r="59" spans="1:20">
      <c r="A59" s="387">
        <v>32</v>
      </c>
      <c r="B59" s="387" t="s">
        <v>748</v>
      </c>
      <c r="C59" s="387" t="s">
        <v>189</v>
      </c>
      <c r="D59" s="281" t="s">
        <v>816</v>
      </c>
      <c r="F59"/>
      <c r="G59"/>
      <c r="H59"/>
      <c r="I59"/>
      <c r="J59"/>
      <c r="K59"/>
      <c r="L59"/>
      <c r="M59"/>
      <c r="N59"/>
      <c r="O59"/>
      <c r="P59"/>
      <c r="Q59"/>
      <c r="R59"/>
      <c r="S59"/>
      <c r="T59"/>
    </row>
    <row r="60" spans="1:20">
      <c r="A60" s="387">
        <v>33</v>
      </c>
      <c r="B60" s="387" t="s">
        <v>749</v>
      </c>
      <c r="C60" s="387" t="s">
        <v>189</v>
      </c>
      <c r="D60" s="281" t="s">
        <v>818</v>
      </c>
      <c r="F60"/>
      <c r="G60"/>
      <c r="H60"/>
      <c r="I60"/>
      <c r="J60"/>
      <c r="K60"/>
      <c r="L60"/>
      <c r="M60"/>
      <c r="N60"/>
      <c r="O60"/>
      <c r="P60"/>
      <c r="Q60"/>
      <c r="R60"/>
      <c r="S60"/>
      <c r="T60"/>
    </row>
    <row r="61" spans="1:20">
      <c r="A61" s="387">
        <v>34</v>
      </c>
      <c r="B61" s="387" t="s">
        <v>750</v>
      </c>
      <c r="C61" s="387" t="s">
        <v>194</v>
      </c>
      <c r="D61" s="281" t="s">
        <v>816</v>
      </c>
      <c r="F61"/>
      <c r="G61"/>
      <c r="H61"/>
      <c r="I61"/>
      <c r="J61"/>
      <c r="K61"/>
      <c r="L61"/>
      <c r="M61"/>
      <c r="N61"/>
      <c r="O61"/>
      <c r="P61"/>
      <c r="Q61"/>
      <c r="R61"/>
      <c r="S61"/>
      <c r="T61"/>
    </row>
    <row r="62" spans="1:20">
      <c r="A62" s="387">
        <v>35</v>
      </c>
      <c r="B62" s="387" t="s">
        <v>751</v>
      </c>
      <c r="C62" s="387" t="s">
        <v>179</v>
      </c>
      <c r="D62" s="281" t="s">
        <v>821</v>
      </c>
      <c r="F62"/>
      <c r="G62"/>
      <c r="H62"/>
      <c r="I62"/>
      <c r="J62"/>
      <c r="K62"/>
      <c r="L62"/>
      <c r="M62"/>
      <c r="N62"/>
      <c r="O62"/>
      <c r="P62"/>
      <c r="Q62"/>
      <c r="R62"/>
      <c r="S62"/>
      <c r="T62"/>
    </row>
    <row r="63" spans="1:20">
      <c r="A63" s="387">
        <v>36</v>
      </c>
      <c r="B63" s="387" t="s">
        <v>752</v>
      </c>
      <c r="C63" s="387" t="s">
        <v>184</v>
      </c>
      <c r="D63" s="281" t="s">
        <v>819</v>
      </c>
      <c r="F63"/>
      <c r="G63"/>
      <c r="H63"/>
      <c r="I63"/>
      <c r="J63"/>
      <c r="K63"/>
      <c r="L63"/>
      <c r="M63"/>
      <c r="N63"/>
      <c r="O63"/>
      <c r="P63"/>
      <c r="Q63"/>
      <c r="R63"/>
      <c r="S63"/>
      <c r="T63"/>
    </row>
    <row r="64" spans="1:20">
      <c r="A64" s="387">
        <v>37</v>
      </c>
      <c r="B64" s="387" t="s">
        <v>753</v>
      </c>
      <c r="C64" s="387" t="s">
        <v>184</v>
      </c>
      <c r="D64" s="281" t="s">
        <v>819</v>
      </c>
      <c r="F64"/>
      <c r="G64"/>
      <c r="H64"/>
      <c r="I64"/>
      <c r="J64"/>
      <c r="K64"/>
      <c r="L64"/>
      <c r="M64"/>
      <c r="N64"/>
      <c r="O64"/>
      <c r="P64"/>
      <c r="Q64"/>
      <c r="R64"/>
      <c r="S64"/>
      <c r="T64"/>
    </row>
    <row r="65" spans="1:20">
      <c r="A65" s="387">
        <v>38</v>
      </c>
      <c r="B65" s="387" t="s">
        <v>754</v>
      </c>
      <c r="C65" s="387" t="s">
        <v>173</v>
      </c>
      <c r="D65" s="281" t="s">
        <v>812</v>
      </c>
      <c r="F65"/>
      <c r="G65"/>
      <c r="H65"/>
      <c r="I65"/>
      <c r="J65"/>
      <c r="K65"/>
      <c r="L65"/>
      <c r="M65"/>
      <c r="N65"/>
      <c r="O65"/>
      <c r="P65"/>
      <c r="Q65"/>
      <c r="R65"/>
      <c r="S65"/>
      <c r="T65"/>
    </row>
    <row r="66" spans="1:20">
      <c r="A66" s="387">
        <v>39</v>
      </c>
      <c r="B66" s="387" t="s">
        <v>755</v>
      </c>
      <c r="C66" s="387" t="s">
        <v>173</v>
      </c>
      <c r="D66" s="281" t="s">
        <v>820</v>
      </c>
      <c r="F66"/>
      <c r="G66"/>
      <c r="H66"/>
      <c r="I66"/>
      <c r="J66"/>
      <c r="K66"/>
      <c r="L66"/>
      <c r="M66"/>
      <c r="N66"/>
      <c r="O66"/>
      <c r="P66"/>
      <c r="Q66"/>
      <c r="R66"/>
      <c r="S66"/>
      <c r="T66"/>
    </row>
    <row r="67" spans="1:20">
      <c r="A67" s="387">
        <v>40</v>
      </c>
      <c r="B67" s="387" t="s">
        <v>756</v>
      </c>
      <c r="C67" s="387" t="s">
        <v>189</v>
      </c>
      <c r="D67" s="281" t="s">
        <v>818</v>
      </c>
      <c r="F67"/>
      <c r="G67"/>
      <c r="H67"/>
      <c r="I67"/>
      <c r="J67"/>
      <c r="K67"/>
      <c r="L67"/>
      <c r="M67"/>
      <c r="N67"/>
      <c r="O67"/>
      <c r="P67"/>
      <c r="Q67"/>
      <c r="R67"/>
      <c r="S67"/>
      <c r="T67"/>
    </row>
    <row r="68" spans="1:20">
      <c r="A68" s="387">
        <v>41</v>
      </c>
      <c r="B68" s="387" t="s">
        <v>757</v>
      </c>
      <c r="C68" s="387" t="s">
        <v>184</v>
      </c>
      <c r="D68" s="281" t="s">
        <v>819</v>
      </c>
      <c r="F68"/>
      <c r="G68"/>
      <c r="H68"/>
      <c r="I68"/>
      <c r="J68"/>
      <c r="K68"/>
      <c r="L68"/>
      <c r="M68"/>
      <c r="N68"/>
      <c r="O68"/>
      <c r="P68"/>
      <c r="Q68"/>
      <c r="R68"/>
      <c r="S68"/>
      <c r="T68"/>
    </row>
    <row r="69" spans="1:20">
      <c r="A69" s="387">
        <v>42</v>
      </c>
      <c r="B69" s="387" t="s">
        <v>758</v>
      </c>
      <c r="C69" s="387" t="s">
        <v>173</v>
      </c>
      <c r="D69" s="281" t="s">
        <v>812</v>
      </c>
      <c r="F69"/>
      <c r="G69"/>
      <c r="H69"/>
      <c r="I69"/>
      <c r="J69"/>
      <c r="K69"/>
      <c r="L69"/>
      <c r="M69"/>
      <c r="N69"/>
      <c r="O69"/>
      <c r="P69"/>
      <c r="Q69"/>
      <c r="R69"/>
      <c r="S69"/>
      <c r="T69"/>
    </row>
    <row r="70" spans="1:20">
      <c r="A70" s="387">
        <v>43</v>
      </c>
      <c r="B70" s="387" t="s">
        <v>759</v>
      </c>
      <c r="C70" s="387" t="s">
        <v>173</v>
      </c>
      <c r="D70" s="281" t="s">
        <v>812</v>
      </c>
      <c r="F70"/>
      <c r="G70"/>
      <c r="H70"/>
      <c r="I70"/>
      <c r="J70"/>
      <c r="K70"/>
      <c r="L70"/>
      <c r="M70"/>
      <c r="N70"/>
      <c r="O70"/>
      <c r="P70"/>
      <c r="Q70"/>
      <c r="R70"/>
      <c r="S70"/>
      <c r="T70"/>
    </row>
    <row r="71" spans="1:20" ht="30">
      <c r="A71" s="387">
        <v>44</v>
      </c>
      <c r="B71" s="387" t="s">
        <v>760</v>
      </c>
      <c r="C71" s="387" t="s">
        <v>184</v>
      </c>
      <c r="D71" s="281" t="s">
        <v>822</v>
      </c>
      <c r="F71"/>
      <c r="G71"/>
      <c r="H71"/>
      <c r="I71"/>
      <c r="J71"/>
      <c r="K71"/>
      <c r="L71"/>
      <c r="M71"/>
      <c r="N71"/>
      <c r="O71"/>
      <c r="P71"/>
      <c r="Q71"/>
      <c r="R71"/>
      <c r="S71"/>
      <c r="T71"/>
    </row>
    <row r="72" spans="1:20">
      <c r="A72" s="387">
        <v>45</v>
      </c>
      <c r="B72" s="387" t="s">
        <v>761</v>
      </c>
      <c r="C72" s="387" t="s">
        <v>161</v>
      </c>
      <c r="D72" s="281" t="s">
        <v>819</v>
      </c>
      <c r="F72"/>
      <c r="G72"/>
      <c r="H72"/>
      <c r="I72"/>
      <c r="J72"/>
      <c r="K72"/>
      <c r="L72"/>
      <c r="M72"/>
      <c r="N72"/>
      <c r="O72"/>
      <c r="P72"/>
      <c r="Q72"/>
      <c r="R72"/>
      <c r="S72"/>
      <c r="T72"/>
    </row>
    <row r="73" spans="1:20">
      <c r="A73" s="387">
        <v>46</v>
      </c>
      <c r="B73" s="387" t="s">
        <v>762</v>
      </c>
      <c r="C73" s="387" t="s">
        <v>189</v>
      </c>
      <c r="D73" s="281" t="s">
        <v>816</v>
      </c>
      <c r="F73"/>
      <c r="G73"/>
      <c r="H73"/>
      <c r="I73"/>
      <c r="J73"/>
      <c r="K73"/>
      <c r="L73"/>
      <c r="M73"/>
      <c r="N73"/>
      <c r="O73"/>
      <c r="P73"/>
      <c r="Q73"/>
      <c r="R73"/>
      <c r="S73"/>
      <c r="T73"/>
    </row>
    <row r="74" spans="1:20" ht="30">
      <c r="A74" s="387">
        <v>47</v>
      </c>
      <c r="B74" s="387" t="s">
        <v>763</v>
      </c>
      <c r="C74" s="387" t="s">
        <v>189</v>
      </c>
      <c r="D74" s="281" t="s">
        <v>818</v>
      </c>
      <c r="F74"/>
      <c r="G74"/>
      <c r="H74"/>
      <c r="I74"/>
      <c r="J74"/>
      <c r="K74"/>
      <c r="L74"/>
      <c r="M74"/>
      <c r="N74"/>
      <c r="O74"/>
      <c r="P74"/>
      <c r="Q74"/>
      <c r="R74"/>
      <c r="S74"/>
      <c r="T74"/>
    </row>
    <row r="75" spans="1:20">
      <c r="A75" s="387">
        <v>48</v>
      </c>
      <c r="B75" s="387" t="s">
        <v>764</v>
      </c>
      <c r="C75" s="387" t="s">
        <v>192</v>
      </c>
      <c r="D75" s="281" t="s">
        <v>816</v>
      </c>
      <c r="F75"/>
      <c r="G75"/>
      <c r="H75"/>
      <c r="I75"/>
      <c r="J75"/>
      <c r="K75"/>
      <c r="L75"/>
      <c r="M75"/>
      <c r="N75"/>
      <c r="O75"/>
      <c r="P75"/>
      <c r="Q75"/>
      <c r="R75"/>
      <c r="S75"/>
      <c r="T75"/>
    </row>
    <row r="76" spans="1:20" ht="30">
      <c r="A76" s="387">
        <v>49</v>
      </c>
      <c r="B76" s="387" t="s">
        <v>765</v>
      </c>
      <c r="C76" s="387" t="s">
        <v>184</v>
      </c>
      <c r="D76" s="281" t="s">
        <v>822</v>
      </c>
      <c r="F76"/>
      <c r="G76"/>
      <c r="H76"/>
      <c r="I76"/>
      <c r="J76"/>
      <c r="K76"/>
      <c r="L76"/>
      <c r="M76"/>
      <c r="N76"/>
      <c r="O76"/>
      <c r="P76"/>
      <c r="Q76"/>
      <c r="R76"/>
      <c r="S76"/>
      <c r="T76"/>
    </row>
    <row r="77" spans="1:20">
      <c r="A77" s="387">
        <v>50</v>
      </c>
      <c r="B77" s="387" t="s">
        <v>766</v>
      </c>
      <c r="C77" s="387" t="s">
        <v>179</v>
      </c>
      <c r="D77" s="281" t="s">
        <v>817</v>
      </c>
      <c r="F77"/>
      <c r="G77"/>
      <c r="H77"/>
      <c r="I77"/>
      <c r="J77"/>
      <c r="K77"/>
      <c r="L77"/>
      <c r="M77"/>
      <c r="N77"/>
      <c r="O77"/>
      <c r="P77"/>
      <c r="Q77"/>
      <c r="R77"/>
      <c r="S77"/>
      <c r="T77"/>
    </row>
    <row r="78" spans="1:20">
      <c r="A78" s="387">
        <v>51</v>
      </c>
      <c r="B78" s="387" t="s">
        <v>767</v>
      </c>
      <c r="C78" s="387" t="s">
        <v>161</v>
      </c>
      <c r="D78" s="281" t="s">
        <v>815</v>
      </c>
      <c r="F78"/>
      <c r="G78"/>
      <c r="H78"/>
      <c r="I78"/>
      <c r="J78"/>
      <c r="K78"/>
      <c r="L78"/>
      <c r="M78"/>
      <c r="N78"/>
      <c r="O78"/>
      <c r="P78"/>
      <c r="Q78"/>
      <c r="R78"/>
      <c r="S78"/>
      <c r="T78"/>
    </row>
    <row r="79" spans="1:20">
      <c r="A79" s="387">
        <v>52</v>
      </c>
      <c r="B79" s="387" t="s">
        <v>768</v>
      </c>
      <c r="C79" s="387" t="s">
        <v>161</v>
      </c>
      <c r="D79" s="281" t="s">
        <v>815</v>
      </c>
      <c r="F79"/>
      <c r="G79"/>
      <c r="H79"/>
      <c r="I79"/>
      <c r="J79"/>
      <c r="K79"/>
      <c r="L79"/>
      <c r="M79"/>
      <c r="N79"/>
      <c r="O79"/>
      <c r="P79"/>
      <c r="Q79"/>
      <c r="R79"/>
      <c r="S79"/>
      <c r="T79"/>
    </row>
    <row r="80" spans="1:20">
      <c r="A80" s="387">
        <v>53</v>
      </c>
      <c r="B80" s="387" t="s">
        <v>769</v>
      </c>
      <c r="C80" s="387" t="s">
        <v>184</v>
      </c>
      <c r="D80" s="281" t="s">
        <v>822</v>
      </c>
      <c r="F80"/>
      <c r="G80"/>
      <c r="H80"/>
      <c r="I80"/>
      <c r="J80"/>
      <c r="K80"/>
      <c r="L80"/>
      <c r="M80"/>
      <c r="N80"/>
      <c r="O80"/>
      <c r="P80"/>
      <c r="Q80"/>
      <c r="R80"/>
      <c r="S80"/>
      <c r="T80"/>
    </row>
    <row r="81" spans="1:20" ht="30">
      <c r="A81" s="387">
        <v>54</v>
      </c>
      <c r="B81" s="387" t="s">
        <v>770</v>
      </c>
      <c r="C81" s="387" t="s">
        <v>161</v>
      </c>
      <c r="D81" s="281" t="s">
        <v>815</v>
      </c>
      <c r="F81"/>
      <c r="G81"/>
      <c r="H81"/>
      <c r="I81"/>
      <c r="J81"/>
      <c r="K81"/>
      <c r="L81"/>
      <c r="M81"/>
      <c r="N81"/>
      <c r="O81"/>
      <c r="P81"/>
      <c r="Q81"/>
      <c r="R81"/>
      <c r="S81"/>
      <c r="T81"/>
    </row>
    <row r="82" spans="1:20">
      <c r="A82" s="387">
        <v>55</v>
      </c>
      <c r="B82" s="387" t="s">
        <v>771</v>
      </c>
      <c r="C82" s="387" t="s">
        <v>161</v>
      </c>
      <c r="D82" s="281" t="s">
        <v>815</v>
      </c>
      <c r="F82"/>
      <c r="G82"/>
      <c r="H82"/>
      <c r="I82"/>
      <c r="J82"/>
      <c r="K82"/>
      <c r="L82"/>
      <c r="M82"/>
      <c r="N82"/>
      <c r="O82"/>
      <c r="P82"/>
      <c r="Q82"/>
      <c r="R82"/>
      <c r="S82"/>
      <c r="T82"/>
    </row>
    <row r="83" spans="1:20">
      <c r="A83" s="387">
        <v>56</v>
      </c>
      <c r="B83" s="387" t="s">
        <v>772</v>
      </c>
      <c r="C83" s="387" t="s">
        <v>179</v>
      </c>
      <c r="D83" s="281" t="s">
        <v>821</v>
      </c>
      <c r="F83"/>
      <c r="G83"/>
      <c r="H83"/>
      <c r="I83"/>
      <c r="J83"/>
      <c r="K83"/>
      <c r="L83"/>
      <c r="M83"/>
      <c r="N83"/>
      <c r="O83"/>
      <c r="P83"/>
      <c r="Q83"/>
      <c r="R83"/>
      <c r="S83"/>
      <c r="T83"/>
    </row>
    <row r="84" spans="1:20">
      <c r="A84" s="387">
        <v>57</v>
      </c>
      <c r="B84" s="387" t="s">
        <v>773</v>
      </c>
      <c r="C84" s="387" t="s">
        <v>161</v>
      </c>
      <c r="D84" s="281" t="s">
        <v>815</v>
      </c>
      <c r="F84"/>
      <c r="G84"/>
      <c r="H84"/>
      <c r="I84"/>
      <c r="J84"/>
      <c r="K84"/>
      <c r="L84"/>
      <c r="M84"/>
      <c r="N84"/>
      <c r="O84"/>
      <c r="P84"/>
      <c r="Q84"/>
      <c r="R84"/>
      <c r="S84"/>
      <c r="T84"/>
    </row>
    <row r="85" spans="1:20">
      <c r="A85" s="387">
        <v>58</v>
      </c>
      <c r="B85" s="387" t="s">
        <v>774</v>
      </c>
      <c r="C85" s="387" t="s">
        <v>161</v>
      </c>
      <c r="D85" s="281" t="s">
        <v>820</v>
      </c>
      <c r="F85"/>
      <c r="G85"/>
      <c r="H85"/>
      <c r="I85"/>
      <c r="J85"/>
      <c r="K85"/>
      <c r="L85"/>
      <c r="M85"/>
      <c r="N85"/>
      <c r="O85"/>
      <c r="P85"/>
      <c r="Q85"/>
      <c r="R85"/>
      <c r="S85"/>
      <c r="T85"/>
    </row>
    <row r="86" spans="1:20">
      <c r="A86" s="387">
        <v>59</v>
      </c>
      <c r="B86" s="387" t="s">
        <v>775</v>
      </c>
      <c r="C86" s="387" t="s">
        <v>144</v>
      </c>
      <c r="D86" s="281" t="s">
        <v>813</v>
      </c>
      <c r="F86"/>
      <c r="G86"/>
      <c r="H86"/>
      <c r="I86"/>
      <c r="J86"/>
      <c r="K86"/>
      <c r="L86"/>
      <c r="M86"/>
      <c r="N86"/>
      <c r="O86"/>
      <c r="P86"/>
      <c r="Q86"/>
      <c r="R86"/>
      <c r="S86"/>
      <c r="T86"/>
    </row>
    <row r="87" spans="1:20">
      <c r="A87" s="387">
        <v>60</v>
      </c>
      <c r="B87" s="387" t="s">
        <v>776</v>
      </c>
      <c r="C87" s="387" t="s">
        <v>144</v>
      </c>
      <c r="D87" s="281" t="s">
        <v>813</v>
      </c>
      <c r="F87"/>
      <c r="G87"/>
      <c r="H87"/>
      <c r="I87"/>
      <c r="J87"/>
      <c r="K87"/>
      <c r="L87"/>
      <c r="M87"/>
      <c r="N87"/>
      <c r="O87"/>
      <c r="P87"/>
      <c r="Q87"/>
      <c r="R87"/>
      <c r="S87"/>
      <c r="T87"/>
    </row>
    <row r="88" spans="1:20">
      <c r="A88" s="387">
        <v>61</v>
      </c>
      <c r="B88" s="387" t="s">
        <v>777</v>
      </c>
      <c r="C88" s="387" t="s">
        <v>144</v>
      </c>
      <c r="D88" s="281" t="s">
        <v>817</v>
      </c>
      <c r="F88"/>
      <c r="G88"/>
      <c r="H88"/>
      <c r="I88"/>
      <c r="J88"/>
      <c r="K88"/>
      <c r="L88"/>
      <c r="M88"/>
      <c r="N88"/>
      <c r="O88"/>
      <c r="P88"/>
      <c r="Q88"/>
      <c r="R88"/>
      <c r="S88"/>
      <c r="T88"/>
    </row>
    <row r="89" spans="1:20">
      <c r="A89" s="387">
        <v>62</v>
      </c>
      <c r="B89" s="387" t="s">
        <v>778</v>
      </c>
      <c r="C89" s="387" t="s">
        <v>144</v>
      </c>
      <c r="D89" s="281" t="s">
        <v>813</v>
      </c>
      <c r="F89"/>
      <c r="G89"/>
      <c r="H89"/>
      <c r="I89"/>
      <c r="J89"/>
      <c r="K89"/>
      <c r="L89"/>
      <c r="M89"/>
      <c r="N89"/>
      <c r="O89"/>
      <c r="P89"/>
      <c r="Q89"/>
      <c r="R89"/>
      <c r="S89"/>
      <c r="T89"/>
    </row>
    <row r="90" spans="1:20">
      <c r="A90" s="387">
        <v>63</v>
      </c>
      <c r="B90" s="387" t="s">
        <v>779</v>
      </c>
      <c r="C90" s="387" t="s">
        <v>173</v>
      </c>
      <c r="D90" s="281" t="s">
        <v>812</v>
      </c>
      <c r="F90"/>
      <c r="G90"/>
      <c r="H90"/>
      <c r="I90"/>
      <c r="J90"/>
      <c r="K90"/>
      <c r="L90"/>
      <c r="M90"/>
      <c r="N90"/>
      <c r="O90"/>
      <c r="P90"/>
      <c r="Q90"/>
      <c r="R90"/>
      <c r="S90"/>
      <c r="T90"/>
    </row>
    <row r="91" spans="1:20" ht="30">
      <c r="A91" s="387">
        <v>64</v>
      </c>
      <c r="B91" s="387" t="s">
        <v>780</v>
      </c>
      <c r="C91" s="387" t="s">
        <v>189</v>
      </c>
      <c r="D91" s="281" t="s">
        <v>818</v>
      </c>
      <c r="F91"/>
      <c r="G91"/>
      <c r="H91"/>
      <c r="I91"/>
      <c r="J91"/>
      <c r="K91"/>
      <c r="L91"/>
      <c r="M91"/>
      <c r="N91"/>
      <c r="O91"/>
      <c r="P91"/>
      <c r="Q91"/>
      <c r="R91"/>
      <c r="S91"/>
      <c r="T91"/>
    </row>
    <row r="92" spans="1:20" ht="30">
      <c r="A92" s="387">
        <v>65</v>
      </c>
      <c r="B92" s="387" t="s">
        <v>781</v>
      </c>
      <c r="C92" s="387" t="s">
        <v>189</v>
      </c>
      <c r="D92" s="281" t="s">
        <v>816</v>
      </c>
      <c r="F92"/>
      <c r="G92"/>
      <c r="H92"/>
      <c r="I92"/>
      <c r="J92"/>
      <c r="K92"/>
      <c r="L92"/>
      <c r="M92"/>
      <c r="N92"/>
      <c r="O92"/>
      <c r="P92"/>
      <c r="Q92"/>
      <c r="R92"/>
      <c r="S92"/>
      <c r="T92"/>
    </row>
    <row r="93" spans="1:20" ht="30">
      <c r="A93" s="387">
        <v>66</v>
      </c>
      <c r="B93" s="387" t="s">
        <v>782</v>
      </c>
      <c r="C93" s="387" t="s">
        <v>194</v>
      </c>
      <c r="D93" s="281" t="s">
        <v>816</v>
      </c>
      <c r="F93"/>
      <c r="G93"/>
      <c r="H93"/>
      <c r="I93"/>
      <c r="J93"/>
      <c r="K93"/>
      <c r="L93"/>
      <c r="M93"/>
      <c r="N93"/>
      <c r="O93"/>
      <c r="P93"/>
      <c r="Q93"/>
      <c r="R93"/>
      <c r="S93"/>
      <c r="T93"/>
    </row>
    <row r="94" spans="1:20">
      <c r="A94" s="387">
        <v>67</v>
      </c>
      <c r="B94" s="387" t="s">
        <v>783</v>
      </c>
      <c r="C94" s="387" t="s">
        <v>161</v>
      </c>
      <c r="D94" s="281" t="s">
        <v>815</v>
      </c>
      <c r="F94"/>
      <c r="G94"/>
      <c r="H94"/>
      <c r="I94"/>
      <c r="J94"/>
      <c r="K94"/>
      <c r="L94"/>
      <c r="M94"/>
      <c r="N94"/>
      <c r="O94"/>
      <c r="P94"/>
      <c r="Q94"/>
      <c r="R94"/>
      <c r="S94"/>
      <c r="T94"/>
    </row>
    <row r="95" spans="1:20">
      <c r="A95" s="387">
        <v>68</v>
      </c>
      <c r="B95" s="387" t="s">
        <v>784</v>
      </c>
      <c r="C95" s="387" t="s">
        <v>161</v>
      </c>
      <c r="D95" s="281" t="s">
        <v>815</v>
      </c>
      <c r="F95"/>
      <c r="G95"/>
      <c r="H95"/>
      <c r="I95"/>
      <c r="J95"/>
      <c r="K95"/>
      <c r="L95"/>
      <c r="M95"/>
      <c r="N95"/>
      <c r="O95"/>
      <c r="P95"/>
      <c r="Q95"/>
      <c r="R95"/>
      <c r="S95"/>
      <c r="T95"/>
    </row>
    <row r="96" spans="1:20">
      <c r="A96" s="387">
        <v>69</v>
      </c>
      <c r="B96" s="387" t="s">
        <v>785</v>
      </c>
      <c r="C96" s="387" t="s">
        <v>173</v>
      </c>
      <c r="D96" s="281" t="s">
        <v>812</v>
      </c>
      <c r="F96"/>
      <c r="G96"/>
      <c r="H96"/>
      <c r="I96"/>
      <c r="J96"/>
      <c r="K96"/>
      <c r="L96"/>
      <c r="M96"/>
      <c r="N96"/>
      <c r="O96"/>
      <c r="P96"/>
      <c r="Q96"/>
      <c r="R96"/>
      <c r="S96"/>
      <c r="T96"/>
    </row>
    <row r="97" spans="1:20">
      <c r="A97" s="387">
        <v>70</v>
      </c>
      <c r="B97" s="387" t="s">
        <v>786</v>
      </c>
      <c r="C97" s="387" t="s">
        <v>161</v>
      </c>
      <c r="D97" s="281" t="s">
        <v>820</v>
      </c>
      <c r="F97"/>
      <c r="G97"/>
      <c r="H97"/>
      <c r="I97"/>
      <c r="J97"/>
      <c r="K97"/>
      <c r="L97"/>
      <c r="M97"/>
      <c r="N97"/>
      <c r="O97"/>
      <c r="P97"/>
      <c r="Q97"/>
      <c r="R97"/>
      <c r="S97"/>
      <c r="T97"/>
    </row>
    <row r="98" spans="1:20" ht="30">
      <c r="A98" s="387">
        <v>71</v>
      </c>
      <c r="B98" s="387" t="s">
        <v>787</v>
      </c>
      <c r="C98" s="387" t="s">
        <v>173</v>
      </c>
      <c r="D98" s="281" t="s">
        <v>820</v>
      </c>
      <c r="F98"/>
      <c r="G98"/>
      <c r="H98"/>
      <c r="I98"/>
      <c r="J98"/>
      <c r="K98"/>
      <c r="L98"/>
      <c r="M98"/>
      <c r="N98"/>
      <c r="O98"/>
      <c r="P98"/>
      <c r="Q98"/>
      <c r="R98"/>
      <c r="S98"/>
      <c r="T98"/>
    </row>
    <row r="99" spans="1:20">
      <c r="A99" s="387">
        <v>72</v>
      </c>
      <c r="B99" s="387" t="s">
        <v>788</v>
      </c>
      <c r="C99" s="387" t="s">
        <v>184</v>
      </c>
      <c r="D99" s="281" t="s">
        <v>822</v>
      </c>
      <c r="F99"/>
      <c r="G99"/>
      <c r="H99"/>
      <c r="I99"/>
      <c r="J99"/>
      <c r="K99"/>
      <c r="L99"/>
      <c r="M99"/>
      <c r="N99"/>
      <c r="O99"/>
      <c r="P99"/>
      <c r="Q99"/>
      <c r="R99"/>
      <c r="S99"/>
      <c r="T99"/>
    </row>
    <row r="100" spans="1:20">
      <c r="A100" s="387">
        <v>73</v>
      </c>
      <c r="B100" s="387" t="s">
        <v>789</v>
      </c>
      <c r="C100" s="387" t="s">
        <v>173</v>
      </c>
      <c r="D100" s="281" t="s">
        <v>812</v>
      </c>
      <c r="F100"/>
      <c r="G100"/>
      <c r="H100"/>
      <c r="I100"/>
      <c r="J100"/>
      <c r="K100"/>
      <c r="L100"/>
      <c r="M100"/>
      <c r="N100"/>
      <c r="O100"/>
      <c r="P100"/>
      <c r="Q100"/>
      <c r="R100"/>
      <c r="S100"/>
      <c r="T100"/>
    </row>
    <row r="101" spans="1:20">
      <c r="A101" s="387">
        <v>74</v>
      </c>
      <c r="B101" s="387" t="s">
        <v>790</v>
      </c>
      <c r="C101" s="387" t="s">
        <v>173</v>
      </c>
      <c r="D101" s="281" t="s">
        <v>812</v>
      </c>
      <c r="F101"/>
      <c r="G101"/>
      <c r="H101"/>
      <c r="I101"/>
      <c r="J101"/>
      <c r="K101"/>
      <c r="L101"/>
      <c r="M101"/>
      <c r="N101"/>
      <c r="O101"/>
      <c r="P101"/>
      <c r="Q101"/>
      <c r="R101"/>
      <c r="S101"/>
      <c r="T101"/>
    </row>
    <row r="102" spans="1:20">
      <c r="A102" s="387">
        <v>75</v>
      </c>
      <c r="B102" s="387" t="s">
        <v>791</v>
      </c>
      <c r="C102" s="387" t="s">
        <v>161</v>
      </c>
      <c r="D102" s="281" t="s">
        <v>823</v>
      </c>
      <c r="F102"/>
      <c r="G102"/>
      <c r="H102"/>
      <c r="I102"/>
      <c r="J102"/>
      <c r="K102"/>
      <c r="L102"/>
      <c r="M102"/>
      <c r="N102"/>
      <c r="O102"/>
      <c r="P102"/>
      <c r="Q102"/>
      <c r="R102"/>
      <c r="S102"/>
      <c r="T102"/>
    </row>
    <row r="103" spans="1:20" ht="30">
      <c r="A103" s="387">
        <v>76</v>
      </c>
      <c r="B103" s="387" t="s">
        <v>792</v>
      </c>
      <c r="C103" s="387" t="s">
        <v>144</v>
      </c>
      <c r="D103" s="281" t="s">
        <v>817</v>
      </c>
      <c r="F103"/>
      <c r="G103"/>
      <c r="H103"/>
      <c r="I103"/>
      <c r="J103"/>
      <c r="K103"/>
      <c r="L103"/>
      <c r="M103"/>
      <c r="N103"/>
      <c r="O103"/>
      <c r="P103"/>
      <c r="Q103"/>
      <c r="R103"/>
      <c r="S103"/>
      <c r="T103"/>
    </row>
    <row r="104" spans="1:20" ht="30">
      <c r="A104" s="387">
        <v>77</v>
      </c>
      <c r="B104" s="387" t="s">
        <v>793</v>
      </c>
      <c r="C104" s="387" t="s">
        <v>144</v>
      </c>
      <c r="D104" s="281" t="s">
        <v>823</v>
      </c>
      <c r="F104"/>
      <c r="G104"/>
      <c r="H104"/>
      <c r="I104"/>
      <c r="J104"/>
      <c r="K104"/>
      <c r="L104"/>
      <c r="M104"/>
      <c r="N104"/>
      <c r="O104"/>
      <c r="P104"/>
      <c r="Q104"/>
      <c r="R104"/>
      <c r="S104"/>
      <c r="T104"/>
    </row>
    <row r="105" spans="1:20">
      <c r="A105" s="387">
        <v>78</v>
      </c>
      <c r="B105" s="387" t="s">
        <v>794</v>
      </c>
      <c r="C105" s="387" t="s">
        <v>144</v>
      </c>
      <c r="D105" s="281" t="s">
        <v>823</v>
      </c>
      <c r="F105"/>
      <c r="G105"/>
      <c r="H105"/>
      <c r="I105"/>
      <c r="J105"/>
      <c r="K105"/>
      <c r="L105"/>
      <c r="M105"/>
      <c r="N105"/>
      <c r="O105"/>
      <c r="P105"/>
      <c r="Q105"/>
      <c r="R105"/>
      <c r="S105"/>
      <c r="T105"/>
    </row>
    <row r="106" spans="1:20">
      <c r="A106" s="387">
        <v>79</v>
      </c>
      <c r="B106" s="387" t="s">
        <v>795</v>
      </c>
      <c r="C106" s="387" t="s">
        <v>184</v>
      </c>
      <c r="D106" s="281" t="s">
        <v>818</v>
      </c>
      <c r="F106"/>
      <c r="G106"/>
      <c r="H106"/>
      <c r="I106"/>
      <c r="J106"/>
      <c r="K106"/>
      <c r="L106"/>
      <c r="M106"/>
      <c r="N106"/>
      <c r="O106"/>
      <c r="P106"/>
      <c r="Q106"/>
      <c r="R106"/>
      <c r="S106"/>
      <c r="T106"/>
    </row>
    <row r="107" spans="1:20">
      <c r="A107" s="387">
        <v>80</v>
      </c>
      <c r="B107" s="387" t="s">
        <v>796</v>
      </c>
      <c r="C107" s="387" t="s">
        <v>144</v>
      </c>
      <c r="D107" s="281" t="s">
        <v>813</v>
      </c>
      <c r="F107"/>
      <c r="G107"/>
      <c r="H107"/>
      <c r="I107"/>
      <c r="J107"/>
      <c r="K107"/>
      <c r="L107"/>
      <c r="M107"/>
      <c r="N107"/>
      <c r="O107"/>
      <c r="P107"/>
      <c r="Q107"/>
      <c r="R107"/>
      <c r="S107"/>
      <c r="T107"/>
    </row>
    <row r="108" spans="1:20">
      <c r="A108" s="387">
        <v>81</v>
      </c>
      <c r="B108" s="387" t="s">
        <v>797</v>
      </c>
      <c r="C108" s="387" t="s">
        <v>189</v>
      </c>
      <c r="D108" s="281" t="s">
        <v>816</v>
      </c>
      <c r="F108"/>
      <c r="G108"/>
      <c r="H108"/>
      <c r="I108"/>
      <c r="J108"/>
      <c r="K108"/>
      <c r="L108"/>
      <c r="M108"/>
      <c r="N108"/>
      <c r="O108"/>
      <c r="P108"/>
      <c r="Q108"/>
      <c r="R108"/>
      <c r="S108"/>
      <c r="T108"/>
    </row>
    <row r="109" spans="1:20" ht="30">
      <c r="A109" s="387">
        <v>82</v>
      </c>
      <c r="B109" s="387" t="s">
        <v>798</v>
      </c>
      <c r="C109" s="387" t="s">
        <v>189</v>
      </c>
      <c r="D109" s="281" t="s">
        <v>816</v>
      </c>
      <c r="F109"/>
      <c r="G109"/>
      <c r="H109"/>
      <c r="I109"/>
      <c r="J109"/>
      <c r="K109"/>
      <c r="L109"/>
      <c r="M109"/>
      <c r="N109"/>
      <c r="O109"/>
      <c r="P109"/>
      <c r="Q109"/>
      <c r="R109"/>
      <c r="S109"/>
      <c r="T109"/>
    </row>
    <row r="110" spans="1:20">
      <c r="A110" s="387">
        <v>83</v>
      </c>
      <c r="B110" s="387" t="s">
        <v>799</v>
      </c>
      <c r="C110" s="387" t="s">
        <v>194</v>
      </c>
      <c r="D110" s="281" t="s">
        <v>814</v>
      </c>
      <c r="F110"/>
      <c r="G110"/>
      <c r="H110"/>
      <c r="I110"/>
      <c r="J110"/>
      <c r="K110"/>
      <c r="L110"/>
      <c r="M110"/>
      <c r="N110"/>
      <c r="O110"/>
      <c r="P110"/>
      <c r="Q110"/>
      <c r="R110"/>
      <c r="S110"/>
      <c r="T110"/>
    </row>
    <row r="111" spans="1:20">
      <c r="A111" s="387">
        <v>84</v>
      </c>
      <c r="B111" s="387" t="s">
        <v>800</v>
      </c>
      <c r="C111" s="387" t="s">
        <v>192</v>
      </c>
      <c r="D111" s="281" t="s">
        <v>814</v>
      </c>
      <c r="F111"/>
      <c r="G111"/>
      <c r="H111"/>
      <c r="I111"/>
      <c r="J111"/>
      <c r="K111"/>
      <c r="L111"/>
      <c r="M111"/>
      <c r="N111"/>
      <c r="O111"/>
      <c r="P111"/>
      <c r="Q111"/>
      <c r="R111"/>
      <c r="S111"/>
      <c r="T111"/>
    </row>
    <row r="112" spans="1:20">
      <c r="A112" s="387">
        <v>85</v>
      </c>
      <c r="B112" s="387" t="s">
        <v>801</v>
      </c>
      <c r="C112" s="387" t="s">
        <v>184</v>
      </c>
      <c r="D112" s="281" t="s">
        <v>822</v>
      </c>
      <c r="F112"/>
      <c r="G112"/>
      <c r="H112"/>
      <c r="I112"/>
      <c r="J112"/>
      <c r="K112"/>
      <c r="L112"/>
      <c r="M112"/>
      <c r="N112"/>
      <c r="O112"/>
      <c r="P112"/>
      <c r="Q112"/>
      <c r="R112"/>
      <c r="S112"/>
      <c r="T112"/>
    </row>
    <row r="113" spans="1:20">
      <c r="A113" s="387">
        <v>86</v>
      </c>
      <c r="B113" s="387" t="s">
        <v>802</v>
      </c>
      <c r="C113" s="387" t="s">
        <v>184</v>
      </c>
      <c r="D113" s="281" t="s">
        <v>818</v>
      </c>
      <c r="F113"/>
      <c r="G113"/>
      <c r="H113"/>
      <c r="I113"/>
      <c r="J113"/>
      <c r="K113"/>
      <c r="L113"/>
      <c r="M113"/>
      <c r="N113"/>
      <c r="O113"/>
      <c r="P113"/>
      <c r="Q113"/>
      <c r="R113"/>
      <c r="S113"/>
      <c r="T113"/>
    </row>
    <row r="114" spans="1:20">
      <c r="A114" s="387">
        <v>87</v>
      </c>
      <c r="B114" s="387" t="s">
        <v>803</v>
      </c>
      <c r="C114" s="387" t="s">
        <v>173</v>
      </c>
      <c r="D114" s="281" t="s">
        <v>818</v>
      </c>
      <c r="F114"/>
      <c r="G114"/>
      <c r="H114"/>
      <c r="I114"/>
      <c r="J114"/>
      <c r="K114"/>
      <c r="L114"/>
      <c r="M114"/>
      <c r="N114"/>
      <c r="O114"/>
      <c r="P114"/>
      <c r="Q114"/>
      <c r="R114"/>
      <c r="S114"/>
      <c r="T114"/>
    </row>
    <row r="115" spans="1:20">
      <c r="A115" s="387">
        <v>88</v>
      </c>
      <c r="B115" s="387" t="s">
        <v>804</v>
      </c>
      <c r="C115" s="387" t="s">
        <v>161</v>
      </c>
      <c r="D115" s="281" t="s">
        <v>815</v>
      </c>
      <c r="F115"/>
      <c r="G115"/>
      <c r="H115"/>
      <c r="I115"/>
      <c r="J115"/>
      <c r="K115"/>
      <c r="L115"/>
      <c r="M115"/>
      <c r="N115"/>
      <c r="O115"/>
      <c r="P115"/>
      <c r="Q115"/>
      <c r="R115"/>
      <c r="S115"/>
      <c r="T115"/>
    </row>
    <row r="116" spans="1:20">
      <c r="A116" s="387">
        <v>89</v>
      </c>
      <c r="B116" s="387" t="s">
        <v>805</v>
      </c>
      <c r="C116" s="387" t="s">
        <v>161</v>
      </c>
      <c r="D116" s="281" t="s">
        <v>820</v>
      </c>
      <c r="F116"/>
      <c r="G116"/>
      <c r="H116"/>
      <c r="I116"/>
      <c r="J116"/>
      <c r="K116"/>
      <c r="L116"/>
      <c r="M116"/>
      <c r="N116"/>
      <c r="O116"/>
      <c r="P116"/>
      <c r="Q116"/>
      <c r="R116"/>
      <c r="S116"/>
      <c r="T116"/>
    </row>
    <row r="117" spans="1:20" ht="30">
      <c r="A117" s="387">
        <v>90</v>
      </c>
      <c r="B117" s="387" t="s">
        <v>806</v>
      </c>
      <c r="C117" s="387" t="s">
        <v>161</v>
      </c>
      <c r="D117" s="281" t="s">
        <v>820</v>
      </c>
      <c r="F117"/>
      <c r="G117"/>
      <c r="H117"/>
      <c r="I117"/>
      <c r="J117"/>
      <c r="K117"/>
      <c r="L117"/>
      <c r="M117"/>
      <c r="N117"/>
      <c r="O117"/>
      <c r="P117"/>
      <c r="Q117"/>
      <c r="R117"/>
      <c r="S117"/>
      <c r="T117"/>
    </row>
    <row r="118" spans="1:20">
      <c r="A118" s="387">
        <v>91</v>
      </c>
      <c r="B118" s="387" t="s">
        <v>807</v>
      </c>
      <c r="C118" s="387" t="s">
        <v>144</v>
      </c>
      <c r="D118" s="281" t="s">
        <v>823</v>
      </c>
      <c r="F118"/>
      <c r="G118"/>
      <c r="H118"/>
      <c r="I118"/>
      <c r="J118"/>
      <c r="K118"/>
      <c r="L118"/>
      <c r="M118"/>
      <c r="N118"/>
      <c r="O118"/>
      <c r="P118"/>
      <c r="Q118"/>
      <c r="R118"/>
      <c r="S118"/>
      <c r="T118"/>
    </row>
    <row r="119" spans="1:20" ht="30">
      <c r="A119" s="387">
        <v>92</v>
      </c>
      <c r="B119" s="387" t="s">
        <v>808</v>
      </c>
      <c r="C119" s="387" t="s">
        <v>161</v>
      </c>
      <c r="D119" s="281" t="s">
        <v>823</v>
      </c>
      <c r="F119"/>
      <c r="G119"/>
      <c r="H119"/>
      <c r="I119"/>
      <c r="J119"/>
      <c r="K119"/>
      <c r="L119"/>
      <c r="M119"/>
      <c r="N119"/>
      <c r="O119"/>
      <c r="P119"/>
      <c r="Q119"/>
      <c r="R119"/>
      <c r="S119"/>
      <c r="T119"/>
    </row>
    <row r="120" spans="1:20" ht="30">
      <c r="A120" s="387">
        <v>93</v>
      </c>
      <c r="B120" s="387" t="s">
        <v>809</v>
      </c>
      <c r="C120" s="387" t="s">
        <v>161</v>
      </c>
      <c r="D120" s="384" t="s">
        <v>823</v>
      </c>
      <c r="F120"/>
      <c r="G120"/>
      <c r="H120"/>
      <c r="I120"/>
      <c r="J120"/>
      <c r="K120"/>
      <c r="L120"/>
      <c r="M120"/>
      <c r="N120"/>
      <c r="O120"/>
      <c r="P120"/>
      <c r="Q120"/>
      <c r="R120"/>
      <c r="S120"/>
      <c r="T120"/>
    </row>
    <row r="121" spans="1:20">
      <c r="A121" s="387">
        <v>94</v>
      </c>
      <c r="B121" s="387" t="s">
        <v>810</v>
      </c>
      <c r="C121" s="387" t="s">
        <v>161</v>
      </c>
      <c r="D121" s="384" t="s">
        <v>823</v>
      </c>
      <c r="F121"/>
      <c r="G121"/>
      <c r="H121"/>
      <c r="I121"/>
      <c r="J121"/>
      <c r="K121"/>
      <c r="L121"/>
      <c r="M121"/>
      <c r="N121"/>
      <c r="O121"/>
      <c r="P121"/>
      <c r="Q121"/>
      <c r="R121"/>
      <c r="S121"/>
      <c r="T121"/>
    </row>
    <row r="122" spans="1:20">
      <c r="A122" s="387">
        <v>95</v>
      </c>
      <c r="B122" s="387" t="s">
        <v>811</v>
      </c>
      <c r="C122" s="387" t="s">
        <v>144</v>
      </c>
      <c r="D122" s="384" t="s">
        <v>823</v>
      </c>
      <c r="F122"/>
      <c r="G122"/>
      <c r="H122"/>
      <c r="I122"/>
      <c r="J122"/>
      <c r="K122"/>
      <c r="L122"/>
      <c r="M122"/>
      <c r="N122"/>
      <c r="O122"/>
      <c r="P122"/>
      <c r="Q122"/>
      <c r="R122"/>
      <c r="S122"/>
      <c r="T122"/>
    </row>
    <row r="123" spans="1:20">
      <c r="A123" s="387">
        <v>971</v>
      </c>
      <c r="B123" s="387" t="s">
        <v>693</v>
      </c>
      <c r="C123" s="384" t="s">
        <v>693</v>
      </c>
      <c r="D123" s="384" t="s">
        <v>827</v>
      </c>
      <c r="F123"/>
      <c r="G123"/>
      <c r="H123"/>
      <c r="I123"/>
      <c r="J123"/>
      <c r="K123"/>
      <c r="L123"/>
      <c r="M123"/>
      <c r="N123"/>
      <c r="O123"/>
      <c r="P123"/>
      <c r="Q123"/>
      <c r="R123"/>
      <c r="S123"/>
      <c r="T123"/>
    </row>
    <row r="124" spans="1:20">
      <c r="A124" s="387">
        <v>973</v>
      </c>
      <c r="B124" s="387" t="s">
        <v>695</v>
      </c>
      <c r="C124" s="384" t="s">
        <v>695</v>
      </c>
      <c r="D124" s="384" t="s">
        <v>827</v>
      </c>
      <c r="F124"/>
      <c r="G124"/>
      <c r="H124"/>
      <c r="I124"/>
      <c r="J124"/>
      <c r="K124"/>
      <c r="L124"/>
      <c r="M124"/>
      <c r="N124"/>
      <c r="O124"/>
      <c r="P124"/>
      <c r="Q124"/>
      <c r="R124"/>
      <c r="S124"/>
      <c r="T124"/>
    </row>
    <row r="125" spans="1:20">
      <c r="A125" s="387">
        <v>974</v>
      </c>
      <c r="B125" s="387" t="s">
        <v>826</v>
      </c>
      <c r="C125" s="384" t="s">
        <v>696</v>
      </c>
      <c r="D125" s="384" t="s">
        <v>827</v>
      </c>
      <c r="F125"/>
      <c r="G125"/>
      <c r="H125"/>
      <c r="I125"/>
      <c r="J125"/>
      <c r="K125"/>
      <c r="L125"/>
      <c r="M125"/>
      <c r="N125"/>
      <c r="O125"/>
      <c r="P125"/>
      <c r="Q125"/>
      <c r="R125"/>
      <c r="S125"/>
      <c r="T125"/>
    </row>
    <row r="126" spans="1:20">
      <c r="A126" s="387">
        <v>972</v>
      </c>
      <c r="B126" s="387" t="s">
        <v>694</v>
      </c>
      <c r="C126" s="384" t="s">
        <v>694</v>
      </c>
      <c r="D126" s="384" t="s">
        <v>827</v>
      </c>
      <c r="F126"/>
      <c r="G126"/>
      <c r="H126"/>
      <c r="I126"/>
      <c r="J126"/>
      <c r="K126"/>
      <c r="L126"/>
      <c r="M126"/>
      <c r="N126"/>
      <c r="O126"/>
      <c r="P126"/>
      <c r="Q126"/>
      <c r="R126"/>
      <c r="S126"/>
      <c r="T126"/>
    </row>
    <row r="127" spans="1:20">
      <c r="A127" s="387"/>
      <c r="B127" s="387" t="s">
        <v>697</v>
      </c>
      <c r="C127" s="387" t="s">
        <v>697</v>
      </c>
      <c r="D127" s="384" t="s">
        <v>827</v>
      </c>
      <c r="F127"/>
      <c r="G127"/>
      <c r="H127"/>
      <c r="I127"/>
      <c r="J127"/>
      <c r="K127"/>
      <c r="L127"/>
      <c r="M127"/>
      <c r="N127"/>
      <c r="O127"/>
      <c r="P127"/>
      <c r="Q127"/>
      <c r="R127"/>
      <c r="S127"/>
      <c r="T127"/>
    </row>
    <row r="128" spans="1:20">
      <c r="F128"/>
      <c r="G128"/>
      <c r="H128"/>
      <c r="I128"/>
      <c r="J128"/>
      <c r="K128"/>
      <c r="L128"/>
      <c r="M128"/>
      <c r="N128"/>
      <c r="O128"/>
      <c r="P128"/>
      <c r="Q128"/>
      <c r="R128"/>
      <c r="S128"/>
      <c r="T128"/>
    </row>
    <row r="129" spans="6:20">
      <c r="F129"/>
      <c r="G129"/>
      <c r="H129"/>
      <c r="I129"/>
      <c r="J129"/>
      <c r="K129"/>
      <c r="L129"/>
      <c r="M129"/>
      <c r="N129"/>
      <c r="O129"/>
      <c r="P129"/>
      <c r="Q129"/>
      <c r="R129"/>
      <c r="S129"/>
      <c r="T129"/>
    </row>
    <row r="130" spans="6:20">
      <c r="F130"/>
      <c r="G130"/>
      <c r="H130"/>
      <c r="I130"/>
      <c r="J130"/>
      <c r="K130"/>
      <c r="L130"/>
      <c r="M130"/>
      <c r="N130"/>
      <c r="O130"/>
      <c r="P130"/>
      <c r="Q130"/>
      <c r="R130"/>
      <c r="S130"/>
      <c r="T130"/>
    </row>
    <row r="131" spans="6:20">
      <c r="F131"/>
      <c r="G131"/>
      <c r="H131"/>
      <c r="I131"/>
      <c r="J131"/>
      <c r="K131"/>
      <c r="L131"/>
      <c r="M131"/>
      <c r="N131"/>
      <c r="O131"/>
      <c r="P131"/>
      <c r="Q131"/>
      <c r="R131"/>
      <c r="S131"/>
      <c r="T131"/>
    </row>
    <row r="132" spans="6:20">
      <c r="F132"/>
      <c r="G132"/>
      <c r="H132"/>
      <c r="I132"/>
      <c r="J132"/>
      <c r="K132"/>
      <c r="L132"/>
      <c r="M132"/>
      <c r="N132"/>
      <c r="O132"/>
      <c r="P132"/>
      <c r="Q132"/>
      <c r="R132"/>
      <c r="S132"/>
      <c r="T132"/>
    </row>
    <row r="133" spans="6:20">
      <c r="F133"/>
      <c r="G133"/>
      <c r="H133"/>
      <c r="I133"/>
      <c r="J133"/>
      <c r="K133"/>
      <c r="L133"/>
      <c r="M133"/>
      <c r="N133"/>
      <c r="O133"/>
      <c r="P133"/>
      <c r="Q133"/>
      <c r="R133"/>
      <c r="S133"/>
      <c r="T133"/>
    </row>
    <row r="134" spans="6:20">
      <c r="F134"/>
      <c r="G134"/>
      <c r="H134"/>
      <c r="I134"/>
      <c r="J134"/>
      <c r="K134"/>
      <c r="L134"/>
      <c r="M134"/>
      <c r="N134"/>
      <c r="O134"/>
      <c r="P134"/>
      <c r="Q134"/>
      <c r="R134"/>
      <c r="S134"/>
      <c r="T134"/>
    </row>
    <row r="135" spans="6:20">
      <c r="F135"/>
      <c r="G135"/>
      <c r="H135"/>
      <c r="I135"/>
      <c r="J135"/>
      <c r="K135"/>
      <c r="L135"/>
      <c r="M135"/>
      <c r="N135"/>
      <c r="O135"/>
      <c r="P135"/>
      <c r="Q135"/>
      <c r="R135"/>
      <c r="S135"/>
      <c r="T135"/>
    </row>
    <row r="136" spans="6:20">
      <c r="F136"/>
      <c r="G136"/>
      <c r="H136"/>
      <c r="I136"/>
      <c r="J136"/>
      <c r="K136"/>
      <c r="L136"/>
      <c r="M136"/>
      <c r="N136"/>
      <c r="O136"/>
      <c r="P136"/>
      <c r="Q136"/>
      <c r="R136"/>
      <c r="S136"/>
      <c r="T136"/>
    </row>
    <row r="137" spans="6:20">
      <c r="F137"/>
      <c r="G137"/>
      <c r="H137"/>
      <c r="I137"/>
      <c r="J137"/>
      <c r="K137"/>
      <c r="L137"/>
      <c r="M137"/>
      <c r="N137"/>
      <c r="O137"/>
      <c r="P137"/>
      <c r="Q137"/>
      <c r="R137"/>
      <c r="S137"/>
      <c r="T137"/>
    </row>
    <row r="138" spans="6:20">
      <c r="F138"/>
      <c r="G138"/>
      <c r="H138"/>
      <c r="I138"/>
      <c r="J138"/>
      <c r="K138"/>
      <c r="L138"/>
      <c r="M138"/>
      <c r="N138"/>
      <c r="O138"/>
      <c r="P138"/>
      <c r="Q138"/>
      <c r="R138"/>
      <c r="S138"/>
      <c r="T138"/>
    </row>
    <row r="139" spans="6:20">
      <c r="F139"/>
      <c r="G139"/>
      <c r="H139"/>
      <c r="I139"/>
      <c r="J139"/>
      <c r="K139"/>
      <c r="L139"/>
      <c r="M139"/>
      <c r="N139"/>
      <c r="O139"/>
      <c r="P139"/>
      <c r="Q139"/>
      <c r="R139"/>
      <c r="S139"/>
      <c r="T139"/>
    </row>
    <row r="140" spans="6:20">
      <c r="F140"/>
      <c r="G140"/>
      <c r="H140"/>
      <c r="I140"/>
      <c r="J140"/>
      <c r="K140"/>
      <c r="L140"/>
      <c r="M140"/>
      <c r="N140"/>
      <c r="O140"/>
      <c r="P140"/>
      <c r="Q140"/>
      <c r="R140"/>
      <c r="S140"/>
      <c r="T140"/>
    </row>
    <row r="141" spans="6:20">
      <c r="F141"/>
      <c r="G141"/>
      <c r="H141"/>
      <c r="I141"/>
      <c r="J141"/>
      <c r="K141"/>
      <c r="L141"/>
      <c r="M141"/>
      <c r="N141"/>
      <c r="O141"/>
      <c r="P141"/>
      <c r="Q141"/>
      <c r="R141"/>
      <c r="S141"/>
      <c r="T141"/>
    </row>
    <row r="142" spans="6:20">
      <c r="F142"/>
      <c r="G142"/>
      <c r="H142"/>
      <c r="I142"/>
      <c r="J142"/>
      <c r="K142"/>
      <c r="L142"/>
      <c r="M142"/>
      <c r="N142"/>
      <c r="O142"/>
      <c r="P142"/>
      <c r="Q142"/>
      <c r="R142"/>
      <c r="S142"/>
      <c r="T142"/>
    </row>
    <row r="143" spans="6:20">
      <c r="F143"/>
      <c r="G143"/>
      <c r="H143"/>
      <c r="I143"/>
      <c r="J143"/>
      <c r="K143"/>
      <c r="L143"/>
      <c r="M143"/>
      <c r="N143"/>
      <c r="O143"/>
      <c r="P143"/>
      <c r="Q143"/>
      <c r="R143"/>
      <c r="S143"/>
      <c r="T143"/>
    </row>
    <row r="144" spans="6:20">
      <c r="F144"/>
      <c r="G144"/>
      <c r="H144"/>
    </row>
    <row r="145" spans="6:8">
      <c r="F145"/>
      <c r="G145"/>
      <c r="H145"/>
    </row>
    <row r="146" spans="6:8">
      <c r="F146"/>
      <c r="G146"/>
      <c r="H146"/>
    </row>
    <row r="147" spans="6:8">
      <c r="F147"/>
    </row>
    <row r="148" spans="6:8">
      <c r="F148"/>
    </row>
    <row r="149" spans="6:8">
      <c r="F149"/>
    </row>
    <row r="150" spans="6:8">
      <c r="F150"/>
    </row>
    <row r="151" spans="6:8">
      <c r="F151"/>
    </row>
    <row r="152" spans="6:8">
      <c r="F152"/>
    </row>
    <row r="153" spans="6:8">
      <c r="F153"/>
    </row>
    <row r="154" spans="6:8">
      <c r="F154"/>
    </row>
    <row r="155" spans="6:8">
      <c r="F155"/>
    </row>
    <row r="156" spans="6:8">
      <c r="F156"/>
    </row>
    <row r="157" spans="6:8">
      <c r="F157"/>
    </row>
    <row r="158" spans="6:8">
      <c r="F158"/>
    </row>
    <row r="159" spans="6:8">
      <c r="F159"/>
    </row>
    <row r="160" spans="6:8">
      <c r="F160"/>
    </row>
    <row r="161" spans="6:6">
      <c r="F161"/>
    </row>
    <row r="162" spans="6:6">
      <c r="F162"/>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row r="175" spans="6:6">
      <c r="F175"/>
    </row>
    <row r="176" spans="6:6">
      <c r="F176"/>
    </row>
    <row r="177" spans="6:6">
      <c r="F177"/>
    </row>
    <row r="178" spans="6:6">
      <c r="F178"/>
    </row>
    <row r="179" spans="6:6">
      <c r="F179"/>
    </row>
    <row r="180" spans="6:6">
      <c r="F180"/>
    </row>
    <row r="181" spans="6:6">
      <c r="F181"/>
    </row>
    <row r="182" spans="6:6">
      <c r="F182"/>
    </row>
    <row r="183" spans="6:6">
      <c r="F183"/>
    </row>
    <row r="184" spans="6:6">
      <c r="F184"/>
    </row>
    <row r="185" spans="6:6">
      <c r="F185"/>
    </row>
    <row r="186" spans="6:6">
      <c r="F186"/>
    </row>
    <row r="187" spans="6:6">
      <c r="F187"/>
    </row>
    <row r="188" spans="6:6">
      <c r="F188"/>
    </row>
    <row r="189" spans="6:6">
      <c r="F189"/>
    </row>
    <row r="190" spans="6:6">
      <c r="F190"/>
    </row>
    <row r="191" spans="6:6">
      <c r="F191"/>
    </row>
    <row r="192" spans="6:6">
      <c r="F192"/>
    </row>
    <row r="193" spans="6:6">
      <c r="F193"/>
    </row>
    <row r="194" spans="6:6">
      <c r="F194"/>
    </row>
    <row r="195" spans="6:6">
      <c r="F195"/>
    </row>
    <row r="196" spans="6:6">
      <c r="F196"/>
    </row>
    <row r="197" spans="6:6">
      <c r="F197"/>
    </row>
    <row r="198" spans="6:6">
      <c r="F198"/>
    </row>
    <row r="199" spans="6:6">
      <c r="F199"/>
    </row>
    <row r="200" spans="6:6">
      <c r="F200"/>
    </row>
    <row r="201" spans="6:6">
      <c r="F201"/>
    </row>
    <row r="202" spans="6:6">
      <c r="F202"/>
    </row>
    <row r="203" spans="6:6">
      <c r="F203"/>
    </row>
    <row r="204" spans="6:6">
      <c r="F204"/>
    </row>
    <row r="205" spans="6:6">
      <c r="F205"/>
    </row>
    <row r="206" spans="6:6">
      <c r="F206"/>
    </row>
    <row r="207" spans="6:6">
      <c r="F207"/>
    </row>
    <row r="208" spans="6:6">
      <c r="F208"/>
    </row>
    <row r="209" spans="6:6">
      <c r="F209"/>
    </row>
    <row r="210" spans="6:6">
      <c r="F210"/>
    </row>
    <row r="211" spans="6:6">
      <c r="F211"/>
    </row>
    <row r="212" spans="6:6">
      <c r="F212"/>
    </row>
    <row r="213" spans="6:6">
      <c r="F213"/>
    </row>
    <row r="214" spans="6:6">
      <c r="F214"/>
    </row>
    <row r="215" spans="6:6">
      <c r="F215"/>
    </row>
    <row r="216" spans="6:6">
      <c r="F216"/>
    </row>
    <row r="217" spans="6:6">
      <c r="F217"/>
    </row>
    <row r="218" spans="6:6">
      <c r="F218"/>
    </row>
    <row r="219" spans="6:6">
      <c r="F219"/>
    </row>
    <row r="220" spans="6:6">
      <c r="F220"/>
    </row>
    <row r="221" spans="6:6">
      <c r="F221"/>
    </row>
    <row r="222" spans="6:6">
      <c r="F222"/>
    </row>
    <row r="223" spans="6:6">
      <c r="F223"/>
    </row>
    <row r="224" spans="6:6">
      <c r="F224"/>
    </row>
    <row r="225" spans="6:6">
      <c r="F225"/>
    </row>
    <row r="226" spans="6:6">
      <c r="F226"/>
    </row>
    <row r="227" spans="6:6">
      <c r="F227"/>
    </row>
    <row r="228" spans="6:6">
      <c r="F228"/>
    </row>
    <row r="229" spans="6:6">
      <c r="F229"/>
    </row>
    <row r="230" spans="6:6">
      <c r="F230"/>
    </row>
    <row r="231" spans="6:6">
      <c r="F231"/>
    </row>
    <row r="232" spans="6:6">
      <c r="F232"/>
    </row>
    <row r="233" spans="6:6">
      <c r="F233"/>
    </row>
    <row r="234" spans="6:6">
      <c r="F234"/>
    </row>
    <row r="235" spans="6:6">
      <c r="F235"/>
    </row>
    <row r="236" spans="6:6">
      <c r="F236"/>
    </row>
    <row r="237" spans="6:6">
      <c r="F237"/>
    </row>
    <row r="238" spans="6:6">
      <c r="F238"/>
    </row>
    <row r="239" spans="6:6">
      <c r="F239"/>
    </row>
    <row r="240" spans="6:6">
      <c r="F240"/>
    </row>
    <row r="241" spans="6:6">
      <c r="F241"/>
    </row>
    <row r="242" spans="6:6">
      <c r="F242"/>
    </row>
  </sheetData>
  <mergeCells count="1">
    <mergeCell ref="C20:F25"/>
  </mergeCells>
  <pageMargins left="0.7" right="0.7" top="0.75" bottom="0.75" header="0.3" footer="0.3"/>
  <pageSetup paperSize="9"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8"/>
  <dimension ref="A1:O243"/>
  <sheetViews>
    <sheetView workbookViewId="0">
      <pane ySplit="3" topLeftCell="A4" activePane="bottomLeft" state="frozen"/>
      <selection pane="bottomLeft" activeCell="B9" sqref="B9"/>
    </sheetView>
  </sheetViews>
  <sheetFormatPr baseColWidth="10" defaultColWidth="0" defaultRowHeight="15" zeroHeight="1"/>
  <cols>
    <col min="1" max="1" width="15.28515625" customWidth="1"/>
    <col min="2" max="2" width="19.42578125" style="186" customWidth="1"/>
    <col min="3" max="3" width="13.85546875" customWidth="1"/>
    <col min="4" max="4" width="15.42578125" style="124" customWidth="1"/>
    <col min="5" max="5" width="11.42578125" customWidth="1"/>
    <col min="6" max="8" width="11.42578125" hidden="1" customWidth="1"/>
    <col min="9" max="9" width="10.85546875" customWidth="1"/>
    <col min="10" max="10" width="13.7109375" style="208" customWidth="1"/>
    <col min="11" max="11" width="21.7109375" customWidth="1"/>
    <col min="12" max="13" width="11.42578125" customWidth="1"/>
    <col min="14" max="14" width="21.7109375" customWidth="1"/>
    <col min="15" max="15" width="0" hidden="1" customWidth="1"/>
    <col min="16" max="16384" width="11.42578125" hidden="1"/>
  </cols>
  <sheetData>
    <row r="1" spans="1:13" ht="34.15" customHeight="1">
      <c r="A1" s="57" t="s">
        <v>397</v>
      </c>
      <c r="B1" s="227" t="s">
        <v>398</v>
      </c>
      <c r="C1" s="129" t="s">
        <v>399</v>
      </c>
      <c r="D1" s="59" t="str">
        <f>CONCATENATE("Montant ",Controle_des_données!$A$40)</f>
        <v>Montant TTC</v>
      </c>
      <c r="E1" s="30" t="s">
        <v>215</v>
      </c>
      <c r="F1" s="29" t="s">
        <v>400</v>
      </c>
      <c r="G1" s="30" t="s">
        <v>401</v>
      </c>
      <c r="H1" s="30" t="s">
        <v>402</v>
      </c>
      <c r="I1" s="30" t="s">
        <v>403</v>
      </c>
      <c r="J1" s="181" t="s">
        <v>404</v>
      </c>
      <c r="K1" s="172" t="s">
        <v>19</v>
      </c>
      <c r="L1" s="179" t="str">
        <f>IF(Site!C42="", "Compteur 5",Site!C42)</f>
        <v>Compteur 5</v>
      </c>
    </row>
    <row r="2" spans="1:13" ht="20.25" hidden="1" customHeight="1">
      <c r="A2" s="57" t="s">
        <v>397</v>
      </c>
      <c r="B2" s="232" t="s">
        <v>398</v>
      </c>
      <c r="C2" s="58" t="s">
        <v>399</v>
      </c>
      <c r="D2" s="140" t="s">
        <v>433</v>
      </c>
      <c r="E2" s="30" t="s">
        <v>215</v>
      </c>
      <c r="F2" s="29" t="s">
        <v>400</v>
      </c>
      <c r="G2" s="30" t="s">
        <v>401</v>
      </c>
      <c r="H2" s="30" t="s">
        <v>402</v>
      </c>
      <c r="I2" s="208" t="s">
        <v>403</v>
      </c>
      <c r="J2" s="30" t="s">
        <v>404</v>
      </c>
      <c r="K2" s="172"/>
      <c r="L2" s="600"/>
      <c r="M2" s="601"/>
    </row>
    <row r="3" spans="1:13" hidden="1">
      <c r="A3" s="3"/>
      <c r="B3" s="231">
        <f>A4-1</f>
        <v>-1</v>
      </c>
      <c r="C3" s="56">
        <v>0</v>
      </c>
      <c r="D3" s="124">
        <v>0</v>
      </c>
      <c r="F3">
        <f t="shared" ref="F3:F66" si="0">IFERROR(B3-A3+1,"")</f>
        <v>0</v>
      </c>
      <c r="G3">
        <v>0</v>
      </c>
      <c r="H3">
        <v>0</v>
      </c>
      <c r="I3" s="208">
        <f t="shared" ref="I3:I66" si="1">G3</f>
        <v>0</v>
      </c>
      <c r="J3" s="38"/>
      <c r="K3" s="38"/>
      <c r="L3" s="38"/>
      <c r="M3" s="38"/>
    </row>
    <row r="4" spans="1:13">
      <c r="A4" s="3">
        <f>Site!I42</f>
        <v>0</v>
      </c>
      <c r="B4" s="87"/>
      <c r="C4" s="187"/>
      <c r="D4" s="188"/>
      <c r="E4" s="186"/>
      <c r="F4" s="186">
        <f t="shared" si="0"/>
        <v>1</v>
      </c>
      <c r="G4" s="186">
        <f>IF(IFERROR(IF(Str_TypeDonneesCpt5=Cpt_Index,Tab_Compteur_5[[#This Row],[Index]]-L4,Tab_Compteur_5[[#This Row],[Quantité]])/Tab_Compteur_5[[#This Row],[Delta Jour]],"")&lt;0,"",IFERROR(IF(Str_TypeDonneesCpt5=Cpt_Index,Tab_Compteur_5[[#This Row],[Index]]-L4,Tab_Compteur_5[[#This Row],[Quantité]])/Tab_Compteur_5[[#This Row],[Delta Jour]],""))</f>
        <v>0</v>
      </c>
      <c r="H4" s="186">
        <f>IFERROR(Tab_Compteur_5[[#This Row],[Montant]]/Tab_Compteur_5[[#This Row],[Delta Jour]],"")</f>
        <v>0</v>
      </c>
      <c r="I4" s="208">
        <f t="shared" si="1"/>
        <v>0</v>
      </c>
      <c r="J4" s="209"/>
      <c r="K4" s="216" t="s">
        <v>405</v>
      </c>
      <c r="L4" s="491">
        <v>0</v>
      </c>
    </row>
    <row r="5" spans="1:13">
      <c r="A5" s="3">
        <f>IFERROR(B4+1,0)</f>
        <v>1</v>
      </c>
      <c r="B5" s="87"/>
      <c r="C5" s="187"/>
      <c r="D5" s="188"/>
      <c r="E5" s="186"/>
      <c r="F5" s="186">
        <f t="shared" si="0"/>
        <v>0</v>
      </c>
      <c r="G5" s="186" t="str">
        <f>IF(IFERROR(IF(Str_TypeDonneesCpt5=Cpt_Index,Tab_Compteur_5[[#This Row],[Index]]-E4,Tab_Compteur_5[[#This Row],[Quantité]])/Tab_Compteur_5[[#This Row],[Delta Jour]],"")&lt;0,"",IFERROR(IF(Str_TypeDonneesCpt5=Cpt_Index,Tab_Compteur_5[[#This Row],[Index]]-E4,Tab_Compteur_5[[#This Row],[Quantité]])/Tab_Compteur_5[[#This Row],[Delta Jour]],""))</f>
        <v/>
      </c>
      <c r="H5" s="186" t="str">
        <f>IFERROR(Tab_Compteur_5[[#This Row],[Montant]]/Tab_Compteur_5[[#This Row],[Delta Jour]],"")</f>
        <v/>
      </c>
      <c r="I5" s="208" t="str">
        <f t="shared" si="1"/>
        <v/>
      </c>
      <c r="J5" s="209"/>
      <c r="K5" s="38"/>
      <c r="L5" s="38"/>
      <c r="M5" s="38"/>
    </row>
    <row r="6" spans="1:13">
      <c r="A6" s="3">
        <f t="shared" ref="A6:A69" si="2">IFERROR(B5+1,0)</f>
        <v>1</v>
      </c>
      <c r="B6" s="87"/>
      <c r="C6" s="187"/>
      <c r="D6" s="188"/>
      <c r="E6" s="186"/>
      <c r="F6" s="186">
        <f t="shared" si="0"/>
        <v>0</v>
      </c>
      <c r="G6" s="186" t="str">
        <f>IF(IFERROR(IF(Str_TypeDonneesCpt5=Cpt_Index,Tab_Compteur_5[[#This Row],[Index]]-E5,Tab_Compteur_5[[#This Row],[Quantité]])/Tab_Compteur_5[[#This Row],[Delta Jour]],"")&lt;0,"",IFERROR(IF(Str_TypeDonneesCpt5=Cpt_Index,Tab_Compteur_5[[#This Row],[Index]]-E5,Tab_Compteur_5[[#This Row],[Quantité]])/Tab_Compteur_5[[#This Row],[Delta Jour]],""))</f>
        <v/>
      </c>
      <c r="H6" s="186" t="str">
        <f>IFERROR(Tab_Compteur_5[[#This Row],[Montant]]/Tab_Compteur_5[[#This Row],[Delta Jour]],"")</f>
        <v/>
      </c>
      <c r="I6" s="208" t="str">
        <f t="shared" si="1"/>
        <v/>
      </c>
      <c r="J6" s="209"/>
      <c r="K6" s="38"/>
      <c r="L6" s="38"/>
      <c r="M6" s="38"/>
    </row>
    <row r="7" spans="1:13">
      <c r="A7" s="3">
        <f t="shared" si="2"/>
        <v>1</v>
      </c>
      <c r="B7" s="87"/>
      <c r="C7" s="187"/>
      <c r="D7" s="188"/>
      <c r="E7" s="186"/>
      <c r="F7" s="186">
        <f t="shared" si="0"/>
        <v>0</v>
      </c>
      <c r="G7" s="186" t="str">
        <f>IF(IFERROR(IF(Str_TypeDonneesCpt5=Cpt_Index,Tab_Compteur_5[[#This Row],[Index]]-E6,Tab_Compteur_5[[#This Row],[Quantité]])/Tab_Compteur_5[[#This Row],[Delta Jour]],"")&lt;0,"",IFERROR(IF(Str_TypeDonneesCpt5=Cpt_Index,Tab_Compteur_5[[#This Row],[Index]]-E6,Tab_Compteur_5[[#This Row],[Quantité]])/Tab_Compteur_5[[#This Row],[Delta Jour]],""))</f>
        <v/>
      </c>
      <c r="H7" s="186" t="str">
        <f>IFERROR(Tab_Compteur_5[[#This Row],[Montant]]/Tab_Compteur_5[[#This Row],[Delta Jour]],"")</f>
        <v/>
      </c>
      <c r="I7" s="208" t="str">
        <f t="shared" si="1"/>
        <v/>
      </c>
      <c r="J7" s="209"/>
      <c r="K7" s="38"/>
      <c r="L7" s="38"/>
      <c r="M7" s="38"/>
    </row>
    <row r="8" spans="1:13">
      <c r="A8" s="3">
        <f t="shared" si="2"/>
        <v>1</v>
      </c>
      <c r="B8" s="87"/>
      <c r="C8" s="187"/>
      <c r="D8" s="188"/>
      <c r="E8" s="186"/>
      <c r="F8" s="186">
        <f t="shared" si="0"/>
        <v>0</v>
      </c>
      <c r="G8" s="186" t="str">
        <f>IF(IFERROR(IF(Str_TypeDonneesCpt5=Cpt_Index,Tab_Compteur_5[[#This Row],[Index]]-E7,Tab_Compteur_5[[#This Row],[Quantité]])/Tab_Compteur_5[[#This Row],[Delta Jour]],"")&lt;0,"",IFERROR(IF(Str_TypeDonneesCpt5=Cpt_Index,Tab_Compteur_5[[#This Row],[Index]]-E7,Tab_Compteur_5[[#This Row],[Quantité]])/Tab_Compteur_5[[#This Row],[Delta Jour]],""))</f>
        <v/>
      </c>
      <c r="H8" s="186" t="str">
        <f>IFERROR(Tab_Compteur_5[[#This Row],[Montant]]/Tab_Compteur_5[[#This Row],[Delta Jour]],"")</f>
        <v/>
      </c>
      <c r="I8" s="208" t="str">
        <f t="shared" si="1"/>
        <v/>
      </c>
      <c r="J8" s="209"/>
      <c r="K8" s="38"/>
      <c r="L8" s="38"/>
      <c r="M8" s="38"/>
    </row>
    <row r="9" spans="1:13">
      <c r="A9" s="3">
        <f t="shared" si="2"/>
        <v>1</v>
      </c>
      <c r="B9" s="87"/>
      <c r="C9" s="187"/>
      <c r="D9" s="188"/>
      <c r="E9" s="186"/>
      <c r="F9" s="186">
        <f t="shared" si="0"/>
        <v>0</v>
      </c>
      <c r="G9" s="186" t="str">
        <f>IF(IFERROR(IF(Str_TypeDonneesCpt5=Cpt_Index,Tab_Compteur_5[[#This Row],[Index]]-E8,Tab_Compteur_5[[#This Row],[Quantité]])/Tab_Compteur_5[[#This Row],[Delta Jour]],"")&lt;0,"",IFERROR(IF(Str_TypeDonneesCpt5=Cpt_Index,Tab_Compteur_5[[#This Row],[Index]]-E8,Tab_Compteur_5[[#This Row],[Quantité]])/Tab_Compteur_5[[#This Row],[Delta Jour]],""))</f>
        <v/>
      </c>
      <c r="H9" s="186" t="str">
        <f>IFERROR(Tab_Compteur_5[[#This Row],[Montant]]/Tab_Compteur_5[[#This Row],[Delta Jour]],"")</f>
        <v/>
      </c>
      <c r="I9" s="208" t="str">
        <f t="shared" si="1"/>
        <v/>
      </c>
      <c r="J9" s="209"/>
      <c r="K9" s="173"/>
      <c r="L9" s="173"/>
      <c r="M9" s="173"/>
    </row>
    <row r="10" spans="1:13">
      <c r="A10" s="3">
        <f t="shared" si="2"/>
        <v>1</v>
      </c>
      <c r="B10" s="87"/>
      <c r="C10" s="187"/>
      <c r="D10" s="188"/>
      <c r="E10" s="186"/>
      <c r="F10" s="186">
        <f t="shared" si="0"/>
        <v>0</v>
      </c>
      <c r="G10" s="186" t="str">
        <f>IF(IFERROR(IF(Str_TypeDonneesCpt5=Cpt_Index,Tab_Compteur_5[[#This Row],[Index]]-E9,Tab_Compteur_5[[#This Row],[Quantité]])/Tab_Compteur_5[[#This Row],[Delta Jour]],"")&lt;0,"",IFERROR(IF(Str_TypeDonneesCpt5=Cpt_Index,Tab_Compteur_5[[#This Row],[Index]]-E9,Tab_Compteur_5[[#This Row],[Quantité]])/Tab_Compteur_5[[#This Row],[Delta Jour]],""))</f>
        <v/>
      </c>
      <c r="H10" s="186" t="str">
        <f>IFERROR(Tab_Compteur_5[[#This Row],[Montant]]/Tab_Compteur_5[[#This Row],[Delta Jour]],"")</f>
        <v/>
      </c>
      <c r="I10" s="208" t="str">
        <f t="shared" si="1"/>
        <v/>
      </c>
      <c r="J10" s="209"/>
      <c r="K10" s="173"/>
      <c r="L10" s="173"/>
      <c r="M10" s="173"/>
    </row>
    <row r="11" spans="1:13">
      <c r="A11" s="3">
        <f t="shared" si="2"/>
        <v>1</v>
      </c>
      <c r="B11" s="87"/>
      <c r="C11" s="187"/>
      <c r="D11" s="188"/>
      <c r="E11" s="186"/>
      <c r="F11" s="186">
        <f t="shared" si="0"/>
        <v>0</v>
      </c>
      <c r="G11" s="186" t="str">
        <f>IF(IFERROR(IF(Str_TypeDonneesCpt5=Cpt_Index,Tab_Compteur_5[[#This Row],[Index]]-E10,Tab_Compteur_5[[#This Row],[Quantité]])/Tab_Compteur_5[[#This Row],[Delta Jour]],"")&lt;0,"",IFERROR(IF(Str_TypeDonneesCpt5=Cpt_Index,Tab_Compteur_5[[#This Row],[Index]]-E10,Tab_Compteur_5[[#This Row],[Quantité]])/Tab_Compteur_5[[#This Row],[Delta Jour]],""))</f>
        <v/>
      </c>
      <c r="H11" s="186" t="str">
        <f>IFERROR(Tab_Compteur_5[[#This Row],[Montant]]/Tab_Compteur_5[[#This Row],[Delta Jour]],"")</f>
        <v/>
      </c>
      <c r="I11" s="208" t="str">
        <f t="shared" si="1"/>
        <v/>
      </c>
      <c r="J11" s="209"/>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3">
        <f t="shared" si="2"/>
        <v>1</v>
      </c>
      <c r="B12" s="87"/>
      <c r="C12" s="187"/>
      <c r="D12" s="188"/>
      <c r="E12" s="186"/>
      <c r="F12" s="186">
        <f t="shared" si="0"/>
        <v>0</v>
      </c>
      <c r="G12" s="186" t="str">
        <f>IF(IFERROR(IF(Str_TypeDonneesCpt5=Cpt_Index,Tab_Compteur_5[[#This Row],[Index]]-E11,Tab_Compteur_5[[#This Row],[Quantité]])/Tab_Compteur_5[[#This Row],[Delta Jour]],"")&lt;0,"",IFERROR(IF(Str_TypeDonneesCpt5=Cpt_Index,Tab_Compteur_5[[#This Row],[Index]]-E11,Tab_Compteur_5[[#This Row],[Quantité]])/Tab_Compteur_5[[#This Row],[Delta Jour]],""))</f>
        <v/>
      </c>
      <c r="H12" s="186" t="str">
        <f>IFERROR(Tab_Compteur_5[[#This Row],[Montant]]/Tab_Compteur_5[[#This Row],[Delta Jour]],"")</f>
        <v/>
      </c>
      <c r="I12" s="208" t="str">
        <f t="shared" si="1"/>
        <v/>
      </c>
      <c r="J12" s="209"/>
      <c r="K12" s="599"/>
      <c r="L12" s="599"/>
      <c r="M12" s="599"/>
    </row>
    <row r="13" spans="1:13">
      <c r="A13" s="3">
        <f t="shared" si="2"/>
        <v>1</v>
      </c>
      <c r="B13" s="87"/>
      <c r="C13" s="187"/>
      <c r="D13" s="188"/>
      <c r="E13" s="186"/>
      <c r="F13" s="186">
        <f t="shared" si="0"/>
        <v>0</v>
      </c>
      <c r="G13" s="186" t="str">
        <f>IF(IFERROR(IF(Str_TypeDonneesCpt5=Cpt_Index,Tab_Compteur_5[[#This Row],[Index]]-E12,Tab_Compteur_5[[#This Row],[Quantité]])/Tab_Compteur_5[[#This Row],[Delta Jour]],"")&lt;0,"",IFERROR(IF(Str_TypeDonneesCpt5=Cpt_Index,Tab_Compteur_5[[#This Row],[Index]]-E12,Tab_Compteur_5[[#This Row],[Quantité]])/Tab_Compteur_5[[#This Row],[Delta Jour]],""))</f>
        <v/>
      </c>
      <c r="H13" s="186" t="str">
        <f>IFERROR(Tab_Compteur_5[[#This Row],[Montant]]/Tab_Compteur_5[[#This Row],[Delta Jour]],"")</f>
        <v/>
      </c>
      <c r="I13" s="208" t="str">
        <f t="shared" si="1"/>
        <v/>
      </c>
      <c r="J13" s="209"/>
      <c r="K13" s="599"/>
      <c r="L13" s="599"/>
      <c r="M13" s="599"/>
    </row>
    <row r="14" spans="1:13">
      <c r="A14" s="3">
        <f t="shared" si="2"/>
        <v>1</v>
      </c>
      <c r="B14" s="87"/>
      <c r="C14" s="187"/>
      <c r="D14" s="188"/>
      <c r="E14" s="186"/>
      <c r="F14" s="186">
        <f t="shared" si="0"/>
        <v>0</v>
      </c>
      <c r="G14" s="186" t="str">
        <f>IF(IFERROR(IF(Str_TypeDonneesCpt5=Cpt_Index,Tab_Compteur_5[[#This Row],[Index]]-E13,Tab_Compteur_5[[#This Row],[Quantité]])/Tab_Compteur_5[[#This Row],[Delta Jour]],"")&lt;0,"",IFERROR(IF(Str_TypeDonneesCpt5=Cpt_Index,Tab_Compteur_5[[#This Row],[Index]]-E13,Tab_Compteur_5[[#This Row],[Quantité]])/Tab_Compteur_5[[#This Row],[Delta Jour]],""))</f>
        <v/>
      </c>
      <c r="H14" s="186" t="str">
        <f>IFERROR(Tab_Compteur_5[[#This Row],[Montant]]/Tab_Compteur_5[[#This Row],[Delta Jour]],"")</f>
        <v/>
      </c>
      <c r="I14" s="208" t="str">
        <f t="shared" si="1"/>
        <v/>
      </c>
      <c r="J14" s="209"/>
      <c r="K14" s="599"/>
      <c r="L14" s="599"/>
      <c r="M14" s="599"/>
    </row>
    <row r="15" spans="1:13">
      <c r="A15" s="3">
        <f t="shared" si="2"/>
        <v>1</v>
      </c>
      <c r="B15" s="87"/>
      <c r="C15" s="187"/>
      <c r="D15" s="188"/>
      <c r="E15" s="186"/>
      <c r="F15" s="186">
        <f t="shared" si="0"/>
        <v>0</v>
      </c>
      <c r="G15" s="186" t="str">
        <f>IF(IFERROR(IF(Str_TypeDonneesCpt5=Cpt_Index,Tab_Compteur_5[[#This Row],[Index]]-E14,Tab_Compteur_5[[#This Row],[Quantité]])/Tab_Compteur_5[[#This Row],[Delta Jour]],"")&lt;0,"",IFERROR(IF(Str_TypeDonneesCpt5=Cpt_Index,Tab_Compteur_5[[#This Row],[Index]]-E14,Tab_Compteur_5[[#This Row],[Quantité]])/Tab_Compteur_5[[#This Row],[Delta Jour]],""))</f>
        <v/>
      </c>
      <c r="H15" s="186" t="str">
        <f>IFERROR(Tab_Compteur_5[[#This Row],[Montant]]/Tab_Compteur_5[[#This Row],[Delta Jour]],"")</f>
        <v/>
      </c>
      <c r="I15" s="208" t="str">
        <f t="shared" si="1"/>
        <v/>
      </c>
      <c r="J15" s="209"/>
      <c r="K15" s="599"/>
      <c r="L15" s="599"/>
      <c r="M15" s="599"/>
    </row>
    <row r="16" spans="1:13">
      <c r="A16" s="3">
        <f t="shared" si="2"/>
        <v>1</v>
      </c>
      <c r="B16" s="87"/>
      <c r="C16" s="187"/>
      <c r="D16" s="188"/>
      <c r="E16" s="186"/>
      <c r="F16" s="186">
        <f t="shared" si="0"/>
        <v>0</v>
      </c>
      <c r="G16" s="186" t="str">
        <f>IF(IFERROR(IF(Str_TypeDonneesCpt5=Cpt_Index,Tab_Compteur_5[[#This Row],[Index]]-E15,Tab_Compteur_5[[#This Row],[Quantité]])/Tab_Compteur_5[[#This Row],[Delta Jour]],"")&lt;0,"",IFERROR(IF(Str_TypeDonneesCpt5=Cpt_Index,Tab_Compteur_5[[#This Row],[Index]]-E15,Tab_Compteur_5[[#This Row],[Quantité]])/Tab_Compteur_5[[#This Row],[Delta Jour]],""))</f>
        <v/>
      </c>
      <c r="H16" s="186" t="str">
        <f>IFERROR(Tab_Compteur_5[[#This Row],[Montant]]/Tab_Compteur_5[[#This Row],[Delta Jour]],"")</f>
        <v/>
      </c>
      <c r="I16" s="208" t="str">
        <f t="shared" si="1"/>
        <v/>
      </c>
      <c r="J16" s="209"/>
      <c r="K16" s="599"/>
      <c r="L16" s="599"/>
      <c r="M16" s="599"/>
    </row>
    <row r="17" spans="1:13">
      <c r="A17" s="3">
        <f t="shared" si="2"/>
        <v>1</v>
      </c>
      <c r="B17" s="87"/>
      <c r="C17" s="187"/>
      <c r="D17" s="188"/>
      <c r="E17" s="186"/>
      <c r="F17" s="186">
        <f t="shared" si="0"/>
        <v>0</v>
      </c>
      <c r="G17" s="186" t="str">
        <f>IF(IFERROR(IF(Str_TypeDonneesCpt5=Cpt_Index,Tab_Compteur_5[[#This Row],[Index]]-E16,Tab_Compteur_5[[#This Row],[Quantité]])/Tab_Compteur_5[[#This Row],[Delta Jour]],"")&lt;0,"",IFERROR(IF(Str_TypeDonneesCpt5=Cpt_Index,Tab_Compteur_5[[#This Row],[Index]]-E16,Tab_Compteur_5[[#This Row],[Quantité]])/Tab_Compteur_5[[#This Row],[Delta Jour]],""))</f>
        <v/>
      </c>
      <c r="H17" s="186" t="str">
        <f>IFERROR(Tab_Compteur_5[[#This Row],[Montant]]/Tab_Compteur_5[[#This Row],[Delta Jour]],"")</f>
        <v/>
      </c>
      <c r="I17" s="208" t="str">
        <f t="shared" si="1"/>
        <v/>
      </c>
      <c r="J17" s="209"/>
      <c r="K17" s="599"/>
      <c r="L17" s="599"/>
      <c r="M17" s="599"/>
    </row>
    <row r="18" spans="1:13">
      <c r="A18" s="3">
        <f t="shared" si="2"/>
        <v>1</v>
      </c>
      <c r="B18" s="87"/>
      <c r="C18" s="189"/>
      <c r="D18" s="188"/>
      <c r="E18" s="186"/>
      <c r="F18" s="186">
        <f t="shared" si="0"/>
        <v>0</v>
      </c>
      <c r="G18" s="186" t="str">
        <f>IF(IFERROR(IF(Str_TypeDonneesCpt5=Cpt_Index,Tab_Compteur_5[[#This Row],[Index]]-E17,Tab_Compteur_5[[#This Row],[Quantité]])/Tab_Compteur_5[[#This Row],[Delta Jour]],"")&lt;0,"",IFERROR(IF(Str_TypeDonneesCpt5=Cpt_Index,Tab_Compteur_5[[#This Row],[Index]]-E17,Tab_Compteur_5[[#This Row],[Quantité]])/Tab_Compteur_5[[#This Row],[Delta Jour]],""))</f>
        <v/>
      </c>
      <c r="H18" s="186" t="str">
        <f>IFERROR(Tab_Compteur_5[[#This Row],[Montant]]/Tab_Compteur_5[[#This Row],[Delta Jour]],"")</f>
        <v/>
      </c>
      <c r="I18" s="208" t="str">
        <f t="shared" si="1"/>
        <v/>
      </c>
      <c r="J18" s="209"/>
      <c r="K18" s="599"/>
      <c r="L18" s="599"/>
      <c r="M18" s="599"/>
    </row>
    <row r="19" spans="1:13">
      <c r="A19" s="3">
        <f t="shared" si="2"/>
        <v>1</v>
      </c>
      <c r="B19" s="87"/>
      <c r="C19" s="190"/>
      <c r="D19" s="191"/>
      <c r="E19" s="186"/>
      <c r="F19" s="186">
        <f t="shared" si="0"/>
        <v>0</v>
      </c>
      <c r="G19" s="186" t="str">
        <f>IF(IFERROR(IF(Str_TypeDonneesCpt5=Cpt_Index,Tab_Compteur_5[[#This Row],[Index]]-E18,Tab_Compteur_5[[#This Row],[Quantité]])/Tab_Compteur_5[[#This Row],[Delta Jour]],"")&lt;0,"",IFERROR(IF(Str_TypeDonneesCpt5=Cpt_Index,Tab_Compteur_5[[#This Row],[Index]]-E18,Tab_Compteur_5[[#This Row],[Quantité]])/Tab_Compteur_5[[#This Row],[Delta Jour]],""))</f>
        <v/>
      </c>
      <c r="H19" s="186" t="str">
        <f>IFERROR(Tab_Compteur_5[[#This Row],[Montant]]/Tab_Compteur_5[[#This Row],[Delta Jour]],"")</f>
        <v/>
      </c>
      <c r="I19" s="208" t="str">
        <f t="shared" si="1"/>
        <v/>
      </c>
      <c r="J19" s="209"/>
      <c r="K19" s="599"/>
      <c r="L19" s="599"/>
      <c r="M19" s="599"/>
    </row>
    <row r="20" spans="1:13">
      <c r="A20" s="3">
        <f t="shared" si="2"/>
        <v>1</v>
      </c>
      <c r="B20" s="87"/>
      <c r="C20" s="192"/>
      <c r="D20" s="191"/>
      <c r="E20" s="186"/>
      <c r="F20" s="186">
        <f t="shared" si="0"/>
        <v>0</v>
      </c>
      <c r="G20" s="186" t="str">
        <f>IF(IFERROR(IF(Str_TypeDonneesCpt5=Cpt_Index,Tab_Compteur_5[[#This Row],[Index]]-E19,Tab_Compteur_5[[#This Row],[Quantité]])/Tab_Compteur_5[[#This Row],[Delta Jour]],"")&lt;0,"",IFERROR(IF(Str_TypeDonneesCpt5=Cpt_Index,Tab_Compteur_5[[#This Row],[Index]]-E19,Tab_Compteur_5[[#This Row],[Quantité]])/Tab_Compteur_5[[#This Row],[Delta Jour]],""))</f>
        <v/>
      </c>
      <c r="H20" s="186" t="str">
        <f>IFERROR(Tab_Compteur_5[[#This Row],[Montant]]/Tab_Compteur_5[[#This Row],[Delta Jour]],"")</f>
        <v/>
      </c>
      <c r="I20" s="208" t="str">
        <f t="shared" si="1"/>
        <v/>
      </c>
      <c r="J20" s="209"/>
      <c r="K20" s="599"/>
      <c r="L20" s="599"/>
      <c r="M20" s="599"/>
    </row>
    <row r="21" spans="1:13">
      <c r="A21" s="3">
        <f t="shared" si="2"/>
        <v>1</v>
      </c>
      <c r="B21" s="87"/>
      <c r="C21" s="192"/>
      <c r="D21" s="191"/>
      <c r="E21" s="186"/>
      <c r="F21" s="186">
        <f t="shared" si="0"/>
        <v>0</v>
      </c>
      <c r="G21" s="186" t="str">
        <f>IF(IFERROR(IF(Str_TypeDonneesCpt5=Cpt_Index,Tab_Compteur_5[[#This Row],[Index]]-E20,Tab_Compteur_5[[#This Row],[Quantité]])/Tab_Compteur_5[[#This Row],[Delta Jour]],"")&lt;0,"",IFERROR(IF(Str_TypeDonneesCpt5=Cpt_Index,Tab_Compteur_5[[#This Row],[Index]]-E20,Tab_Compteur_5[[#This Row],[Quantité]])/Tab_Compteur_5[[#This Row],[Delta Jour]],""))</f>
        <v/>
      </c>
      <c r="H21" s="186" t="str">
        <f>IFERROR(Tab_Compteur_5[[#This Row],[Montant]]/Tab_Compteur_5[[#This Row],[Delta Jour]],"")</f>
        <v/>
      </c>
      <c r="I21" s="208" t="str">
        <f t="shared" si="1"/>
        <v/>
      </c>
      <c r="J21" s="209"/>
      <c r="K21" s="599"/>
      <c r="L21" s="599"/>
      <c r="M21" s="599"/>
    </row>
    <row r="22" spans="1:13">
      <c r="A22" s="3">
        <f t="shared" si="2"/>
        <v>1</v>
      </c>
      <c r="B22" s="87"/>
      <c r="C22" s="192"/>
      <c r="D22" s="191"/>
      <c r="E22" s="186"/>
      <c r="F22" s="186">
        <f t="shared" si="0"/>
        <v>0</v>
      </c>
      <c r="G22" s="186" t="str">
        <f>IF(IFERROR(IF(Str_TypeDonneesCpt5=Cpt_Index,Tab_Compteur_5[[#This Row],[Index]]-E21,Tab_Compteur_5[[#This Row],[Quantité]])/Tab_Compteur_5[[#This Row],[Delta Jour]],"")&lt;0,"",IFERROR(IF(Str_TypeDonneesCpt5=Cpt_Index,Tab_Compteur_5[[#This Row],[Index]]-E21,Tab_Compteur_5[[#This Row],[Quantité]])/Tab_Compteur_5[[#This Row],[Delta Jour]],""))</f>
        <v/>
      </c>
      <c r="H22" s="186" t="str">
        <f>IFERROR(Tab_Compteur_5[[#This Row],[Montant]]/Tab_Compteur_5[[#This Row],[Delta Jour]],"")</f>
        <v/>
      </c>
      <c r="I22" s="208" t="str">
        <f t="shared" si="1"/>
        <v/>
      </c>
      <c r="J22" s="209"/>
      <c r="K22" s="599"/>
      <c r="L22" s="599"/>
      <c r="M22" s="599"/>
    </row>
    <row r="23" spans="1:13">
      <c r="A23" s="3">
        <f t="shared" si="2"/>
        <v>1</v>
      </c>
      <c r="B23" s="87"/>
      <c r="C23" s="192"/>
      <c r="D23" s="191"/>
      <c r="E23" s="186"/>
      <c r="F23" s="186">
        <f t="shared" si="0"/>
        <v>0</v>
      </c>
      <c r="G23" s="186" t="str">
        <f>IF(IFERROR(IF(Str_TypeDonneesCpt5=Cpt_Index,Tab_Compteur_5[[#This Row],[Index]]-E22,Tab_Compteur_5[[#This Row],[Quantité]])/Tab_Compteur_5[[#This Row],[Delta Jour]],"")&lt;0,"",IFERROR(IF(Str_TypeDonneesCpt5=Cpt_Index,Tab_Compteur_5[[#This Row],[Index]]-E22,Tab_Compteur_5[[#This Row],[Quantité]])/Tab_Compteur_5[[#This Row],[Delta Jour]],""))</f>
        <v/>
      </c>
      <c r="H23" s="186" t="str">
        <f>IFERROR(Tab_Compteur_5[[#This Row],[Montant]]/Tab_Compteur_5[[#This Row],[Delta Jour]],"")</f>
        <v/>
      </c>
      <c r="I23" s="208" t="str">
        <f t="shared" si="1"/>
        <v/>
      </c>
      <c r="J23" s="209"/>
      <c r="K23" s="599"/>
      <c r="L23" s="599"/>
      <c r="M23" s="599"/>
    </row>
    <row r="24" spans="1:13">
      <c r="A24" s="3">
        <f t="shared" si="2"/>
        <v>1</v>
      </c>
      <c r="B24" s="87"/>
      <c r="C24" s="192"/>
      <c r="D24" s="191"/>
      <c r="E24" s="186"/>
      <c r="F24" s="186">
        <f t="shared" si="0"/>
        <v>0</v>
      </c>
      <c r="G24" s="186" t="str">
        <f>IF(IFERROR(IF(Str_TypeDonneesCpt5=Cpt_Index,Tab_Compteur_5[[#This Row],[Index]]-E23,Tab_Compteur_5[[#This Row],[Quantité]])/Tab_Compteur_5[[#This Row],[Delta Jour]],"")&lt;0,"",IFERROR(IF(Str_TypeDonneesCpt5=Cpt_Index,Tab_Compteur_5[[#This Row],[Index]]-E23,Tab_Compteur_5[[#This Row],[Quantité]])/Tab_Compteur_5[[#This Row],[Delta Jour]],""))</f>
        <v/>
      </c>
      <c r="H24" s="186" t="str">
        <f>IFERROR(Tab_Compteur_5[[#This Row],[Montant]]/Tab_Compteur_5[[#This Row],[Delta Jour]],"")</f>
        <v/>
      </c>
      <c r="I24" s="208" t="str">
        <f t="shared" si="1"/>
        <v/>
      </c>
      <c r="J24" s="209"/>
      <c r="K24" s="599"/>
      <c r="L24" s="599"/>
      <c r="M24" s="599"/>
    </row>
    <row r="25" spans="1:13">
      <c r="A25" s="3">
        <f t="shared" si="2"/>
        <v>1</v>
      </c>
      <c r="B25" s="87"/>
      <c r="C25" s="192"/>
      <c r="D25" s="191"/>
      <c r="E25" s="186"/>
      <c r="F25" s="186">
        <f t="shared" si="0"/>
        <v>0</v>
      </c>
      <c r="G25" s="186" t="str">
        <f>IF(IFERROR(IF(Str_TypeDonneesCpt5=Cpt_Index,Tab_Compteur_5[[#This Row],[Index]]-E24,Tab_Compteur_5[[#This Row],[Quantité]])/Tab_Compteur_5[[#This Row],[Delta Jour]],"")&lt;0,"",IFERROR(IF(Str_TypeDonneesCpt5=Cpt_Index,Tab_Compteur_5[[#This Row],[Index]]-E24,Tab_Compteur_5[[#This Row],[Quantité]])/Tab_Compteur_5[[#This Row],[Delta Jour]],""))</f>
        <v/>
      </c>
      <c r="H25" s="186" t="str">
        <f>IFERROR(Tab_Compteur_5[[#This Row],[Montant]]/Tab_Compteur_5[[#This Row],[Delta Jour]],"")</f>
        <v/>
      </c>
      <c r="I25" s="208" t="str">
        <f t="shared" si="1"/>
        <v/>
      </c>
      <c r="J25" s="209"/>
      <c r="K25" s="599"/>
      <c r="L25" s="599"/>
      <c r="M25" s="599"/>
    </row>
    <row r="26" spans="1:13">
      <c r="A26" s="3">
        <f t="shared" si="2"/>
        <v>1</v>
      </c>
      <c r="B26" s="87"/>
      <c r="C26" s="192"/>
      <c r="D26" s="191"/>
      <c r="E26" s="186"/>
      <c r="F26" s="186">
        <f t="shared" si="0"/>
        <v>0</v>
      </c>
      <c r="G26" s="186" t="str">
        <f>IF(IFERROR(IF(Str_TypeDonneesCpt5=Cpt_Index,Tab_Compteur_5[[#This Row],[Index]]-E25,Tab_Compteur_5[[#This Row],[Quantité]])/Tab_Compteur_5[[#This Row],[Delta Jour]],"")&lt;0,"",IFERROR(IF(Str_TypeDonneesCpt5=Cpt_Index,Tab_Compteur_5[[#This Row],[Index]]-E25,Tab_Compteur_5[[#This Row],[Quantité]])/Tab_Compteur_5[[#This Row],[Delta Jour]],""))</f>
        <v/>
      </c>
      <c r="H26" s="186" t="str">
        <f>IFERROR(Tab_Compteur_5[[#This Row],[Montant]]/Tab_Compteur_5[[#This Row],[Delta Jour]],"")</f>
        <v/>
      </c>
      <c r="I26" s="208" t="str">
        <f t="shared" si="1"/>
        <v/>
      </c>
      <c r="J26" s="209"/>
      <c r="K26" s="599"/>
      <c r="L26" s="599"/>
      <c r="M26" s="599"/>
    </row>
    <row r="27" spans="1:13">
      <c r="A27" s="3">
        <f t="shared" si="2"/>
        <v>1</v>
      </c>
      <c r="B27" s="87"/>
      <c r="C27" s="192"/>
      <c r="D27" s="191"/>
      <c r="E27" s="186"/>
      <c r="F27" s="186">
        <f t="shared" si="0"/>
        <v>0</v>
      </c>
      <c r="G27" s="186" t="str">
        <f>IF(IFERROR(IF(Str_TypeDonneesCpt5=Cpt_Index,Tab_Compteur_5[[#This Row],[Index]]-E26,Tab_Compteur_5[[#This Row],[Quantité]])/Tab_Compteur_5[[#This Row],[Delta Jour]],"")&lt;0,"",IFERROR(IF(Str_TypeDonneesCpt5=Cpt_Index,Tab_Compteur_5[[#This Row],[Index]]-E26,Tab_Compteur_5[[#This Row],[Quantité]])/Tab_Compteur_5[[#This Row],[Delta Jour]],""))</f>
        <v/>
      </c>
      <c r="H27" s="186" t="str">
        <f>IFERROR(Tab_Compteur_5[[#This Row],[Montant]]/Tab_Compteur_5[[#This Row],[Delta Jour]],"")</f>
        <v/>
      </c>
      <c r="I27" s="208" t="str">
        <f t="shared" si="1"/>
        <v/>
      </c>
      <c r="J27" s="209"/>
      <c r="K27" s="599"/>
      <c r="L27" s="599"/>
      <c r="M27" s="599"/>
    </row>
    <row r="28" spans="1:13">
      <c r="A28" s="3">
        <f t="shared" si="2"/>
        <v>1</v>
      </c>
      <c r="B28" s="87"/>
      <c r="C28" s="192"/>
      <c r="D28" s="191"/>
      <c r="E28" s="186"/>
      <c r="F28" s="186">
        <f t="shared" si="0"/>
        <v>0</v>
      </c>
      <c r="G28" s="186" t="str">
        <f>IF(IFERROR(IF(Str_TypeDonneesCpt5=Cpt_Index,Tab_Compteur_5[[#This Row],[Index]]-E27,Tab_Compteur_5[[#This Row],[Quantité]])/Tab_Compteur_5[[#This Row],[Delta Jour]],"")&lt;0,"",IFERROR(IF(Str_TypeDonneesCpt5=Cpt_Index,Tab_Compteur_5[[#This Row],[Index]]-E27,Tab_Compteur_5[[#This Row],[Quantité]])/Tab_Compteur_5[[#This Row],[Delta Jour]],""))</f>
        <v/>
      </c>
      <c r="H28" s="186" t="str">
        <f>IFERROR(Tab_Compteur_5[[#This Row],[Montant]]/Tab_Compteur_5[[#This Row],[Delta Jour]],"")</f>
        <v/>
      </c>
      <c r="I28" s="208" t="str">
        <f t="shared" si="1"/>
        <v/>
      </c>
      <c r="J28" s="209"/>
      <c r="K28" s="599"/>
      <c r="L28" s="599"/>
      <c r="M28" s="599"/>
    </row>
    <row r="29" spans="1:13">
      <c r="A29" s="3">
        <f t="shared" si="2"/>
        <v>1</v>
      </c>
      <c r="B29" s="87"/>
      <c r="C29" s="190"/>
      <c r="D29" s="191"/>
      <c r="E29" s="186"/>
      <c r="F29" s="186">
        <f t="shared" si="0"/>
        <v>0</v>
      </c>
      <c r="G29" s="186" t="str">
        <f>IF(IFERROR(IF(Str_TypeDonneesCpt5=Cpt_Index,Tab_Compteur_5[[#This Row],[Index]]-E28,Tab_Compteur_5[[#This Row],[Quantité]])/Tab_Compteur_5[[#This Row],[Delta Jour]],"")&lt;0,"",IFERROR(IF(Str_TypeDonneesCpt5=Cpt_Index,Tab_Compteur_5[[#This Row],[Index]]-E28,Tab_Compteur_5[[#This Row],[Quantité]])/Tab_Compteur_5[[#This Row],[Delta Jour]],""))</f>
        <v/>
      </c>
      <c r="H29" s="186" t="str">
        <f>IFERROR(Tab_Compteur_5[[#This Row],[Montant]]/Tab_Compteur_5[[#This Row],[Delta Jour]],"")</f>
        <v/>
      </c>
      <c r="I29" s="208" t="str">
        <f t="shared" si="1"/>
        <v/>
      </c>
      <c r="J29" s="209"/>
      <c r="K29" s="599"/>
      <c r="L29" s="599"/>
      <c r="M29" s="599"/>
    </row>
    <row r="30" spans="1:13">
      <c r="A30" s="3">
        <f t="shared" si="2"/>
        <v>1</v>
      </c>
      <c r="B30" s="87"/>
      <c r="C30" s="190"/>
      <c r="D30" s="191"/>
      <c r="E30" s="186"/>
      <c r="F30" s="186">
        <f t="shared" si="0"/>
        <v>0</v>
      </c>
      <c r="G30" s="186" t="str">
        <f>IF(IFERROR(IF(Str_TypeDonneesCpt5=Cpt_Index,Tab_Compteur_5[[#This Row],[Index]]-E29,Tab_Compteur_5[[#This Row],[Quantité]])/Tab_Compteur_5[[#This Row],[Delta Jour]],"")&lt;0,"",IFERROR(IF(Str_TypeDonneesCpt5=Cpt_Index,Tab_Compteur_5[[#This Row],[Index]]-E29,Tab_Compteur_5[[#This Row],[Quantité]])/Tab_Compteur_5[[#This Row],[Delta Jour]],""))</f>
        <v/>
      </c>
      <c r="H30" s="186" t="str">
        <f>IFERROR(Tab_Compteur_5[[#This Row],[Montant]]/Tab_Compteur_5[[#This Row],[Delta Jour]],"")</f>
        <v/>
      </c>
      <c r="I30" s="208" t="str">
        <f t="shared" si="1"/>
        <v/>
      </c>
      <c r="J30" s="209"/>
      <c r="K30" s="599"/>
      <c r="L30" s="599"/>
      <c r="M30" s="599"/>
    </row>
    <row r="31" spans="1:13">
      <c r="A31" s="3">
        <f t="shared" si="2"/>
        <v>1</v>
      </c>
      <c r="B31" s="87"/>
      <c r="C31" s="190"/>
      <c r="D31" s="191"/>
      <c r="E31" s="186"/>
      <c r="F31" s="186">
        <f t="shared" si="0"/>
        <v>0</v>
      </c>
      <c r="G31" s="186" t="str">
        <f>IF(IFERROR(IF(Str_TypeDonneesCpt5=Cpt_Index,Tab_Compteur_5[[#This Row],[Index]]-E30,Tab_Compteur_5[[#This Row],[Quantité]])/Tab_Compteur_5[[#This Row],[Delta Jour]],"")&lt;0,"",IFERROR(IF(Str_TypeDonneesCpt5=Cpt_Index,Tab_Compteur_5[[#This Row],[Index]]-E30,Tab_Compteur_5[[#This Row],[Quantité]])/Tab_Compteur_5[[#This Row],[Delta Jour]],""))</f>
        <v/>
      </c>
      <c r="H31" s="186" t="str">
        <f>IFERROR(Tab_Compteur_5[[#This Row],[Montant]]/Tab_Compteur_5[[#This Row],[Delta Jour]],"")</f>
        <v/>
      </c>
      <c r="I31" s="208" t="str">
        <f t="shared" si="1"/>
        <v/>
      </c>
      <c r="J31" s="209"/>
      <c r="K31" s="599"/>
      <c r="L31" s="599"/>
      <c r="M31" s="599"/>
    </row>
    <row r="32" spans="1:13">
      <c r="A32" s="3">
        <f t="shared" si="2"/>
        <v>1</v>
      </c>
      <c r="B32" s="87"/>
      <c r="C32" s="192"/>
      <c r="D32" s="191"/>
      <c r="E32" s="186"/>
      <c r="F32" s="186">
        <f t="shared" si="0"/>
        <v>0</v>
      </c>
      <c r="G32" s="186" t="str">
        <f>IF(IFERROR(IF(Str_TypeDonneesCpt5=Cpt_Index,Tab_Compteur_5[[#This Row],[Index]]-E31,Tab_Compteur_5[[#This Row],[Quantité]])/Tab_Compteur_5[[#This Row],[Delta Jour]],"")&lt;0,"",IFERROR(IF(Str_TypeDonneesCpt5=Cpt_Index,Tab_Compteur_5[[#This Row],[Index]]-E31,Tab_Compteur_5[[#This Row],[Quantité]])/Tab_Compteur_5[[#This Row],[Delta Jour]],""))</f>
        <v/>
      </c>
      <c r="H32" s="186" t="str">
        <f>IFERROR(Tab_Compteur_5[[#This Row],[Montant]]/Tab_Compteur_5[[#This Row],[Delta Jour]],"")</f>
        <v/>
      </c>
      <c r="I32" s="208" t="str">
        <f t="shared" si="1"/>
        <v/>
      </c>
      <c r="J32" s="209"/>
      <c r="K32" s="599"/>
      <c r="L32" s="599"/>
      <c r="M32" s="599"/>
    </row>
    <row r="33" spans="1:13">
      <c r="A33" s="3">
        <f t="shared" si="2"/>
        <v>1</v>
      </c>
      <c r="B33" s="87"/>
      <c r="C33" s="192"/>
      <c r="D33" s="191"/>
      <c r="E33" s="186"/>
      <c r="F33" s="186">
        <f t="shared" si="0"/>
        <v>0</v>
      </c>
      <c r="G33" s="186" t="str">
        <f>IF(IFERROR(IF(Str_TypeDonneesCpt5=Cpt_Index,Tab_Compteur_5[[#This Row],[Index]]-E32,Tab_Compteur_5[[#This Row],[Quantité]])/Tab_Compteur_5[[#This Row],[Delta Jour]],"")&lt;0,"",IFERROR(IF(Str_TypeDonneesCpt5=Cpt_Index,Tab_Compteur_5[[#This Row],[Index]]-E32,Tab_Compteur_5[[#This Row],[Quantité]])/Tab_Compteur_5[[#This Row],[Delta Jour]],""))</f>
        <v/>
      </c>
      <c r="H33" s="186" t="str">
        <f>IFERROR(Tab_Compteur_5[[#This Row],[Montant]]/Tab_Compteur_5[[#This Row],[Delta Jour]],"")</f>
        <v/>
      </c>
      <c r="I33" s="208" t="str">
        <f t="shared" si="1"/>
        <v/>
      </c>
      <c r="J33" s="209"/>
      <c r="K33" s="599"/>
      <c r="L33" s="599"/>
      <c r="M33" s="599"/>
    </row>
    <row r="34" spans="1:13">
      <c r="A34" s="3">
        <f t="shared" si="2"/>
        <v>1</v>
      </c>
      <c r="B34" s="87"/>
      <c r="C34" s="192"/>
      <c r="D34" s="191"/>
      <c r="E34" s="186"/>
      <c r="F34" s="186">
        <f t="shared" si="0"/>
        <v>0</v>
      </c>
      <c r="G34" s="186" t="str">
        <f>IF(IFERROR(IF(Str_TypeDonneesCpt5=Cpt_Index,Tab_Compteur_5[[#This Row],[Index]]-E33,Tab_Compteur_5[[#This Row],[Quantité]])/Tab_Compteur_5[[#This Row],[Delta Jour]],"")&lt;0,"",IFERROR(IF(Str_TypeDonneesCpt5=Cpt_Index,Tab_Compteur_5[[#This Row],[Index]]-E33,Tab_Compteur_5[[#This Row],[Quantité]])/Tab_Compteur_5[[#This Row],[Delta Jour]],""))</f>
        <v/>
      </c>
      <c r="H34" s="186" t="str">
        <f>IFERROR(Tab_Compteur_5[[#This Row],[Montant]]/Tab_Compteur_5[[#This Row],[Delta Jour]],"")</f>
        <v/>
      </c>
      <c r="I34" s="208" t="str">
        <f t="shared" si="1"/>
        <v/>
      </c>
      <c r="J34" s="209"/>
      <c r="K34" s="38"/>
      <c r="L34" s="38"/>
      <c r="M34" s="38"/>
    </row>
    <row r="35" spans="1:13">
      <c r="A35" s="3">
        <f t="shared" si="2"/>
        <v>1</v>
      </c>
      <c r="B35" s="87"/>
      <c r="C35" s="192"/>
      <c r="D35" s="191"/>
      <c r="E35" s="186"/>
      <c r="F35" s="186">
        <f t="shared" si="0"/>
        <v>0</v>
      </c>
      <c r="G35" s="186" t="str">
        <f>IF(IFERROR(IF(Str_TypeDonneesCpt5=Cpt_Index,Tab_Compteur_5[[#This Row],[Index]]-E34,Tab_Compteur_5[[#This Row],[Quantité]])/Tab_Compteur_5[[#This Row],[Delta Jour]],"")&lt;0,"",IFERROR(IF(Str_TypeDonneesCpt5=Cpt_Index,Tab_Compteur_5[[#This Row],[Index]]-E34,Tab_Compteur_5[[#This Row],[Quantité]])/Tab_Compteur_5[[#This Row],[Delta Jour]],""))</f>
        <v/>
      </c>
      <c r="H35" s="186" t="str">
        <f>IFERROR(Tab_Compteur_5[[#This Row],[Montant]]/Tab_Compteur_5[[#This Row],[Delta Jour]],"")</f>
        <v/>
      </c>
      <c r="I35" s="208" t="str">
        <f t="shared" si="1"/>
        <v/>
      </c>
      <c r="J35" s="209"/>
      <c r="K35" s="38"/>
      <c r="L35" s="38"/>
      <c r="M35" s="38"/>
    </row>
    <row r="36" spans="1:13">
      <c r="A36" s="3">
        <f t="shared" si="2"/>
        <v>1</v>
      </c>
      <c r="B36" s="87"/>
      <c r="C36" s="192"/>
      <c r="D36" s="191"/>
      <c r="E36" s="186"/>
      <c r="F36" s="186">
        <f t="shared" si="0"/>
        <v>0</v>
      </c>
      <c r="G36" s="186" t="str">
        <f>IF(IFERROR(IF(Str_TypeDonneesCpt5=Cpt_Index,Tab_Compteur_5[[#This Row],[Index]]-E35,Tab_Compteur_5[[#This Row],[Quantité]])/Tab_Compteur_5[[#This Row],[Delta Jour]],"")&lt;0,"",IFERROR(IF(Str_TypeDonneesCpt5=Cpt_Index,Tab_Compteur_5[[#This Row],[Index]]-E35,Tab_Compteur_5[[#This Row],[Quantité]])/Tab_Compteur_5[[#This Row],[Delta Jour]],""))</f>
        <v/>
      </c>
      <c r="H36" s="186" t="str">
        <f>IFERROR(Tab_Compteur_5[[#This Row],[Montant]]/Tab_Compteur_5[[#This Row],[Delta Jour]],"")</f>
        <v/>
      </c>
      <c r="I36" s="208" t="str">
        <f t="shared" si="1"/>
        <v/>
      </c>
      <c r="J36" s="209"/>
      <c r="K36" s="38"/>
      <c r="L36" s="38"/>
      <c r="M36" s="38"/>
    </row>
    <row r="37" spans="1:13">
      <c r="A37" s="3">
        <f t="shared" si="2"/>
        <v>1</v>
      </c>
      <c r="B37" s="87"/>
      <c r="C37" s="192"/>
      <c r="D37" s="191"/>
      <c r="E37" s="186"/>
      <c r="F37" s="186">
        <f t="shared" si="0"/>
        <v>0</v>
      </c>
      <c r="G37" s="186" t="str">
        <f>IF(IFERROR(IF(Str_TypeDonneesCpt5=Cpt_Index,Tab_Compteur_5[[#This Row],[Index]]-E36,Tab_Compteur_5[[#This Row],[Quantité]])/Tab_Compteur_5[[#This Row],[Delta Jour]],"")&lt;0,"",IFERROR(IF(Str_TypeDonneesCpt5=Cpt_Index,Tab_Compteur_5[[#This Row],[Index]]-E36,Tab_Compteur_5[[#This Row],[Quantité]])/Tab_Compteur_5[[#This Row],[Delta Jour]],""))</f>
        <v/>
      </c>
      <c r="H37" s="186" t="str">
        <f>IFERROR(Tab_Compteur_5[[#This Row],[Montant]]/Tab_Compteur_5[[#This Row],[Delta Jour]],"")</f>
        <v/>
      </c>
      <c r="I37" s="208" t="str">
        <f t="shared" si="1"/>
        <v/>
      </c>
      <c r="J37" s="209"/>
      <c r="K37" s="38"/>
      <c r="L37" s="38"/>
      <c r="M37" s="38"/>
    </row>
    <row r="38" spans="1:13">
      <c r="A38" s="3">
        <f t="shared" si="2"/>
        <v>1</v>
      </c>
      <c r="B38" s="87"/>
      <c r="C38" s="192"/>
      <c r="D38" s="191"/>
      <c r="E38" s="186"/>
      <c r="F38" s="186">
        <f t="shared" si="0"/>
        <v>0</v>
      </c>
      <c r="G38" s="186" t="str">
        <f>IF(IFERROR(IF(Str_TypeDonneesCpt5=Cpt_Index,Tab_Compteur_5[[#This Row],[Index]]-E37,Tab_Compteur_5[[#This Row],[Quantité]])/Tab_Compteur_5[[#This Row],[Delta Jour]],"")&lt;0,"",IFERROR(IF(Str_TypeDonneesCpt5=Cpt_Index,Tab_Compteur_5[[#This Row],[Index]]-E37,Tab_Compteur_5[[#This Row],[Quantité]])/Tab_Compteur_5[[#This Row],[Delta Jour]],""))</f>
        <v/>
      </c>
      <c r="H38" s="186" t="str">
        <f>IFERROR(Tab_Compteur_5[[#This Row],[Montant]]/Tab_Compteur_5[[#This Row],[Delta Jour]],"")</f>
        <v/>
      </c>
      <c r="I38" s="208" t="str">
        <f t="shared" si="1"/>
        <v/>
      </c>
      <c r="J38" s="209"/>
      <c r="K38" s="38"/>
      <c r="L38" s="38"/>
      <c r="M38" s="38"/>
    </row>
    <row r="39" spans="1:13">
      <c r="A39" s="3">
        <f t="shared" si="2"/>
        <v>1</v>
      </c>
      <c r="B39" s="87"/>
      <c r="C39" s="192"/>
      <c r="D39" s="193"/>
      <c r="E39" s="186"/>
      <c r="F39" s="186">
        <f t="shared" si="0"/>
        <v>0</v>
      </c>
      <c r="G39" s="186" t="str">
        <f>IF(IFERROR(IF(Str_TypeDonneesCpt5=Cpt_Index,Tab_Compteur_5[[#This Row],[Index]]-E38,Tab_Compteur_5[[#This Row],[Quantité]])/Tab_Compteur_5[[#This Row],[Delta Jour]],"")&lt;0,"",IFERROR(IF(Str_TypeDonneesCpt5=Cpt_Index,Tab_Compteur_5[[#This Row],[Index]]-E38,Tab_Compteur_5[[#This Row],[Quantité]])/Tab_Compteur_5[[#This Row],[Delta Jour]],""))</f>
        <v/>
      </c>
      <c r="H39" s="186" t="str">
        <f>IFERROR(Tab_Compteur_5[[#This Row],[Montant]]/Tab_Compteur_5[[#This Row],[Delta Jour]],"")</f>
        <v/>
      </c>
      <c r="I39" s="208" t="str">
        <f t="shared" si="1"/>
        <v/>
      </c>
      <c r="J39" s="209"/>
      <c r="K39" s="38"/>
      <c r="L39" s="38"/>
      <c r="M39" s="38"/>
    </row>
    <row r="40" spans="1:13">
      <c r="A40" s="3">
        <f t="shared" si="2"/>
        <v>1</v>
      </c>
      <c r="B40" s="87"/>
      <c r="C40" s="192"/>
      <c r="D40" s="193"/>
      <c r="E40" s="186"/>
      <c r="F40" s="186">
        <f t="shared" si="0"/>
        <v>0</v>
      </c>
      <c r="G40" s="186" t="str">
        <f>IF(IFERROR(IF(Str_TypeDonneesCpt5=Cpt_Index,Tab_Compteur_5[[#This Row],[Index]]-E39,Tab_Compteur_5[[#This Row],[Quantité]])/Tab_Compteur_5[[#This Row],[Delta Jour]],"")&lt;0,"",IFERROR(IF(Str_TypeDonneesCpt5=Cpt_Index,Tab_Compteur_5[[#This Row],[Index]]-E39,Tab_Compteur_5[[#This Row],[Quantité]])/Tab_Compteur_5[[#This Row],[Delta Jour]],""))</f>
        <v/>
      </c>
      <c r="H40" s="186" t="str">
        <f>IFERROR(Tab_Compteur_5[[#This Row],[Montant]]/Tab_Compteur_5[[#This Row],[Delta Jour]],"")</f>
        <v/>
      </c>
      <c r="I40" s="208" t="str">
        <f t="shared" si="1"/>
        <v/>
      </c>
      <c r="J40" s="209"/>
      <c r="K40" s="38"/>
      <c r="L40" s="38"/>
      <c r="M40" s="38"/>
    </row>
    <row r="41" spans="1:13">
      <c r="A41" s="3">
        <f t="shared" si="2"/>
        <v>1</v>
      </c>
      <c r="B41" s="87"/>
      <c r="C41" s="190"/>
      <c r="D41" s="193"/>
      <c r="E41" s="186"/>
      <c r="F41" s="186">
        <f t="shared" si="0"/>
        <v>0</v>
      </c>
      <c r="G41" s="186" t="str">
        <f>IF(IFERROR(IF(Str_TypeDonneesCpt5=Cpt_Index,Tab_Compteur_5[[#This Row],[Index]]-E40,Tab_Compteur_5[[#This Row],[Quantité]])/Tab_Compteur_5[[#This Row],[Delta Jour]],"")&lt;0,"",IFERROR(IF(Str_TypeDonneesCpt5=Cpt_Index,Tab_Compteur_5[[#This Row],[Index]]-E40,Tab_Compteur_5[[#This Row],[Quantité]])/Tab_Compteur_5[[#This Row],[Delta Jour]],""))</f>
        <v/>
      </c>
      <c r="H41" s="186" t="str">
        <f>IFERROR(Tab_Compteur_5[[#This Row],[Montant]]/Tab_Compteur_5[[#This Row],[Delta Jour]],"")</f>
        <v/>
      </c>
      <c r="I41" s="208" t="str">
        <f t="shared" si="1"/>
        <v/>
      </c>
      <c r="J41" s="209"/>
      <c r="K41" s="38"/>
      <c r="L41" s="38"/>
      <c r="M41" s="38"/>
    </row>
    <row r="42" spans="1:13">
      <c r="A42" s="3">
        <f t="shared" si="2"/>
        <v>1</v>
      </c>
      <c r="B42" s="87"/>
      <c r="C42" s="190"/>
      <c r="D42" s="193"/>
      <c r="E42" s="186"/>
      <c r="F42" s="186">
        <f t="shared" si="0"/>
        <v>0</v>
      </c>
      <c r="G42" s="186" t="str">
        <f>IF(IFERROR(IF(Str_TypeDonneesCpt5=Cpt_Index,Tab_Compteur_5[[#This Row],[Index]]-E41,Tab_Compteur_5[[#This Row],[Quantité]])/Tab_Compteur_5[[#This Row],[Delta Jour]],"")&lt;0,"",IFERROR(IF(Str_TypeDonneesCpt5=Cpt_Index,Tab_Compteur_5[[#This Row],[Index]]-E41,Tab_Compteur_5[[#This Row],[Quantité]])/Tab_Compteur_5[[#This Row],[Delta Jour]],""))</f>
        <v/>
      </c>
      <c r="H42" s="186" t="str">
        <f>IFERROR(Tab_Compteur_5[[#This Row],[Montant]]/Tab_Compteur_5[[#This Row],[Delta Jour]],"")</f>
        <v/>
      </c>
      <c r="I42" s="208" t="str">
        <f t="shared" si="1"/>
        <v/>
      </c>
      <c r="J42" s="209"/>
      <c r="K42" s="38"/>
      <c r="L42" s="38"/>
      <c r="M42" s="38"/>
    </row>
    <row r="43" spans="1:13">
      <c r="A43" s="3">
        <f t="shared" si="2"/>
        <v>1</v>
      </c>
      <c r="B43" s="87"/>
      <c r="C43" s="192"/>
      <c r="D43" s="193"/>
      <c r="E43" s="186"/>
      <c r="F43" s="186">
        <f t="shared" si="0"/>
        <v>0</v>
      </c>
      <c r="G43" s="186" t="str">
        <f>IF(IFERROR(IF(Str_TypeDonneesCpt5=Cpt_Index,Tab_Compteur_5[[#This Row],[Index]]-E42,Tab_Compteur_5[[#This Row],[Quantité]])/Tab_Compteur_5[[#This Row],[Delta Jour]],"")&lt;0,"",IFERROR(IF(Str_TypeDonneesCpt5=Cpt_Index,Tab_Compteur_5[[#This Row],[Index]]-E42,Tab_Compteur_5[[#This Row],[Quantité]])/Tab_Compteur_5[[#This Row],[Delta Jour]],""))</f>
        <v/>
      </c>
      <c r="H43" s="186" t="str">
        <f>IFERROR(Tab_Compteur_5[[#This Row],[Montant]]/Tab_Compteur_5[[#This Row],[Delta Jour]],"")</f>
        <v/>
      </c>
      <c r="I43" s="208" t="str">
        <f t="shared" si="1"/>
        <v/>
      </c>
      <c r="J43" s="209"/>
      <c r="K43" s="38"/>
      <c r="L43" s="38"/>
      <c r="M43" s="38"/>
    </row>
    <row r="44" spans="1:13">
      <c r="A44" s="3">
        <f t="shared" si="2"/>
        <v>1</v>
      </c>
      <c r="B44" s="87"/>
      <c r="C44" s="192"/>
      <c r="D44" s="193"/>
      <c r="E44" s="186"/>
      <c r="F44" s="186">
        <f t="shared" si="0"/>
        <v>0</v>
      </c>
      <c r="G44" s="186" t="str">
        <f>IF(IFERROR(IF(Str_TypeDonneesCpt5=Cpt_Index,Tab_Compteur_5[[#This Row],[Index]]-E43,Tab_Compteur_5[[#This Row],[Quantité]])/Tab_Compteur_5[[#This Row],[Delta Jour]],"")&lt;0,"",IFERROR(IF(Str_TypeDonneesCpt5=Cpt_Index,Tab_Compteur_5[[#This Row],[Index]]-E43,Tab_Compteur_5[[#This Row],[Quantité]])/Tab_Compteur_5[[#This Row],[Delta Jour]],""))</f>
        <v/>
      </c>
      <c r="H44" s="186" t="str">
        <f>IFERROR(Tab_Compteur_5[[#This Row],[Montant]]/Tab_Compteur_5[[#This Row],[Delta Jour]],"")</f>
        <v/>
      </c>
      <c r="I44" s="208" t="str">
        <f t="shared" si="1"/>
        <v/>
      </c>
      <c r="J44" s="209"/>
      <c r="K44" s="38"/>
      <c r="L44" s="38"/>
      <c r="M44" s="38"/>
    </row>
    <row r="45" spans="1:13">
      <c r="A45" s="3">
        <f t="shared" si="2"/>
        <v>1</v>
      </c>
      <c r="B45" s="87"/>
      <c r="C45" s="192"/>
      <c r="D45" s="193"/>
      <c r="E45" s="186"/>
      <c r="F45" s="186">
        <f t="shared" si="0"/>
        <v>0</v>
      </c>
      <c r="G45" s="186" t="str">
        <f>IF(IFERROR(IF(Str_TypeDonneesCpt5=Cpt_Index,Tab_Compteur_5[[#This Row],[Index]]-E44,Tab_Compteur_5[[#This Row],[Quantité]])/Tab_Compteur_5[[#This Row],[Delta Jour]],"")&lt;0,"",IFERROR(IF(Str_TypeDonneesCpt5=Cpt_Index,Tab_Compteur_5[[#This Row],[Index]]-E44,Tab_Compteur_5[[#This Row],[Quantité]])/Tab_Compteur_5[[#This Row],[Delta Jour]],""))</f>
        <v/>
      </c>
      <c r="H45" s="186" t="str">
        <f>IFERROR(Tab_Compteur_5[[#This Row],[Montant]]/Tab_Compteur_5[[#This Row],[Delta Jour]],"")</f>
        <v/>
      </c>
      <c r="I45" s="208" t="str">
        <f t="shared" si="1"/>
        <v/>
      </c>
      <c r="J45" s="209"/>
      <c r="K45" s="38"/>
      <c r="L45" s="38"/>
      <c r="M45" s="38"/>
    </row>
    <row r="46" spans="1:13">
      <c r="A46" s="3">
        <f t="shared" si="2"/>
        <v>1</v>
      </c>
      <c r="B46" s="87"/>
      <c r="C46" s="192"/>
      <c r="D46" s="193"/>
      <c r="E46" s="186"/>
      <c r="F46" s="186">
        <f t="shared" si="0"/>
        <v>0</v>
      </c>
      <c r="G46" s="186" t="str">
        <f>IF(IFERROR(IF(Str_TypeDonneesCpt5=Cpt_Index,Tab_Compteur_5[[#This Row],[Index]]-E45,Tab_Compteur_5[[#This Row],[Quantité]])/Tab_Compteur_5[[#This Row],[Delta Jour]],"")&lt;0,"",IFERROR(IF(Str_TypeDonneesCpt5=Cpt_Index,Tab_Compteur_5[[#This Row],[Index]]-E45,Tab_Compteur_5[[#This Row],[Quantité]])/Tab_Compteur_5[[#This Row],[Delta Jour]],""))</f>
        <v/>
      </c>
      <c r="H46" s="186" t="str">
        <f>IFERROR(Tab_Compteur_5[[#This Row],[Montant]]/Tab_Compteur_5[[#This Row],[Delta Jour]],"")</f>
        <v/>
      </c>
      <c r="I46" s="208" t="str">
        <f t="shared" si="1"/>
        <v/>
      </c>
      <c r="J46" s="209"/>
      <c r="K46" s="38"/>
      <c r="L46" s="38"/>
      <c r="M46" s="38"/>
    </row>
    <row r="47" spans="1:13">
      <c r="A47" s="3">
        <f t="shared" si="2"/>
        <v>1</v>
      </c>
      <c r="B47" s="87"/>
      <c r="C47" s="192"/>
      <c r="D47" s="193"/>
      <c r="E47" s="186"/>
      <c r="F47" s="186">
        <f t="shared" si="0"/>
        <v>0</v>
      </c>
      <c r="G47" s="186" t="str">
        <f>IF(IFERROR(IF(Str_TypeDonneesCpt5=Cpt_Index,Tab_Compteur_5[[#This Row],[Index]]-E46,Tab_Compteur_5[[#This Row],[Quantité]])/Tab_Compteur_5[[#This Row],[Delta Jour]],"")&lt;0,"",IFERROR(IF(Str_TypeDonneesCpt5=Cpt_Index,Tab_Compteur_5[[#This Row],[Index]]-E46,Tab_Compteur_5[[#This Row],[Quantité]])/Tab_Compteur_5[[#This Row],[Delta Jour]],""))</f>
        <v/>
      </c>
      <c r="H47" s="186" t="str">
        <f>IFERROR(Tab_Compteur_5[[#This Row],[Montant]]/Tab_Compteur_5[[#This Row],[Delta Jour]],"")</f>
        <v/>
      </c>
      <c r="I47" s="208" t="str">
        <f t="shared" si="1"/>
        <v/>
      </c>
      <c r="J47" s="209"/>
      <c r="K47" s="38"/>
      <c r="L47" s="38"/>
      <c r="M47" s="38"/>
    </row>
    <row r="48" spans="1:13">
      <c r="A48" s="3">
        <f t="shared" si="2"/>
        <v>1</v>
      </c>
      <c r="B48" s="87"/>
      <c r="C48" s="192"/>
      <c r="D48" s="193"/>
      <c r="E48" s="186"/>
      <c r="F48" s="186">
        <f t="shared" si="0"/>
        <v>0</v>
      </c>
      <c r="G48" s="186" t="str">
        <f>IF(IFERROR(IF(Str_TypeDonneesCpt5=Cpt_Index,Tab_Compteur_5[[#This Row],[Index]]-E47,Tab_Compteur_5[[#This Row],[Quantité]])/Tab_Compteur_5[[#This Row],[Delta Jour]],"")&lt;0,"",IFERROR(IF(Str_TypeDonneesCpt5=Cpt_Index,Tab_Compteur_5[[#This Row],[Index]]-E47,Tab_Compteur_5[[#This Row],[Quantité]])/Tab_Compteur_5[[#This Row],[Delta Jour]],""))</f>
        <v/>
      </c>
      <c r="H48" s="186" t="str">
        <f>IFERROR(Tab_Compteur_5[[#This Row],[Montant]]/Tab_Compteur_5[[#This Row],[Delta Jour]],"")</f>
        <v/>
      </c>
      <c r="I48" s="208" t="str">
        <f t="shared" si="1"/>
        <v/>
      </c>
      <c r="J48" s="209"/>
      <c r="K48" s="38"/>
      <c r="L48" s="38"/>
      <c r="M48" s="38"/>
    </row>
    <row r="49" spans="1:13">
      <c r="A49" s="3">
        <f t="shared" si="2"/>
        <v>1</v>
      </c>
      <c r="B49" s="87"/>
      <c r="C49" s="192"/>
      <c r="D49" s="193"/>
      <c r="E49" s="186"/>
      <c r="F49" s="186">
        <f t="shared" si="0"/>
        <v>0</v>
      </c>
      <c r="G49" s="186" t="str">
        <f>IF(IFERROR(IF(Str_TypeDonneesCpt5=Cpt_Index,Tab_Compteur_5[[#This Row],[Index]]-E48,Tab_Compteur_5[[#This Row],[Quantité]])/Tab_Compteur_5[[#This Row],[Delta Jour]],"")&lt;0,"",IFERROR(IF(Str_TypeDonneesCpt5=Cpt_Index,Tab_Compteur_5[[#This Row],[Index]]-E48,Tab_Compteur_5[[#This Row],[Quantité]])/Tab_Compteur_5[[#This Row],[Delta Jour]],""))</f>
        <v/>
      </c>
      <c r="H49" s="186" t="str">
        <f>IFERROR(Tab_Compteur_5[[#This Row],[Montant]]/Tab_Compteur_5[[#This Row],[Delta Jour]],"")</f>
        <v/>
      </c>
      <c r="I49" s="208" t="str">
        <f t="shared" si="1"/>
        <v/>
      </c>
      <c r="J49" s="209"/>
      <c r="K49" s="38"/>
      <c r="L49" s="38"/>
      <c r="M49" s="38"/>
    </row>
    <row r="50" spans="1:13">
      <c r="A50" s="3">
        <f t="shared" si="2"/>
        <v>1</v>
      </c>
      <c r="B50" s="87"/>
      <c r="C50" s="192"/>
      <c r="D50" s="193"/>
      <c r="E50" s="186"/>
      <c r="F50" s="186">
        <f t="shared" si="0"/>
        <v>0</v>
      </c>
      <c r="G50" s="186" t="str">
        <f>IF(IFERROR(IF(Str_TypeDonneesCpt5=Cpt_Index,Tab_Compteur_5[[#This Row],[Index]]-E49,Tab_Compteur_5[[#This Row],[Quantité]])/Tab_Compteur_5[[#This Row],[Delta Jour]],"")&lt;0,"",IFERROR(IF(Str_TypeDonneesCpt5=Cpt_Index,Tab_Compteur_5[[#This Row],[Index]]-E49,Tab_Compteur_5[[#This Row],[Quantité]])/Tab_Compteur_5[[#This Row],[Delta Jour]],""))</f>
        <v/>
      </c>
      <c r="H50" s="186" t="str">
        <f>IFERROR(Tab_Compteur_5[[#This Row],[Montant]]/Tab_Compteur_5[[#This Row],[Delta Jour]],"")</f>
        <v/>
      </c>
      <c r="I50" s="208" t="str">
        <f t="shared" si="1"/>
        <v/>
      </c>
      <c r="J50" s="209"/>
      <c r="K50" s="38"/>
      <c r="L50" s="38"/>
      <c r="M50" s="38"/>
    </row>
    <row r="51" spans="1:13">
      <c r="A51" s="3">
        <f t="shared" si="2"/>
        <v>1</v>
      </c>
      <c r="B51" s="87"/>
      <c r="C51" s="192"/>
      <c r="D51" s="193"/>
      <c r="E51" s="186"/>
      <c r="F51" s="186">
        <f t="shared" si="0"/>
        <v>0</v>
      </c>
      <c r="G51" s="186" t="str">
        <f>IF(IFERROR(IF(Str_TypeDonneesCpt5=Cpt_Index,Tab_Compteur_5[[#This Row],[Index]]-E50,Tab_Compteur_5[[#This Row],[Quantité]])/Tab_Compteur_5[[#This Row],[Delta Jour]],"")&lt;0,"",IFERROR(IF(Str_TypeDonneesCpt5=Cpt_Index,Tab_Compteur_5[[#This Row],[Index]]-E50,Tab_Compteur_5[[#This Row],[Quantité]])/Tab_Compteur_5[[#This Row],[Delta Jour]],""))</f>
        <v/>
      </c>
      <c r="H51" s="186" t="str">
        <f>IFERROR(Tab_Compteur_5[[#This Row],[Montant]]/Tab_Compteur_5[[#This Row],[Delta Jour]],"")</f>
        <v/>
      </c>
      <c r="I51" s="208" t="str">
        <f t="shared" si="1"/>
        <v/>
      </c>
      <c r="J51" s="209"/>
      <c r="K51" s="38"/>
      <c r="L51" s="38"/>
      <c r="M51" s="38"/>
    </row>
    <row r="52" spans="1:13">
      <c r="A52" s="3">
        <f t="shared" si="2"/>
        <v>1</v>
      </c>
      <c r="B52" s="87"/>
      <c r="C52" s="190"/>
      <c r="D52" s="193"/>
      <c r="E52" s="186"/>
      <c r="F52" s="186">
        <f t="shared" si="0"/>
        <v>0</v>
      </c>
      <c r="G52" s="186" t="str">
        <f>IF(IFERROR(IF(Str_TypeDonneesCpt5=Cpt_Index,Tab_Compteur_5[[#This Row],[Index]]-E51,Tab_Compteur_5[[#This Row],[Quantité]])/Tab_Compteur_5[[#This Row],[Delta Jour]],"")&lt;0,"",IFERROR(IF(Str_TypeDonneesCpt5=Cpt_Index,Tab_Compteur_5[[#This Row],[Index]]-E51,Tab_Compteur_5[[#This Row],[Quantité]])/Tab_Compteur_5[[#This Row],[Delta Jour]],""))</f>
        <v/>
      </c>
      <c r="H52" s="186" t="str">
        <f>IFERROR(Tab_Compteur_5[[#This Row],[Montant]]/Tab_Compteur_5[[#This Row],[Delta Jour]],"")</f>
        <v/>
      </c>
      <c r="I52" s="208" t="str">
        <f t="shared" si="1"/>
        <v/>
      </c>
      <c r="J52" s="209"/>
      <c r="K52" s="38"/>
      <c r="L52" s="38"/>
      <c r="M52" s="38"/>
    </row>
    <row r="53" spans="1:13">
      <c r="A53" s="3">
        <f t="shared" si="2"/>
        <v>1</v>
      </c>
      <c r="B53" s="87"/>
      <c r="C53" s="190"/>
      <c r="D53" s="193"/>
      <c r="E53" s="186"/>
      <c r="F53" s="186">
        <f t="shared" si="0"/>
        <v>0</v>
      </c>
      <c r="G53" s="186" t="str">
        <f>IF(IFERROR(IF(Str_TypeDonneesCpt5=Cpt_Index,Tab_Compteur_5[[#This Row],[Index]]-E52,Tab_Compteur_5[[#This Row],[Quantité]])/Tab_Compteur_5[[#This Row],[Delta Jour]],"")&lt;0,"",IFERROR(IF(Str_TypeDonneesCpt5=Cpt_Index,Tab_Compteur_5[[#This Row],[Index]]-E52,Tab_Compteur_5[[#This Row],[Quantité]])/Tab_Compteur_5[[#This Row],[Delta Jour]],""))</f>
        <v/>
      </c>
      <c r="H53" s="186" t="str">
        <f>IFERROR(Tab_Compteur_5[[#This Row],[Montant]]/Tab_Compteur_5[[#This Row],[Delta Jour]],"")</f>
        <v/>
      </c>
      <c r="I53" s="208" t="str">
        <f t="shared" si="1"/>
        <v/>
      </c>
      <c r="J53" s="209"/>
      <c r="K53" s="38"/>
      <c r="L53" s="38"/>
      <c r="M53" s="38"/>
    </row>
    <row r="54" spans="1:13">
      <c r="A54" s="3">
        <f t="shared" si="2"/>
        <v>1</v>
      </c>
      <c r="B54" s="87"/>
      <c r="C54" s="190"/>
      <c r="D54" s="193"/>
      <c r="E54" s="186"/>
      <c r="F54" s="186">
        <f t="shared" si="0"/>
        <v>0</v>
      </c>
      <c r="G54" s="186" t="str">
        <f>IF(IFERROR(IF(Str_TypeDonneesCpt5=Cpt_Index,Tab_Compteur_5[[#This Row],[Index]]-E53,Tab_Compteur_5[[#This Row],[Quantité]])/Tab_Compteur_5[[#This Row],[Delta Jour]],"")&lt;0,"",IFERROR(IF(Str_TypeDonneesCpt5=Cpt_Index,Tab_Compteur_5[[#This Row],[Index]]-E53,Tab_Compteur_5[[#This Row],[Quantité]])/Tab_Compteur_5[[#This Row],[Delta Jour]],""))</f>
        <v/>
      </c>
      <c r="H54" s="186" t="str">
        <f>IFERROR(Tab_Compteur_5[[#This Row],[Montant]]/Tab_Compteur_5[[#This Row],[Delta Jour]],"")</f>
        <v/>
      </c>
      <c r="I54" s="208" t="str">
        <f t="shared" si="1"/>
        <v/>
      </c>
      <c r="J54" s="209"/>
      <c r="K54" s="38"/>
      <c r="L54" s="38"/>
      <c r="M54" s="38"/>
    </row>
    <row r="55" spans="1:13">
      <c r="A55" s="3">
        <f t="shared" si="2"/>
        <v>1</v>
      </c>
      <c r="B55" s="87"/>
      <c r="C55" s="192"/>
      <c r="D55" s="193"/>
      <c r="E55" s="186"/>
      <c r="F55" s="186">
        <f t="shared" si="0"/>
        <v>0</v>
      </c>
      <c r="G55" s="186" t="str">
        <f>IF(IFERROR(IF(Str_TypeDonneesCpt5=Cpt_Index,Tab_Compteur_5[[#This Row],[Index]]-E54,Tab_Compteur_5[[#This Row],[Quantité]])/Tab_Compteur_5[[#This Row],[Delta Jour]],"")&lt;0,"",IFERROR(IF(Str_TypeDonneesCpt5=Cpt_Index,Tab_Compteur_5[[#This Row],[Index]]-E54,Tab_Compteur_5[[#This Row],[Quantité]])/Tab_Compteur_5[[#This Row],[Delta Jour]],""))</f>
        <v/>
      </c>
      <c r="H55" s="186" t="str">
        <f>IFERROR(Tab_Compteur_5[[#This Row],[Montant]]/Tab_Compteur_5[[#This Row],[Delta Jour]],"")</f>
        <v/>
      </c>
      <c r="I55" s="208" t="str">
        <f t="shared" si="1"/>
        <v/>
      </c>
      <c r="J55" s="209"/>
      <c r="K55" s="38"/>
      <c r="L55" s="38"/>
      <c r="M55" s="38"/>
    </row>
    <row r="56" spans="1:13">
      <c r="A56" s="3">
        <f t="shared" si="2"/>
        <v>1</v>
      </c>
      <c r="B56" s="87"/>
      <c r="C56" s="192"/>
      <c r="D56" s="193"/>
      <c r="E56" s="186"/>
      <c r="F56" s="186">
        <f t="shared" si="0"/>
        <v>0</v>
      </c>
      <c r="G56" s="186" t="str">
        <f>IF(IFERROR(IF(Str_TypeDonneesCpt5=Cpt_Index,Tab_Compteur_5[[#This Row],[Index]]-E55,Tab_Compteur_5[[#This Row],[Quantité]])/Tab_Compteur_5[[#This Row],[Delta Jour]],"")&lt;0,"",IFERROR(IF(Str_TypeDonneesCpt5=Cpt_Index,Tab_Compteur_5[[#This Row],[Index]]-E55,Tab_Compteur_5[[#This Row],[Quantité]])/Tab_Compteur_5[[#This Row],[Delta Jour]],""))</f>
        <v/>
      </c>
      <c r="H56" s="186" t="str">
        <f>IFERROR(Tab_Compteur_5[[#This Row],[Montant]]/Tab_Compteur_5[[#This Row],[Delta Jour]],"")</f>
        <v/>
      </c>
      <c r="I56" s="208" t="str">
        <f t="shared" si="1"/>
        <v/>
      </c>
      <c r="J56" s="209"/>
      <c r="K56" s="38"/>
      <c r="L56" s="38"/>
      <c r="M56" s="38"/>
    </row>
    <row r="57" spans="1:13">
      <c r="A57" s="3">
        <f t="shared" si="2"/>
        <v>1</v>
      </c>
      <c r="B57" s="87"/>
      <c r="C57" s="192"/>
      <c r="D57" s="193"/>
      <c r="E57" s="186"/>
      <c r="F57" s="186">
        <f t="shared" si="0"/>
        <v>0</v>
      </c>
      <c r="G57" s="186" t="str">
        <f>IF(IFERROR(IF(Str_TypeDonneesCpt5=Cpt_Index,Tab_Compteur_5[[#This Row],[Index]]-E56,Tab_Compteur_5[[#This Row],[Quantité]])/Tab_Compteur_5[[#This Row],[Delta Jour]],"")&lt;0,"",IFERROR(IF(Str_TypeDonneesCpt5=Cpt_Index,Tab_Compteur_5[[#This Row],[Index]]-E56,Tab_Compteur_5[[#This Row],[Quantité]])/Tab_Compteur_5[[#This Row],[Delta Jour]],""))</f>
        <v/>
      </c>
      <c r="H57" s="186" t="str">
        <f>IFERROR(Tab_Compteur_5[[#This Row],[Montant]]/Tab_Compteur_5[[#This Row],[Delta Jour]],"")</f>
        <v/>
      </c>
      <c r="I57" s="208" t="str">
        <f t="shared" si="1"/>
        <v/>
      </c>
      <c r="J57" s="209"/>
      <c r="K57" s="38"/>
      <c r="L57" s="38"/>
      <c r="M57" s="38"/>
    </row>
    <row r="58" spans="1:13">
      <c r="A58" s="3">
        <f t="shared" si="2"/>
        <v>1</v>
      </c>
      <c r="B58" s="87"/>
      <c r="C58" s="192"/>
      <c r="D58" s="193"/>
      <c r="E58" s="186"/>
      <c r="F58" s="186">
        <f t="shared" si="0"/>
        <v>0</v>
      </c>
      <c r="G58" s="186" t="str">
        <f>IF(IFERROR(IF(Str_TypeDonneesCpt5=Cpt_Index,Tab_Compteur_5[[#This Row],[Index]]-E57,Tab_Compteur_5[[#This Row],[Quantité]])/Tab_Compteur_5[[#This Row],[Delta Jour]],"")&lt;0,"",IFERROR(IF(Str_TypeDonneesCpt5=Cpt_Index,Tab_Compteur_5[[#This Row],[Index]]-E57,Tab_Compteur_5[[#This Row],[Quantité]])/Tab_Compteur_5[[#This Row],[Delta Jour]],""))</f>
        <v/>
      </c>
      <c r="H58" s="186" t="str">
        <f>IFERROR(Tab_Compteur_5[[#This Row],[Montant]]/Tab_Compteur_5[[#This Row],[Delta Jour]],"")</f>
        <v/>
      </c>
      <c r="I58" s="208" t="str">
        <f t="shared" si="1"/>
        <v/>
      </c>
      <c r="J58" s="209"/>
      <c r="K58" s="38"/>
      <c r="L58" s="38"/>
      <c r="M58" s="38"/>
    </row>
    <row r="59" spans="1:13">
      <c r="A59" s="3">
        <f t="shared" si="2"/>
        <v>1</v>
      </c>
      <c r="B59" s="87"/>
      <c r="C59" s="192"/>
      <c r="D59" s="193"/>
      <c r="E59" s="186"/>
      <c r="F59" s="186">
        <f t="shared" si="0"/>
        <v>0</v>
      </c>
      <c r="G59" s="186" t="str">
        <f>IF(IFERROR(IF(Str_TypeDonneesCpt5=Cpt_Index,Tab_Compteur_5[[#This Row],[Index]]-E58,Tab_Compteur_5[[#This Row],[Quantité]])/Tab_Compteur_5[[#This Row],[Delta Jour]],"")&lt;0,"",IFERROR(IF(Str_TypeDonneesCpt5=Cpt_Index,Tab_Compteur_5[[#This Row],[Index]]-E58,Tab_Compteur_5[[#This Row],[Quantité]])/Tab_Compteur_5[[#This Row],[Delta Jour]],""))</f>
        <v/>
      </c>
      <c r="H59" s="186" t="str">
        <f>IFERROR(Tab_Compteur_5[[#This Row],[Montant]]/Tab_Compteur_5[[#This Row],[Delta Jour]],"")</f>
        <v/>
      </c>
      <c r="I59" s="208" t="str">
        <f t="shared" si="1"/>
        <v/>
      </c>
      <c r="J59" s="209"/>
      <c r="K59" s="38"/>
      <c r="L59" s="38"/>
      <c r="M59" s="38"/>
    </row>
    <row r="60" spans="1:13">
      <c r="A60" s="3">
        <f t="shared" si="2"/>
        <v>1</v>
      </c>
      <c r="B60" s="87"/>
      <c r="C60" s="189"/>
      <c r="D60" s="188"/>
      <c r="E60" s="186"/>
      <c r="F60" s="186">
        <f t="shared" si="0"/>
        <v>0</v>
      </c>
      <c r="G60" s="186" t="str">
        <f>IF(IFERROR(IF(Str_TypeDonneesCpt5=Cpt_Index,Tab_Compteur_5[[#This Row],[Index]]-E59,Tab_Compteur_5[[#This Row],[Quantité]])/Tab_Compteur_5[[#This Row],[Delta Jour]],"")&lt;0,"",IFERROR(IF(Str_TypeDonneesCpt5=Cpt_Index,Tab_Compteur_5[[#This Row],[Index]]-E59,Tab_Compteur_5[[#This Row],[Quantité]])/Tab_Compteur_5[[#This Row],[Delta Jour]],""))</f>
        <v/>
      </c>
      <c r="H60" s="186" t="str">
        <f>IFERROR(Tab_Compteur_5[[#This Row],[Montant]]/Tab_Compteur_5[[#This Row],[Delta Jour]],"")</f>
        <v/>
      </c>
      <c r="I60" s="208" t="str">
        <f t="shared" si="1"/>
        <v/>
      </c>
      <c r="J60" s="209"/>
      <c r="K60" s="38"/>
      <c r="L60" s="38"/>
      <c r="M60" s="38"/>
    </row>
    <row r="61" spans="1:13">
      <c r="A61" s="3">
        <f t="shared" si="2"/>
        <v>1</v>
      </c>
      <c r="B61" s="87"/>
      <c r="C61" s="189"/>
      <c r="D61" s="188"/>
      <c r="E61" s="186"/>
      <c r="F61" s="186">
        <f t="shared" si="0"/>
        <v>0</v>
      </c>
      <c r="G61" s="186" t="str">
        <f>IF(IFERROR(IF(Str_TypeDonneesCpt5=Cpt_Index,Tab_Compteur_5[[#This Row],[Index]]-E60,Tab_Compteur_5[[#This Row],[Quantité]])/Tab_Compteur_5[[#This Row],[Delta Jour]],"")&lt;0,"",IFERROR(IF(Str_TypeDonneesCpt5=Cpt_Index,Tab_Compteur_5[[#This Row],[Index]]-E60,Tab_Compteur_5[[#This Row],[Quantité]])/Tab_Compteur_5[[#This Row],[Delta Jour]],""))</f>
        <v/>
      </c>
      <c r="H61" s="186" t="str">
        <f>IFERROR(Tab_Compteur_5[[#This Row],[Montant]]/Tab_Compteur_5[[#This Row],[Delta Jour]],"")</f>
        <v/>
      </c>
      <c r="I61" s="208" t="str">
        <f t="shared" si="1"/>
        <v/>
      </c>
      <c r="J61" s="209"/>
      <c r="K61" s="38"/>
      <c r="L61" s="38"/>
      <c r="M61" s="38"/>
    </row>
    <row r="62" spans="1:13">
      <c r="A62" s="3">
        <f t="shared" si="2"/>
        <v>1</v>
      </c>
      <c r="B62" s="87"/>
      <c r="C62" s="189"/>
      <c r="D62" s="188"/>
      <c r="E62" s="186"/>
      <c r="F62" s="186">
        <f t="shared" si="0"/>
        <v>0</v>
      </c>
      <c r="G62" s="186" t="str">
        <f>IF(IFERROR(IF(Str_TypeDonneesCpt5=Cpt_Index,Tab_Compteur_5[[#This Row],[Index]]-E61,Tab_Compteur_5[[#This Row],[Quantité]])/Tab_Compteur_5[[#This Row],[Delta Jour]],"")&lt;0,"",IFERROR(IF(Str_TypeDonneesCpt5=Cpt_Index,Tab_Compteur_5[[#This Row],[Index]]-E61,Tab_Compteur_5[[#This Row],[Quantité]])/Tab_Compteur_5[[#This Row],[Delta Jour]],""))</f>
        <v/>
      </c>
      <c r="H62" s="186" t="str">
        <f>IFERROR(Tab_Compteur_5[[#This Row],[Montant]]/Tab_Compteur_5[[#This Row],[Delta Jour]],"")</f>
        <v/>
      </c>
      <c r="I62" s="208" t="str">
        <f t="shared" si="1"/>
        <v/>
      </c>
      <c r="J62" s="209"/>
      <c r="K62" s="38"/>
      <c r="L62" s="38"/>
      <c r="M62" s="38"/>
    </row>
    <row r="63" spans="1:13">
      <c r="A63" s="3">
        <f t="shared" si="2"/>
        <v>1</v>
      </c>
      <c r="B63" s="87"/>
      <c r="C63" s="189"/>
      <c r="D63" s="188"/>
      <c r="E63" s="186"/>
      <c r="F63" s="186">
        <f t="shared" si="0"/>
        <v>0</v>
      </c>
      <c r="G63" s="186" t="str">
        <f>IF(IFERROR(IF(Str_TypeDonneesCpt5=Cpt_Index,Tab_Compteur_5[[#This Row],[Index]]-E62,Tab_Compteur_5[[#This Row],[Quantité]])/Tab_Compteur_5[[#This Row],[Delta Jour]],"")&lt;0,"",IFERROR(IF(Str_TypeDonneesCpt5=Cpt_Index,Tab_Compteur_5[[#This Row],[Index]]-E62,Tab_Compteur_5[[#This Row],[Quantité]])/Tab_Compteur_5[[#This Row],[Delta Jour]],""))</f>
        <v/>
      </c>
      <c r="H63" s="186" t="str">
        <f>IFERROR(Tab_Compteur_5[[#This Row],[Montant]]/Tab_Compteur_5[[#This Row],[Delta Jour]],"")</f>
        <v/>
      </c>
      <c r="I63" s="208" t="str">
        <f t="shared" si="1"/>
        <v/>
      </c>
      <c r="J63" s="209"/>
      <c r="K63" s="38"/>
      <c r="L63" s="38"/>
      <c r="M63" s="38"/>
    </row>
    <row r="64" spans="1:13">
      <c r="A64" s="3">
        <f t="shared" si="2"/>
        <v>1</v>
      </c>
      <c r="B64" s="87"/>
      <c r="C64" s="189"/>
      <c r="D64" s="188"/>
      <c r="E64" s="186"/>
      <c r="F64" s="186">
        <f t="shared" si="0"/>
        <v>0</v>
      </c>
      <c r="G64" s="186" t="str">
        <f>IF(IFERROR(IF(Str_TypeDonneesCpt5=Cpt_Index,Tab_Compteur_5[[#This Row],[Index]]-E63,Tab_Compteur_5[[#This Row],[Quantité]])/Tab_Compteur_5[[#This Row],[Delta Jour]],"")&lt;0,"",IFERROR(IF(Str_TypeDonneesCpt5=Cpt_Index,Tab_Compteur_5[[#This Row],[Index]]-E63,Tab_Compteur_5[[#This Row],[Quantité]])/Tab_Compteur_5[[#This Row],[Delta Jour]],""))</f>
        <v/>
      </c>
      <c r="H64" s="186" t="str">
        <f>IFERROR(Tab_Compteur_5[[#This Row],[Montant]]/Tab_Compteur_5[[#This Row],[Delta Jour]],"")</f>
        <v/>
      </c>
      <c r="I64" s="208" t="str">
        <f t="shared" si="1"/>
        <v/>
      </c>
      <c r="J64" s="209"/>
      <c r="K64" s="38"/>
      <c r="L64" s="38"/>
      <c r="M64" s="38"/>
    </row>
    <row r="65" spans="1:13">
      <c r="A65" s="3">
        <f t="shared" si="2"/>
        <v>1</v>
      </c>
      <c r="B65" s="87"/>
      <c r="C65" s="189"/>
      <c r="D65" s="188"/>
      <c r="E65" s="186"/>
      <c r="F65" s="186">
        <f t="shared" si="0"/>
        <v>0</v>
      </c>
      <c r="G65" s="186" t="str">
        <f>IF(IFERROR(IF(Str_TypeDonneesCpt5=Cpt_Index,Tab_Compteur_5[[#This Row],[Index]]-E64,Tab_Compteur_5[[#This Row],[Quantité]])/Tab_Compteur_5[[#This Row],[Delta Jour]],"")&lt;0,"",IFERROR(IF(Str_TypeDonneesCpt5=Cpt_Index,Tab_Compteur_5[[#This Row],[Index]]-E64,Tab_Compteur_5[[#This Row],[Quantité]])/Tab_Compteur_5[[#This Row],[Delta Jour]],""))</f>
        <v/>
      </c>
      <c r="H65" s="186" t="str">
        <f>IFERROR(Tab_Compteur_5[[#This Row],[Montant]]/Tab_Compteur_5[[#This Row],[Delta Jour]],"")</f>
        <v/>
      </c>
      <c r="I65" s="208" t="str">
        <f t="shared" si="1"/>
        <v/>
      </c>
      <c r="J65" s="209"/>
      <c r="K65" s="38"/>
      <c r="L65" s="38"/>
      <c r="M65" s="38"/>
    </row>
    <row r="66" spans="1:13">
      <c r="A66" s="3">
        <f t="shared" si="2"/>
        <v>1</v>
      </c>
      <c r="B66" s="87"/>
      <c r="C66" s="189"/>
      <c r="D66" s="188"/>
      <c r="E66" s="186"/>
      <c r="F66" s="186">
        <f t="shared" si="0"/>
        <v>0</v>
      </c>
      <c r="G66" s="186" t="str">
        <f>IF(IFERROR(IF(Str_TypeDonneesCpt5=Cpt_Index,Tab_Compteur_5[[#This Row],[Index]]-E65,Tab_Compteur_5[[#This Row],[Quantité]])/Tab_Compteur_5[[#This Row],[Delta Jour]],"")&lt;0,"",IFERROR(IF(Str_TypeDonneesCpt5=Cpt_Index,Tab_Compteur_5[[#This Row],[Index]]-E65,Tab_Compteur_5[[#This Row],[Quantité]])/Tab_Compteur_5[[#This Row],[Delta Jour]],""))</f>
        <v/>
      </c>
      <c r="H66" s="186" t="str">
        <f>IFERROR(Tab_Compteur_5[[#This Row],[Montant]]/Tab_Compteur_5[[#This Row],[Delta Jour]],"")</f>
        <v/>
      </c>
      <c r="I66" s="208" t="str">
        <f t="shared" si="1"/>
        <v/>
      </c>
      <c r="J66" s="209"/>
      <c r="K66" s="38"/>
      <c r="L66" s="38"/>
      <c r="M66" s="38"/>
    </row>
    <row r="67" spans="1:13">
      <c r="A67" s="3">
        <f t="shared" si="2"/>
        <v>1</v>
      </c>
      <c r="B67" s="87"/>
      <c r="C67" s="189"/>
      <c r="D67" s="188"/>
      <c r="E67" s="186"/>
      <c r="F67" s="186">
        <f t="shared" ref="F67:F130" si="3">IFERROR(B67-A67+1,"")</f>
        <v>0</v>
      </c>
      <c r="G67" s="186" t="str">
        <f>IF(IFERROR(IF(Str_TypeDonneesCpt5=Cpt_Index,Tab_Compteur_5[[#This Row],[Index]]-E66,Tab_Compteur_5[[#This Row],[Quantité]])/Tab_Compteur_5[[#This Row],[Delta Jour]],"")&lt;0,"",IFERROR(IF(Str_TypeDonneesCpt5=Cpt_Index,Tab_Compteur_5[[#This Row],[Index]]-E66,Tab_Compteur_5[[#This Row],[Quantité]])/Tab_Compteur_5[[#This Row],[Delta Jour]],""))</f>
        <v/>
      </c>
      <c r="H67" s="186" t="str">
        <f>IFERROR(Tab_Compteur_5[[#This Row],[Montant]]/Tab_Compteur_5[[#This Row],[Delta Jour]],"")</f>
        <v/>
      </c>
      <c r="I67" s="208" t="str">
        <f t="shared" ref="I67:I130" si="4">G67</f>
        <v/>
      </c>
      <c r="J67" s="209"/>
      <c r="K67" s="38"/>
      <c r="L67" s="38"/>
      <c r="M67" s="38"/>
    </row>
    <row r="68" spans="1:13">
      <c r="A68" s="3">
        <f t="shared" si="2"/>
        <v>1</v>
      </c>
      <c r="B68" s="87"/>
      <c r="C68" s="189"/>
      <c r="D68" s="188"/>
      <c r="E68" s="186"/>
      <c r="F68" s="186">
        <f t="shared" si="3"/>
        <v>0</v>
      </c>
      <c r="G68" s="186" t="str">
        <f>IF(IFERROR(IF(Str_TypeDonneesCpt5=Cpt_Index,Tab_Compteur_5[[#This Row],[Index]]-E67,Tab_Compteur_5[[#This Row],[Quantité]])/Tab_Compteur_5[[#This Row],[Delta Jour]],"")&lt;0,"",IFERROR(IF(Str_TypeDonneesCpt5=Cpt_Index,Tab_Compteur_5[[#This Row],[Index]]-E67,Tab_Compteur_5[[#This Row],[Quantité]])/Tab_Compteur_5[[#This Row],[Delta Jour]],""))</f>
        <v/>
      </c>
      <c r="H68" s="186" t="str">
        <f>IFERROR(Tab_Compteur_5[[#This Row],[Montant]]/Tab_Compteur_5[[#This Row],[Delta Jour]],"")</f>
        <v/>
      </c>
      <c r="I68" s="208" t="str">
        <f t="shared" si="4"/>
        <v/>
      </c>
      <c r="J68" s="209"/>
      <c r="K68" s="38"/>
      <c r="L68" s="38"/>
      <c r="M68" s="38"/>
    </row>
    <row r="69" spans="1:13">
      <c r="A69" s="3">
        <f t="shared" si="2"/>
        <v>1</v>
      </c>
      <c r="B69" s="87"/>
      <c r="C69" s="189"/>
      <c r="D69" s="188"/>
      <c r="E69" s="186"/>
      <c r="F69" s="186">
        <f t="shared" si="3"/>
        <v>0</v>
      </c>
      <c r="G69" s="186" t="str">
        <f>IF(IFERROR(IF(Str_TypeDonneesCpt5=Cpt_Index,Tab_Compteur_5[[#This Row],[Index]]-E68,Tab_Compteur_5[[#This Row],[Quantité]])/Tab_Compteur_5[[#This Row],[Delta Jour]],"")&lt;0,"",IFERROR(IF(Str_TypeDonneesCpt5=Cpt_Index,Tab_Compteur_5[[#This Row],[Index]]-E68,Tab_Compteur_5[[#This Row],[Quantité]])/Tab_Compteur_5[[#This Row],[Delta Jour]],""))</f>
        <v/>
      </c>
      <c r="H69" s="186" t="str">
        <f>IFERROR(Tab_Compteur_5[[#This Row],[Montant]]/Tab_Compteur_5[[#This Row],[Delta Jour]],"")</f>
        <v/>
      </c>
      <c r="I69" s="208" t="str">
        <f t="shared" si="4"/>
        <v/>
      </c>
      <c r="J69" s="209"/>
      <c r="K69" s="38"/>
      <c r="L69" s="38"/>
      <c r="M69" s="38"/>
    </row>
    <row r="70" spans="1:13">
      <c r="A70" s="3">
        <f t="shared" ref="A70:A133" si="5">IFERROR(B69+1,0)</f>
        <v>1</v>
      </c>
      <c r="B70" s="87"/>
      <c r="C70" s="189"/>
      <c r="D70" s="188"/>
      <c r="E70" s="186"/>
      <c r="F70" s="186">
        <f t="shared" si="3"/>
        <v>0</v>
      </c>
      <c r="G70" s="186" t="str">
        <f>IF(IFERROR(IF(Str_TypeDonneesCpt5=Cpt_Index,Tab_Compteur_5[[#This Row],[Index]]-E69,Tab_Compteur_5[[#This Row],[Quantité]])/Tab_Compteur_5[[#This Row],[Delta Jour]],"")&lt;0,"",IFERROR(IF(Str_TypeDonneesCpt5=Cpt_Index,Tab_Compteur_5[[#This Row],[Index]]-E69,Tab_Compteur_5[[#This Row],[Quantité]])/Tab_Compteur_5[[#This Row],[Delta Jour]],""))</f>
        <v/>
      </c>
      <c r="H70" s="186" t="str">
        <f>IFERROR(Tab_Compteur_5[[#This Row],[Montant]]/Tab_Compteur_5[[#This Row],[Delta Jour]],"")</f>
        <v/>
      </c>
      <c r="I70" s="208" t="str">
        <f t="shared" si="4"/>
        <v/>
      </c>
      <c r="J70" s="209"/>
      <c r="K70" s="38"/>
      <c r="L70" s="38"/>
      <c r="M70" s="38"/>
    </row>
    <row r="71" spans="1:13">
      <c r="A71" s="3">
        <f t="shared" si="5"/>
        <v>1</v>
      </c>
      <c r="B71" s="87"/>
      <c r="C71" s="189"/>
      <c r="D71" s="188"/>
      <c r="E71" s="186"/>
      <c r="F71" s="186">
        <f t="shared" si="3"/>
        <v>0</v>
      </c>
      <c r="G71" s="186" t="str">
        <f>IF(IFERROR(IF(Str_TypeDonneesCpt5=Cpt_Index,Tab_Compteur_5[[#This Row],[Index]]-E70,Tab_Compteur_5[[#This Row],[Quantité]])/Tab_Compteur_5[[#This Row],[Delta Jour]],"")&lt;0,"",IFERROR(IF(Str_TypeDonneesCpt5=Cpt_Index,Tab_Compteur_5[[#This Row],[Index]]-E70,Tab_Compteur_5[[#This Row],[Quantité]])/Tab_Compteur_5[[#This Row],[Delta Jour]],""))</f>
        <v/>
      </c>
      <c r="H71" s="186" t="str">
        <f>IFERROR(Tab_Compteur_5[[#This Row],[Montant]]/Tab_Compteur_5[[#This Row],[Delta Jour]],"")</f>
        <v/>
      </c>
      <c r="I71" s="208" t="str">
        <f t="shared" si="4"/>
        <v/>
      </c>
      <c r="J71" s="209"/>
      <c r="K71" s="38"/>
      <c r="L71" s="38"/>
      <c r="M71" s="38"/>
    </row>
    <row r="72" spans="1:13">
      <c r="A72" s="3">
        <f t="shared" si="5"/>
        <v>1</v>
      </c>
      <c r="B72" s="87"/>
      <c r="C72" s="189"/>
      <c r="D72" s="188"/>
      <c r="E72" s="186"/>
      <c r="F72" s="186">
        <f t="shared" si="3"/>
        <v>0</v>
      </c>
      <c r="G72" s="186" t="str">
        <f>IF(IFERROR(IF(Str_TypeDonneesCpt5=Cpt_Index,Tab_Compteur_5[[#This Row],[Index]]-E71,Tab_Compteur_5[[#This Row],[Quantité]])/Tab_Compteur_5[[#This Row],[Delta Jour]],"")&lt;0,"",IFERROR(IF(Str_TypeDonneesCpt5=Cpt_Index,Tab_Compteur_5[[#This Row],[Index]]-E71,Tab_Compteur_5[[#This Row],[Quantité]])/Tab_Compteur_5[[#This Row],[Delta Jour]],""))</f>
        <v/>
      </c>
      <c r="H72" s="186" t="str">
        <f>IFERROR(Tab_Compteur_5[[#This Row],[Montant]]/Tab_Compteur_5[[#This Row],[Delta Jour]],"")</f>
        <v/>
      </c>
      <c r="I72" s="208" t="str">
        <f t="shared" si="4"/>
        <v/>
      </c>
      <c r="J72" s="209"/>
      <c r="K72" s="38"/>
      <c r="L72" s="38"/>
      <c r="M72" s="38"/>
    </row>
    <row r="73" spans="1:13">
      <c r="A73" s="3">
        <f t="shared" si="5"/>
        <v>1</v>
      </c>
      <c r="B73" s="87"/>
      <c r="C73" s="189"/>
      <c r="D73" s="188"/>
      <c r="E73" s="186"/>
      <c r="F73" s="186">
        <f t="shared" si="3"/>
        <v>0</v>
      </c>
      <c r="G73" s="186" t="str">
        <f>IF(IFERROR(IF(Str_TypeDonneesCpt5=Cpt_Index,Tab_Compteur_5[[#This Row],[Index]]-E72,Tab_Compteur_5[[#This Row],[Quantité]])/Tab_Compteur_5[[#This Row],[Delta Jour]],"")&lt;0,"",IFERROR(IF(Str_TypeDonneesCpt5=Cpt_Index,Tab_Compteur_5[[#This Row],[Index]]-E72,Tab_Compteur_5[[#This Row],[Quantité]])/Tab_Compteur_5[[#This Row],[Delta Jour]],""))</f>
        <v/>
      </c>
      <c r="H73" s="186" t="str">
        <f>IFERROR(Tab_Compteur_5[[#This Row],[Montant]]/Tab_Compteur_5[[#This Row],[Delta Jour]],"")</f>
        <v/>
      </c>
      <c r="I73" s="208" t="str">
        <f t="shared" si="4"/>
        <v/>
      </c>
      <c r="J73" s="209"/>
      <c r="K73" s="38"/>
      <c r="L73" s="38"/>
      <c r="M73" s="38"/>
    </row>
    <row r="74" spans="1:13">
      <c r="A74" s="3">
        <f t="shared" si="5"/>
        <v>1</v>
      </c>
      <c r="B74" s="87"/>
      <c r="C74" s="189"/>
      <c r="D74" s="188"/>
      <c r="E74" s="186"/>
      <c r="F74" s="186">
        <f t="shared" si="3"/>
        <v>0</v>
      </c>
      <c r="G74" s="186" t="str">
        <f>IF(IFERROR(IF(Str_TypeDonneesCpt5=Cpt_Index,Tab_Compteur_5[[#This Row],[Index]]-E73,Tab_Compteur_5[[#This Row],[Quantité]])/Tab_Compteur_5[[#This Row],[Delta Jour]],"")&lt;0,"",IFERROR(IF(Str_TypeDonneesCpt5=Cpt_Index,Tab_Compteur_5[[#This Row],[Index]]-E73,Tab_Compteur_5[[#This Row],[Quantité]])/Tab_Compteur_5[[#This Row],[Delta Jour]],""))</f>
        <v/>
      </c>
      <c r="H74" s="186" t="str">
        <f>IFERROR(Tab_Compteur_5[[#This Row],[Montant]]/Tab_Compteur_5[[#This Row],[Delta Jour]],"")</f>
        <v/>
      </c>
      <c r="I74" s="208" t="str">
        <f t="shared" si="4"/>
        <v/>
      </c>
      <c r="J74" s="209"/>
      <c r="K74" s="38"/>
      <c r="L74" s="38"/>
      <c r="M74" s="38"/>
    </row>
    <row r="75" spans="1:13">
      <c r="A75" s="3">
        <f t="shared" si="5"/>
        <v>1</v>
      </c>
      <c r="B75" s="87"/>
      <c r="C75" s="189"/>
      <c r="D75" s="188"/>
      <c r="E75" s="186"/>
      <c r="F75" s="186">
        <f t="shared" si="3"/>
        <v>0</v>
      </c>
      <c r="G75" s="186" t="str">
        <f>IF(IFERROR(IF(Str_TypeDonneesCpt5=Cpt_Index,Tab_Compteur_5[[#This Row],[Index]]-E74,Tab_Compteur_5[[#This Row],[Quantité]])/Tab_Compteur_5[[#This Row],[Delta Jour]],"")&lt;0,"",IFERROR(IF(Str_TypeDonneesCpt5=Cpt_Index,Tab_Compteur_5[[#This Row],[Index]]-E74,Tab_Compteur_5[[#This Row],[Quantité]])/Tab_Compteur_5[[#This Row],[Delta Jour]],""))</f>
        <v/>
      </c>
      <c r="H75" s="186" t="str">
        <f>IFERROR(Tab_Compteur_5[[#This Row],[Montant]]/Tab_Compteur_5[[#This Row],[Delta Jour]],"")</f>
        <v/>
      </c>
      <c r="I75" s="208" t="str">
        <f t="shared" si="4"/>
        <v/>
      </c>
      <c r="J75" s="209"/>
      <c r="K75" s="38"/>
      <c r="L75" s="38"/>
      <c r="M75" s="38"/>
    </row>
    <row r="76" spans="1:13">
      <c r="A76" s="3">
        <f t="shared" si="5"/>
        <v>1</v>
      </c>
      <c r="B76" s="87"/>
      <c r="C76" s="189"/>
      <c r="D76" s="188"/>
      <c r="E76" s="186"/>
      <c r="F76" s="186">
        <f t="shared" si="3"/>
        <v>0</v>
      </c>
      <c r="G76" s="186" t="str">
        <f>IF(IFERROR(IF(Str_TypeDonneesCpt5=Cpt_Index,Tab_Compteur_5[[#This Row],[Index]]-E75,Tab_Compteur_5[[#This Row],[Quantité]])/Tab_Compteur_5[[#This Row],[Delta Jour]],"")&lt;0,"",IFERROR(IF(Str_TypeDonneesCpt5=Cpt_Index,Tab_Compteur_5[[#This Row],[Index]]-E75,Tab_Compteur_5[[#This Row],[Quantité]])/Tab_Compteur_5[[#This Row],[Delta Jour]],""))</f>
        <v/>
      </c>
      <c r="H76" s="186" t="str">
        <f>IFERROR(Tab_Compteur_5[[#This Row],[Montant]]/Tab_Compteur_5[[#This Row],[Delta Jour]],"")</f>
        <v/>
      </c>
      <c r="I76" s="208" t="str">
        <f t="shared" si="4"/>
        <v/>
      </c>
      <c r="J76" s="209"/>
      <c r="K76" s="38"/>
      <c r="L76" s="38"/>
      <c r="M76" s="38"/>
    </row>
    <row r="77" spans="1:13">
      <c r="A77" s="3">
        <f t="shared" si="5"/>
        <v>1</v>
      </c>
      <c r="B77" s="87"/>
      <c r="C77" s="189"/>
      <c r="D77" s="188"/>
      <c r="E77" s="186"/>
      <c r="F77" s="186">
        <f t="shared" si="3"/>
        <v>0</v>
      </c>
      <c r="G77" s="186" t="str">
        <f>IF(IFERROR(IF(Str_TypeDonneesCpt5=Cpt_Index,Tab_Compteur_5[[#This Row],[Index]]-E76,Tab_Compteur_5[[#This Row],[Quantité]])/Tab_Compteur_5[[#This Row],[Delta Jour]],"")&lt;0,"",IFERROR(IF(Str_TypeDonneesCpt5=Cpt_Index,Tab_Compteur_5[[#This Row],[Index]]-E76,Tab_Compteur_5[[#This Row],[Quantité]])/Tab_Compteur_5[[#This Row],[Delta Jour]],""))</f>
        <v/>
      </c>
      <c r="H77" s="186" t="str">
        <f>IFERROR(Tab_Compteur_5[[#This Row],[Montant]]/Tab_Compteur_5[[#This Row],[Delta Jour]],"")</f>
        <v/>
      </c>
      <c r="I77" s="208" t="str">
        <f t="shared" si="4"/>
        <v/>
      </c>
      <c r="J77" s="209"/>
      <c r="K77" s="38"/>
      <c r="L77" s="38"/>
      <c r="M77" s="38"/>
    </row>
    <row r="78" spans="1:13">
      <c r="A78" s="3">
        <f t="shared" si="5"/>
        <v>1</v>
      </c>
      <c r="B78" s="87"/>
      <c r="C78" s="189"/>
      <c r="D78" s="188"/>
      <c r="E78" s="186"/>
      <c r="F78" s="186">
        <f t="shared" si="3"/>
        <v>0</v>
      </c>
      <c r="G78" s="186" t="str">
        <f>IF(IFERROR(IF(Str_TypeDonneesCpt5=Cpt_Index,Tab_Compteur_5[[#This Row],[Index]]-E77,Tab_Compteur_5[[#This Row],[Quantité]])/Tab_Compteur_5[[#This Row],[Delta Jour]],"")&lt;0,"",IFERROR(IF(Str_TypeDonneesCpt5=Cpt_Index,Tab_Compteur_5[[#This Row],[Index]]-E77,Tab_Compteur_5[[#This Row],[Quantité]])/Tab_Compteur_5[[#This Row],[Delta Jour]],""))</f>
        <v/>
      </c>
      <c r="H78" s="186" t="str">
        <f>IFERROR(Tab_Compteur_5[[#This Row],[Montant]]/Tab_Compteur_5[[#This Row],[Delta Jour]],"")</f>
        <v/>
      </c>
      <c r="I78" s="208" t="str">
        <f t="shared" si="4"/>
        <v/>
      </c>
      <c r="J78" s="209"/>
      <c r="K78" s="38"/>
      <c r="L78" s="38"/>
      <c r="M78" s="38"/>
    </row>
    <row r="79" spans="1:13">
      <c r="A79" s="3">
        <f t="shared" si="5"/>
        <v>1</v>
      </c>
      <c r="B79" s="87"/>
      <c r="C79" s="189"/>
      <c r="D79" s="188"/>
      <c r="E79" s="186"/>
      <c r="F79" s="186">
        <f t="shared" si="3"/>
        <v>0</v>
      </c>
      <c r="G79" s="186" t="str">
        <f>IF(IFERROR(IF(Str_TypeDonneesCpt5=Cpt_Index,Tab_Compteur_5[[#This Row],[Index]]-E78,Tab_Compteur_5[[#This Row],[Quantité]])/Tab_Compteur_5[[#This Row],[Delta Jour]],"")&lt;0,"",IFERROR(IF(Str_TypeDonneesCpt5=Cpt_Index,Tab_Compteur_5[[#This Row],[Index]]-E78,Tab_Compteur_5[[#This Row],[Quantité]])/Tab_Compteur_5[[#This Row],[Delta Jour]],""))</f>
        <v/>
      </c>
      <c r="H79" s="186" t="str">
        <f>IFERROR(Tab_Compteur_5[[#This Row],[Montant]]/Tab_Compteur_5[[#This Row],[Delta Jour]],"")</f>
        <v/>
      </c>
      <c r="I79" s="208" t="str">
        <f t="shared" si="4"/>
        <v/>
      </c>
      <c r="J79" s="209"/>
      <c r="K79" s="38"/>
      <c r="L79" s="38"/>
      <c r="M79" s="38"/>
    </row>
    <row r="80" spans="1:13">
      <c r="A80" s="3">
        <f t="shared" si="5"/>
        <v>1</v>
      </c>
      <c r="B80" s="87"/>
      <c r="C80" s="189"/>
      <c r="D80" s="188"/>
      <c r="E80" s="186"/>
      <c r="F80" s="186">
        <f t="shared" si="3"/>
        <v>0</v>
      </c>
      <c r="G80" s="186" t="str">
        <f>IF(IFERROR(IF(Str_TypeDonneesCpt5=Cpt_Index,Tab_Compteur_5[[#This Row],[Index]]-E79,Tab_Compteur_5[[#This Row],[Quantité]])/Tab_Compteur_5[[#This Row],[Delta Jour]],"")&lt;0,"",IFERROR(IF(Str_TypeDonneesCpt5=Cpt_Index,Tab_Compteur_5[[#This Row],[Index]]-E79,Tab_Compteur_5[[#This Row],[Quantité]])/Tab_Compteur_5[[#This Row],[Delta Jour]],""))</f>
        <v/>
      </c>
      <c r="H80" s="186" t="str">
        <f>IFERROR(Tab_Compteur_5[[#This Row],[Montant]]/Tab_Compteur_5[[#This Row],[Delta Jour]],"")</f>
        <v/>
      </c>
      <c r="I80" s="208" t="str">
        <f t="shared" si="4"/>
        <v/>
      </c>
      <c r="J80" s="209"/>
      <c r="K80" s="38"/>
      <c r="L80" s="38"/>
      <c r="M80" s="38"/>
    </row>
    <row r="81" spans="1:13">
      <c r="A81" s="3">
        <f t="shared" si="5"/>
        <v>1</v>
      </c>
      <c r="B81" s="87"/>
      <c r="C81" s="189"/>
      <c r="D81" s="188"/>
      <c r="E81" s="186"/>
      <c r="F81" s="186">
        <f t="shared" si="3"/>
        <v>0</v>
      </c>
      <c r="G81" s="186" t="str">
        <f>IF(IFERROR(IF(Str_TypeDonneesCpt5=Cpt_Index,Tab_Compteur_5[[#This Row],[Index]]-E80,Tab_Compteur_5[[#This Row],[Quantité]])/Tab_Compteur_5[[#This Row],[Delta Jour]],"")&lt;0,"",IFERROR(IF(Str_TypeDonneesCpt5=Cpt_Index,Tab_Compteur_5[[#This Row],[Index]]-E80,Tab_Compteur_5[[#This Row],[Quantité]])/Tab_Compteur_5[[#This Row],[Delta Jour]],""))</f>
        <v/>
      </c>
      <c r="H81" s="186" t="str">
        <f>IFERROR(Tab_Compteur_5[[#This Row],[Montant]]/Tab_Compteur_5[[#This Row],[Delta Jour]],"")</f>
        <v/>
      </c>
      <c r="I81" s="208" t="str">
        <f t="shared" si="4"/>
        <v/>
      </c>
      <c r="J81" s="209"/>
      <c r="K81" s="38"/>
      <c r="L81" s="38"/>
      <c r="M81" s="38"/>
    </row>
    <row r="82" spans="1:13">
      <c r="A82" s="3">
        <f t="shared" si="5"/>
        <v>1</v>
      </c>
      <c r="B82" s="87"/>
      <c r="C82" s="189"/>
      <c r="D82" s="188"/>
      <c r="E82" s="186"/>
      <c r="F82" s="186">
        <f t="shared" si="3"/>
        <v>0</v>
      </c>
      <c r="G82" s="186" t="str">
        <f>IF(IFERROR(IF(Str_TypeDonneesCpt5=Cpt_Index,Tab_Compteur_5[[#This Row],[Index]]-E81,Tab_Compteur_5[[#This Row],[Quantité]])/Tab_Compteur_5[[#This Row],[Delta Jour]],"")&lt;0,"",IFERROR(IF(Str_TypeDonneesCpt5=Cpt_Index,Tab_Compteur_5[[#This Row],[Index]]-E81,Tab_Compteur_5[[#This Row],[Quantité]])/Tab_Compteur_5[[#This Row],[Delta Jour]],""))</f>
        <v/>
      </c>
      <c r="H82" s="186" t="str">
        <f>IFERROR(Tab_Compteur_5[[#This Row],[Montant]]/Tab_Compteur_5[[#This Row],[Delta Jour]],"")</f>
        <v/>
      </c>
      <c r="I82" s="208" t="str">
        <f t="shared" si="4"/>
        <v/>
      </c>
      <c r="J82" s="209"/>
      <c r="K82" s="38"/>
      <c r="L82" s="38"/>
      <c r="M82" s="38"/>
    </row>
    <row r="83" spans="1:13">
      <c r="A83" s="3">
        <f t="shared" si="5"/>
        <v>1</v>
      </c>
      <c r="B83" s="87"/>
      <c r="C83" s="189"/>
      <c r="D83" s="188"/>
      <c r="E83" s="186"/>
      <c r="F83" s="186">
        <f t="shared" si="3"/>
        <v>0</v>
      </c>
      <c r="G83" s="186" t="str">
        <f>IF(IFERROR(IF(Str_TypeDonneesCpt5=Cpt_Index,Tab_Compteur_5[[#This Row],[Index]]-E82,Tab_Compteur_5[[#This Row],[Quantité]])/Tab_Compteur_5[[#This Row],[Delta Jour]],"")&lt;0,"",IFERROR(IF(Str_TypeDonneesCpt5=Cpt_Index,Tab_Compteur_5[[#This Row],[Index]]-E82,Tab_Compteur_5[[#This Row],[Quantité]])/Tab_Compteur_5[[#This Row],[Delta Jour]],""))</f>
        <v/>
      </c>
      <c r="H83" s="186" t="str">
        <f>IFERROR(Tab_Compteur_5[[#This Row],[Montant]]/Tab_Compteur_5[[#This Row],[Delta Jour]],"")</f>
        <v/>
      </c>
      <c r="I83" s="208" t="str">
        <f t="shared" si="4"/>
        <v/>
      </c>
      <c r="J83" s="209"/>
      <c r="K83" s="38"/>
      <c r="L83" s="38"/>
      <c r="M83" s="38"/>
    </row>
    <row r="84" spans="1:13">
      <c r="A84" s="3">
        <f t="shared" si="5"/>
        <v>1</v>
      </c>
      <c r="B84" s="87"/>
      <c r="C84" s="189"/>
      <c r="D84" s="188"/>
      <c r="E84" s="186"/>
      <c r="F84" s="186">
        <f t="shared" si="3"/>
        <v>0</v>
      </c>
      <c r="G84" s="186" t="str">
        <f>IF(IFERROR(IF(Str_TypeDonneesCpt5=Cpt_Index,Tab_Compteur_5[[#This Row],[Index]]-E83,Tab_Compteur_5[[#This Row],[Quantité]])/Tab_Compteur_5[[#This Row],[Delta Jour]],"")&lt;0,"",IFERROR(IF(Str_TypeDonneesCpt5=Cpt_Index,Tab_Compteur_5[[#This Row],[Index]]-E83,Tab_Compteur_5[[#This Row],[Quantité]])/Tab_Compteur_5[[#This Row],[Delta Jour]],""))</f>
        <v/>
      </c>
      <c r="H84" s="186" t="str">
        <f>IFERROR(Tab_Compteur_5[[#This Row],[Montant]]/Tab_Compteur_5[[#This Row],[Delta Jour]],"")</f>
        <v/>
      </c>
      <c r="I84" s="208" t="str">
        <f t="shared" si="4"/>
        <v/>
      </c>
      <c r="J84" s="209"/>
      <c r="K84" s="38"/>
      <c r="L84" s="38"/>
      <c r="M84" s="38"/>
    </row>
    <row r="85" spans="1:13">
      <c r="A85" s="3">
        <f t="shared" si="5"/>
        <v>1</v>
      </c>
      <c r="B85" s="87"/>
      <c r="C85" s="189"/>
      <c r="D85" s="188"/>
      <c r="E85" s="186"/>
      <c r="F85" s="186">
        <f t="shared" si="3"/>
        <v>0</v>
      </c>
      <c r="G85" s="186" t="str">
        <f>IF(IFERROR(IF(Str_TypeDonneesCpt5=Cpt_Index,Tab_Compteur_5[[#This Row],[Index]]-E84,Tab_Compteur_5[[#This Row],[Quantité]])/Tab_Compteur_5[[#This Row],[Delta Jour]],"")&lt;0,"",IFERROR(IF(Str_TypeDonneesCpt5=Cpt_Index,Tab_Compteur_5[[#This Row],[Index]]-E84,Tab_Compteur_5[[#This Row],[Quantité]])/Tab_Compteur_5[[#This Row],[Delta Jour]],""))</f>
        <v/>
      </c>
      <c r="H85" s="186" t="str">
        <f>IFERROR(Tab_Compteur_5[[#This Row],[Montant]]/Tab_Compteur_5[[#This Row],[Delta Jour]],"")</f>
        <v/>
      </c>
      <c r="I85" s="208" t="str">
        <f t="shared" si="4"/>
        <v/>
      </c>
      <c r="J85" s="209"/>
      <c r="K85" s="38"/>
      <c r="L85" s="38"/>
      <c r="M85" s="38"/>
    </row>
    <row r="86" spans="1:13">
      <c r="A86" s="3">
        <f t="shared" si="5"/>
        <v>1</v>
      </c>
      <c r="B86" s="87"/>
      <c r="C86" s="189"/>
      <c r="D86" s="188"/>
      <c r="E86" s="186"/>
      <c r="F86" s="186">
        <f t="shared" si="3"/>
        <v>0</v>
      </c>
      <c r="G86" s="186" t="str">
        <f>IF(IFERROR(IF(Str_TypeDonneesCpt5=Cpt_Index,Tab_Compteur_5[[#This Row],[Index]]-E85,Tab_Compteur_5[[#This Row],[Quantité]])/Tab_Compteur_5[[#This Row],[Delta Jour]],"")&lt;0,"",IFERROR(IF(Str_TypeDonneesCpt5=Cpt_Index,Tab_Compteur_5[[#This Row],[Index]]-E85,Tab_Compteur_5[[#This Row],[Quantité]])/Tab_Compteur_5[[#This Row],[Delta Jour]],""))</f>
        <v/>
      </c>
      <c r="H86" s="186" t="str">
        <f>IFERROR(Tab_Compteur_5[[#This Row],[Montant]]/Tab_Compteur_5[[#This Row],[Delta Jour]],"")</f>
        <v/>
      </c>
      <c r="I86" s="208" t="str">
        <f t="shared" si="4"/>
        <v/>
      </c>
      <c r="J86" s="209"/>
      <c r="K86" s="38"/>
      <c r="L86" s="38"/>
      <c r="M86" s="38"/>
    </row>
    <row r="87" spans="1:13">
      <c r="A87" s="3">
        <f t="shared" si="5"/>
        <v>1</v>
      </c>
      <c r="B87" s="87"/>
      <c r="C87" s="189"/>
      <c r="D87" s="188"/>
      <c r="E87" s="186"/>
      <c r="F87" s="186">
        <f t="shared" si="3"/>
        <v>0</v>
      </c>
      <c r="G87" s="186" t="str">
        <f>IF(IFERROR(IF(Str_TypeDonneesCpt5=Cpt_Index,Tab_Compteur_5[[#This Row],[Index]]-E86,Tab_Compteur_5[[#This Row],[Quantité]])/Tab_Compteur_5[[#This Row],[Delta Jour]],"")&lt;0,"",IFERROR(IF(Str_TypeDonneesCpt5=Cpt_Index,Tab_Compteur_5[[#This Row],[Index]]-E86,Tab_Compteur_5[[#This Row],[Quantité]])/Tab_Compteur_5[[#This Row],[Delta Jour]],""))</f>
        <v/>
      </c>
      <c r="H87" s="186" t="str">
        <f>IFERROR(Tab_Compteur_5[[#This Row],[Montant]]/Tab_Compteur_5[[#This Row],[Delta Jour]],"")</f>
        <v/>
      </c>
      <c r="I87" s="208" t="str">
        <f t="shared" si="4"/>
        <v/>
      </c>
      <c r="J87" s="209"/>
      <c r="K87" s="38"/>
      <c r="L87" s="38"/>
      <c r="M87" s="38"/>
    </row>
    <row r="88" spans="1:13">
      <c r="A88" s="3">
        <f t="shared" si="5"/>
        <v>1</v>
      </c>
      <c r="B88" s="87"/>
      <c r="C88" s="189"/>
      <c r="D88" s="188"/>
      <c r="E88" s="186"/>
      <c r="F88" s="186">
        <f t="shared" si="3"/>
        <v>0</v>
      </c>
      <c r="G88" s="186" t="str">
        <f>IF(IFERROR(IF(Str_TypeDonneesCpt5=Cpt_Index,Tab_Compteur_5[[#This Row],[Index]]-E87,Tab_Compteur_5[[#This Row],[Quantité]])/Tab_Compteur_5[[#This Row],[Delta Jour]],"")&lt;0,"",IFERROR(IF(Str_TypeDonneesCpt5=Cpt_Index,Tab_Compteur_5[[#This Row],[Index]]-E87,Tab_Compteur_5[[#This Row],[Quantité]])/Tab_Compteur_5[[#This Row],[Delta Jour]],""))</f>
        <v/>
      </c>
      <c r="H88" s="186" t="str">
        <f>IFERROR(Tab_Compteur_5[[#This Row],[Montant]]/Tab_Compteur_5[[#This Row],[Delta Jour]],"")</f>
        <v/>
      </c>
      <c r="I88" s="208" t="str">
        <f t="shared" si="4"/>
        <v/>
      </c>
      <c r="J88" s="209"/>
      <c r="K88" s="38"/>
      <c r="L88" s="38"/>
      <c r="M88" s="38"/>
    </row>
    <row r="89" spans="1:13">
      <c r="A89" s="3">
        <f t="shared" si="5"/>
        <v>1</v>
      </c>
      <c r="B89" s="87"/>
      <c r="C89" s="189"/>
      <c r="D89" s="188"/>
      <c r="E89" s="186"/>
      <c r="F89" s="186">
        <f t="shared" si="3"/>
        <v>0</v>
      </c>
      <c r="G89" s="186" t="str">
        <f>IF(IFERROR(IF(Str_TypeDonneesCpt5=Cpt_Index,Tab_Compteur_5[[#This Row],[Index]]-E88,Tab_Compteur_5[[#This Row],[Quantité]])/Tab_Compteur_5[[#This Row],[Delta Jour]],"")&lt;0,"",IFERROR(IF(Str_TypeDonneesCpt5=Cpt_Index,Tab_Compteur_5[[#This Row],[Index]]-E88,Tab_Compteur_5[[#This Row],[Quantité]])/Tab_Compteur_5[[#This Row],[Delta Jour]],""))</f>
        <v/>
      </c>
      <c r="H89" s="186" t="str">
        <f>IFERROR(Tab_Compteur_5[[#This Row],[Montant]]/Tab_Compteur_5[[#This Row],[Delta Jour]],"")</f>
        <v/>
      </c>
      <c r="I89" s="208" t="str">
        <f t="shared" si="4"/>
        <v/>
      </c>
      <c r="J89" s="209"/>
      <c r="K89" s="38"/>
      <c r="L89" s="38"/>
      <c r="M89" s="38"/>
    </row>
    <row r="90" spans="1:13">
      <c r="A90" s="3">
        <f t="shared" si="5"/>
        <v>1</v>
      </c>
      <c r="B90" s="87"/>
      <c r="C90" s="189"/>
      <c r="D90" s="188"/>
      <c r="E90" s="186"/>
      <c r="F90" s="186">
        <f t="shared" si="3"/>
        <v>0</v>
      </c>
      <c r="G90" s="186" t="str">
        <f>IF(IFERROR(IF(Str_TypeDonneesCpt5=Cpt_Index,Tab_Compteur_5[[#This Row],[Index]]-E89,Tab_Compteur_5[[#This Row],[Quantité]])/Tab_Compteur_5[[#This Row],[Delta Jour]],"")&lt;0,"",IFERROR(IF(Str_TypeDonneesCpt5=Cpt_Index,Tab_Compteur_5[[#This Row],[Index]]-E89,Tab_Compteur_5[[#This Row],[Quantité]])/Tab_Compteur_5[[#This Row],[Delta Jour]],""))</f>
        <v/>
      </c>
      <c r="H90" s="186" t="str">
        <f>IFERROR(Tab_Compteur_5[[#This Row],[Montant]]/Tab_Compteur_5[[#This Row],[Delta Jour]],"")</f>
        <v/>
      </c>
      <c r="I90" s="208" t="str">
        <f t="shared" si="4"/>
        <v/>
      </c>
      <c r="J90" s="209"/>
      <c r="K90" s="38"/>
      <c r="L90" s="38"/>
      <c r="M90" s="38"/>
    </row>
    <row r="91" spans="1:13">
      <c r="A91" s="3">
        <f t="shared" si="5"/>
        <v>1</v>
      </c>
      <c r="B91" s="87"/>
      <c r="C91" s="189"/>
      <c r="D91" s="188"/>
      <c r="E91" s="186"/>
      <c r="F91" s="186">
        <f t="shared" si="3"/>
        <v>0</v>
      </c>
      <c r="G91" s="186" t="str">
        <f>IF(IFERROR(IF(Str_TypeDonneesCpt5=Cpt_Index,Tab_Compteur_5[[#This Row],[Index]]-E90,Tab_Compteur_5[[#This Row],[Quantité]])/Tab_Compteur_5[[#This Row],[Delta Jour]],"")&lt;0,"",IFERROR(IF(Str_TypeDonneesCpt5=Cpt_Index,Tab_Compteur_5[[#This Row],[Index]]-E90,Tab_Compteur_5[[#This Row],[Quantité]])/Tab_Compteur_5[[#This Row],[Delta Jour]],""))</f>
        <v/>
      </c>
      <c r="H91" s="186" t="str">
        <f>IFERROR(Tab_Compteur_5[[#This Row],[Montant]]/Tab_Compteur_5[[#This Row],[Delta Jour]],"")</f>
        <v/>
      </c>
      <c r="I91" s="208" t="str">
        <f t="shared" si="4"/>
        <v/>
      </c>
      <c r="J91" s="209"/>
      <c r="K91" s="38"/>
      <c r="L91" s="38"/>
      <c r="M91" s="38"/>
    </row>
    <row r="92" spans="1:13">
      <c r="A92" s="3">
        <f t="shared" si="5"/>
        <v>1</v>
      </c>
      <c r="B92" s="87"/>
      <c r="C92" s="189"/>
      <c r="D92" s="188"/>
      <c r="E92" s="186"/>
      <c r="F92" s="186">
        <f t="shared" si="3"/>
        <v>0</v>
      </c>
      <c r="G92" s="186" t="str">
        <f>IF(IFERROR(IF(Str_TypeDonneesCpt5=Cpt_Index,Tab_Compteur_5[[#This Row],[Index]]-E91,Tab_Compteur_5[[#This Row],[Quantité]])/Tab_Compteur_5[[#This Row],[Delta Jour]],"")&lt;0,"",IFERROR(IF(Str_TypeDonneesCpt5=Cpt_Index,Tab_Compteur_5[[#This Row],[Index]]-E91,Tab_Compteur_5[[#This Row],[Quantité]])/Tab_Compteur_5[[#This Row],[Delta Jour]],""))</f>
        <v/>
      </c>
      <c r="H92" s="186" t="str">
        <f>IFERROR(Tab_Compteur_5[[#This Row],[Montant]]/Tab_Compteur_5[[#This Row],[Delta Jour]],"")</f>
        <v/>
      </c>
      <c r="I92" s="208" t="str">
        <f t="shared" si="4"/>
        <v/>
      </c>
      <c r="J92" s="209"/>
      <c r="K92" s="38"/>
      <c r="L92" s="38"/>
      <c r="M92" s="38"/>
    </row>
    <row r="93" spans="1:13">
      <c r="A93" s="3">
        <f t="shared" si="5"/>
        <v>1</v>
      </c>
      <c r="B93" s="87"/>
      <c r="C93" s="189"/>
      <c r="D93" s="188"/>
      <c r="E93" s="186"/>
      <c r="F93" s="186">
        <f t="shared" si="3"/>
        <v>0</v>
      </c>
      <c r="G93" s="186" t="str">
        <f>IF(IFERROR(IF(Str_TypeDonneesCpt5=Cpt_Index,Tab_Compteur_5[[#This Row],[Index]]-E92,Tab_Compteur_5[[#This Row],[Quantité]])/Tab_Compteur_5[[#This Row],[Delta Jour]],"")&lt;0,"",IFERROR(IF(Str_TypeDonneesCpt5=Cpt_Index,Tab_Compteur_5[[#This Row],[Index]]-E92,Tab_Compteur_5[[#This Row],[Quantité]])/Tab_Compteur_5[[#This Row],[Delta Jour]],""))</f>
        <v/>
      </c>
      <c r="H93" s="186" t="str">
        <f>IFERROR(Tab_Compteur_5[[#This Row],[Montant]]/Tab_Compteur_5[[#This Row],[Delta Jour]],"")</f>
        <v/>
      </c>
      <c r="I93" s="208" t="str">
        <f t="shared" si="4"/>
        <v/>
      </c>
      <c r="J93" s="209"/>
      <c r="K93" s="38"/>
      <c r="L93" s="38"/>
      <c r="M93" s="38"/>
    </row>
    <row r="94" spans="1:13">
      <c r="A94" s="3">
        <f t="shared" si="5"/>
        <v>1</v>
      </c>
      <c r="B94" s="87"/>
      <c r="C94" s="189"/>
      <c r="D94" s="188"/>
      <c r="E94" s="186"/>
      <c r="F94" s="186">
        <f t="shared" si="3"/>
        <v>0</v>
      </c>
      <c r="G94" s="186" t="str">
        <f>IF(IFERROR(IF(Str_TypeDonneesCpt5=Cpt_Index,Tab_Compteur_5[[#This Row],[Index]]-E93,Tab_Compteur_5[[#This Row],[Quantité]])/Tab_Compteur_5[[#This Row],[Delta Jour]],"")&lt;0,"",IFERROR(IF(Str_TypeDonneesCpt5=Cpt_Index,Tab_Compteur_5[[#This Row],[Index]]-E93,Tab_Compteur_5[[#This Row],[Quantité]])/Tab_Compteur_5[[#This Row],[Delta Jour]],""))</f>
        <v/>
      </c>
      <c r="H94" s="186" t="str">
        <f>IFERROR(Tab_Compteur_5[[#This Row],[Montant]]/Tab_Compteur_5[[#This Row],[Delta Jour]],"")</f>
        <v/>
      </c>
      <c r="I94" s="208" t="str">
        <f t="shared" si="4"/>
        <v/>
      </c>
      <c r="J94" s="209"/>
      <c r="K94" s="38"/>
      <c r="L94" s="38"/>
      <c r="M94" s="38"/>
    </row>
    <row r="95" spans="1:13">
      <c r="A95" s="3">
        <f t="shared" si="5"/>
        <v>1</v>
      </c>
      <c r="B95" s="87"/>
      <c r="C95" s="189"/>
      <c r="D95" s="188"/>
      <c r="E95" s="186"/>
      <c r="F95" s="186">
        <f t="shared" si="3"/>
        <v>0</v>
      </c>
      <c r="G95" s="186" t="str">
        <f>IF(IFERROR(IF(Str_TypeDonneesCpt5=Cpt_Index,Tab_Compteur_5[[#This Row],[Index]]-E94,Tab_Compteur_5[[#This Row],[Quantité]])/Tab_Compteur_5[[#This Row],[Delta Jour]],"")&lt;0,"",IFERROR(IF(Str_TypeDonneesCpt5=Cpt_Index,Tab_Compteur_5[[#This Row],[Index]]-E94,Tab_Compteur_5[[#This Row],[Quantité]])/Tab_Compteur_5[[#This Row],[Delta Jour]],""))</f>
        <v/>
      </c>
      <c r="H95" s="186" t="str">
        <f>IFERROR(Tab_Compteur_5[[#This Row],[Montant]]/Tab_Compteur_5[[#This Row],[Delta Jour]],"")</f>
        <v/>
      </c>
      <c r="I95" s="208" t="str">
        <f t="shared" si="4"/>
        <v/>
      </c>
      <c r="J95" s="209"/>
      <c r="K95" s="38"/>
      <c r="L95" s="38"/>
      <c r="M95" s="38"/>
    </row>
    <row r="96" spans="1:13">
      <c r="A96" s="3">
        <f t="shared" si="5"/>
        <v>1</v>
      </c>
      <c r="B96" s="87"/>
      <c r="C96" s="189"/>
      <c r="D96" s="188"/>
      <c r="E96" s="186"/>
      <c r="F96" s="186">
        <f t="shared" si="3"/>
        <v>0</v>
      </c>
      <c r="G96" s="186" t="str">
        <f>IF(IFERROR(IF(Str_TypeDonneesCpt5=Cpt_Index,Tab_Compteur_5[[#This Row],[Index]]-E95,Tab_Compteur_5[[#This Row],[Quantité]])/Tab_Compteur_5[[#This Row],[Delta Jour]],"")&lt;0,"",IFERROR(IF(Str_TypeDonneesCpt5=Cpt_Index,Tab_Compteur_5[[#This Row],[Index]]-E95,Tab_Compteur_5[[#This Row],[Quantité]])/Tab_Compteur_5[[#This Row],[Delta Jour]],""))</f>
        <v/>
      </c>
      <c r="H96" s="186" t="str">
        <f>IFERROR(Tab_Compteur_5[[#This Row],[Montant]]/Tab_Compteur_5[[#This Row],[Delta Jour]],"")</f>
        <v/>
      </c>
      <c r="I96" s="208" t="str">
        <f t="shared" si="4"/>
        <v/>
      </c>
      <c r="J96" s="209"/>
      <c r="K96" s="38"/>
      <c r="L96" s="38"/>
      <c r="M96" s="38"/>
    </row>
    <row r="97" spans="1:13">
      <c r="A97" s="3">
        <f t="shared" si="5"/>
        <v>1</v>
      </c>
      <c r="B97" s="87"/>
      <c r="C97" s="189"/>
      <c r="D97" s="188"/>
      <c r="E97" s="186"/>
      <c r="F97" s="186">
        <f t="shared" si="3"/>
        <v>0</v>
      </c>
      <c r="G97" s="186" t="str">
        <f>IF(IFERROR(IF(Str_TypeDonneesCpt5=Cpt_Index,Tab_Compteur_5[[#This Row],[Index]]-E96,Tab_Compteur_5[[#This Row],[Quantité]])/Tab_Compteur_5[[#This Row],[Delta Jour]],"")&lt;0,"",IFERROR(IF(Str_TypeDonneesCpt5=Cpt_Index,Tab_Compteur_5[[#This Row],[Index]]-E96,Tab_Compteur_5[[#This Row],[Quantité]])/Tab_Compteur_5[[#This Row],[Delta Jour]],""))</f>
        <v/>
      </c>
      <c r="H97" s="186" t="str">
        <f>IFERROR(Tab_Compteur_5[[#This Row],[Montant]]/Tab_Compteur_5[[#This Row],[Delta Jour]],"")</f>
        <v/>
      </c>
      <c r="I97" s="208" t="str">
        <f t="shared" si="4"/>
        <v/>
      </c>
      <c r="J97" s="209"/>
      <c r="K97" s="38"/>
      <c r="L97" s="38"/>
      <c r="M97" s="38"/>
    </row>
    <row r="98" spans="1:13">
      <c r="A98" s="3">
        <f t="shared" si="5"/>
        <v>1</v>
      </c>
      <c r="B98" s="87"/>
      <c r="C98" s="189"/>
      <c r="D98" s="188"/>
      <c r="E98" s="186"/>
      <c r="F98" s="186">
        <f t="shared" si="3"/>
        <v>0</v>
      </c>
      <c r="G98" s="186" t="str">
        <f>IF(IFERROR(IF(Str_TypeDonneesCpt5=Cpt_Index,Tab_Compteur_5[[#This Row],[Index]]-E97,Tab_Compteur_5[[#This Row],[Quantité]])/Tab_Compteur_5[[#This Row],[Delta Jour]],"")&lt;0,"",IFERROR(IF(Str_TypeDonneesCpt5=Cpt_Index,Tab_Compteur_5[[#This Row],[Index]]-E97,Tab_Compteur_5[[#This Row],[Quantité]])/Tab_Compteur_5[[#This Row],[Delta Jour]],""))</f>
        <v/>
      </c>
      <c r="H98" s="186" t="str">
        <f>IFERROR(Tab_Compteur_5[[#This Row],[Montant]]/Tab_Compteur_5[[#This Row],[Delta Jour]],"")</f>
        <v/>
      </c>
      <c r="I98" s="208" t="str">
        <f t="shared" si="4"/>
        <v/>
      </c>
      <c r="J98" s="209"/>
      <c r="K98" s="38"/>
      <c r="L98" s="38"/>
      <c r="M98" s="38"/>
    </row>
    <row r="99" spans="1:13">
      <c r="A99" s="3">
        <f t="shared" si="5"/>
        <v>1</v>
      </c>
      <c r="B99" s="87"/>
      <c r="C99" s="189"/>
      <c r="D99" s="188"/>
      <c r="E99" s="186"/>
      <c r="F99" s="186">
        <f t="shared" si="3"/>
        <v>0</v>
      </c>
      <c r="G99" s="186" t="str">
        <f>IF(IFERROR(IF(Str_TypeDonneesCpt5=Cpt_Index,Tab_Compteur_5[[#This Row],[Index]]-E98,Tab_Compteur_5[[#This Row],[Quantité]])/Tab_Compteur_5[[#This Row],[Delta Jour]],"")&lt;0,"",IFERROR(IF(Str_TypeDonneesCpt5=Cpt_Index,Tab_Compteur_5[[#This Row],[Index]]-E98,Tab_Compteur_5[[#This Row],[Quantité]])/Tab_Compteur_5[[#This Row],[Delta Jour]],""))</f>
        <v/>
      </c>
      <c r="H99" s="186" t="str">
        <f>IFERROR(Tab_Compteur_5[[#This Row],[Montant]]/Tab_Compteur_5[[#This Row],[Delta Jour]],"")</f>
        <v/>
      </c>
      <c r="I99" s="208" t="str">
        <f t="shared" si="4"/>
        <v/>
      </c>
      <c r="J99" s="209"/>
      <c r="K99" s="38"/>
      <c r="L99" s="38"/>
      <c r="M99" s="38"/>
    </row>
    <row r="100" spans="1:13">
      <c r="A100" s="3">
        <f t="shared" si="5"/>
        <v>1</v>
      </c>
      <c r="B100" s="87"/>
      <c r="C100" s="189"/>
      <c r="D100" s="188"/>
      <c r="E100" s="186"/>
      <c r="F100" s="186">
        <f t="shared" si="3"/>
        <v>0</v>
      </c>
      <c r="G100" s="186" t="str">
        <f>IF(IFERROR(IF(Str_TypeDonneesCpt5=Cpt_Index,Tab_Compteur_5[[#This Row],[Index]]-E99,Tab_Compteur_5[[#This Row],[Quantité]])/Tab_Compteur_5[[#This Row],[Delta Jour]],"")&lt;0,"",IFERROR(IF(Str_TypeDonneesCpt5=Cpt_Index,Tab_Compteur_5[[#This Row],[Index]]-E99,Tab_Compteur_5[[#This Row],[Quantité]])/Tab_Compteur_5[[#This Row],[Delta Jour]],""))</f>
        <v/>
      </c>
      <c r="H100" s="186" t="str">
        <f>IFERROR(Tab_Compteur_5[[#This Row],[Montant]]/Tab_Compteur_5[[#This Row],[Delta Jour]],"")</f>
        <v/>
      </c>
      <c r="I100" s="208" t="str">
        <f t="shared" si="4"/>
        <v/>
      </c>
      <c r="J100" s="209"/>
      <c r="K100" s="38"/>
      <c r="L100" s="38"/>
      <c r="M100" s="38"/>
    </row>
    <row r="101" spans="1:13">
      <c r="A101" s="3">
        <f t="shared" si="5"/>
        <v>1</v>
      </c>
      <c r="B101" s="87"/>
      <c r="C101" s="189"/>
      <c r="D101" s="188"/>
      <c r="E101" s="186"/>
      <c r="F101" s="186">
        <f t="shared" si="3"/>
        <v>0</v>
      </c>
      <c r="G101" s="186" t="str">
        <f>IF(IFERROR(IF(Str_TypeDonneesCpt5=Cpt_Index,Tab_Compteur_5[[#This Row],[Index]]-E100,Tab_Compteur_5[[#This Row],[Quantité]])/Tab_Compteur_5[[#This Row],[Delta Jour]],"")&lt;0,"",IFERROR(IF(Str_TypeDonneesCpt5=Cpt_Index,Tab_Compteur_5[[#This Row],[Index]]-E100,Tab_Compteur_5[[#This Row],[Quantité]])/Tab_Compteur_5[[#This Row],[Delta Jour]],""))</f>
        <v/>
      </c>
      <c r="H101" s="186" t="str">
        <f>IFERROR(Tab_Compteur_5[[#This Row],[Montant]]/Tab_Compteur_5[[#This Row],[Delta Jour]],"")</f>
        <v/>
      </c>
      <c r="I101" s="208" t="str">
        <f t="shared" si="4"/>
        <v/>
      </c>
      <c r="J101" s="209"/>
      <c r="K101" s="38"/>
      <c r="L101" s="38"/>
      <c r="M101" s="38"/>
    </row>
    <row r="102" spans="1:13">
      <c r="A102" s="3">
        <f t="shared" si="5"/>
        <v>1</v>
      </c>
      <c r="B102" s="87"/>
      <c r="C102" s="189"/>
      <c r="D102" s="188"/>
      <c r="E102" s="186"/>
      <c r="F102" s="186">
        <f t="shared" si="3"/>
        <v>0</v>
      </c>
      <c r="G102" s="186" t="str">
        <f>IF(IFERROR(IF(Str_TypeDonneesCpt5=Cpt_Index,Tab_Compteur_5[[#This Row],[Index]]-E101,Tab_Compteur_5[[#This Row],[Quantité]])/Tab_Compteur_5[[#This Row],[Delta Jour]],"")&lt;0,"",IFERROR(IF(Str_TypeDonneesCpt5=Cpt_Index,Tab_Compteur_5[[#This Row],[Index]]-E101,Tab_Compteur_5[[#This Row],[Quantité]])/Tab_Compteur_5[[#This Row],[Delta Jour]],""))</f>
        <v/>
      </c>
      <c r="H102" s="186" t="str">
        <f>IFERROR(Tab_Compteur_5[[#This Row],[Montant]]/Tab_Compteur_5[[#This Row],[Delta Jour]],"")</f>
        <v/>
      </c>
      <c r="I102" s="208" t="str">
        <f t="shared" si="4"/>
        <v/>
      </c>
      <c r="J102" s="209"/>
      <c r="K102" s="38"/>
      <c r="L102" s="38"/>
      <c r="M102" s="38"/>
    </row>
    <row r="103" spans="1:13">
      <c r="A103" s="3">
        <f t="shared" si="5"/>
        <v>1</v>
      </c>
      <c r="B103" s="87"/>
      <c r="C103" s="189"/>
      <c r="D103" s="188"/>
      <c r="E103" s="186"/>
      <c r="F103" s="186">
        <f t="shared" si="3"/>
        <v>0</v>
      </c>
      <c r="G103" s="186" t="str">
        <f>IF(IFERROR(IF(Str_TypeDonneesCpt5=Cpt_Index,Tab_Compteur_5[[#This Row],[Index]]-E102,Tab_Compteur_5[[#This Row],[Quantité]])/Tab_Compteur_5[[#This Row],[Delta Jour]],"")&lt;0,"",IFERROR(IF(Str_TypeDonneesCpt5=Cpt_Index,Tab_Compteur_5[[#This Row],[Index]]-E102,Tab_Compteur_5[[#This Row],[Quantité]])/Tab_Compteur_5[[#This Row],[Delta Jour]],""))</f>
        <v/>
      </c>
      <c r="H103" s="186" t="str">
        <f>IFERROR(Tab_Compteur_5[[#This Row],[Montant]]/Tab_Compteur_5[[#This Row],[Delta Jour]],"")</f>
        <v/>
      </c>
      <c r="I103" s="208" t="str">
        <f t="shared" si="4"/>
        <v/>
      </c>
      <c r="J103" s="209"/>
      <c r="K103" s="38"/>
      <c r="L103" s="38"/>
      <c r="M103" s="38"/>
    </row>
    <row r="104" spans="1:13">
      <c r="A104" s="3">
        <f t="shared" si="5"/>
        <v>1</v>
      </c>
      <c r="B104" s="87"/>
      <c r="C104" s="189"/>
      <c r="D104" s="188"/>
      <c r="E104" s="186"/>
      <c r="F104" s="186">
        <f t="shared" si="3"/>
        <v>0</v>
      </c>
      <c r="G104" s="186" t="str">
        <f>IF(IFERROR(IF(Str_TypeDonneesCpt5=Cpt_Index,Tab_Compteur_5[[#This Row],[Index]]-E103,Tab_Compteur_5[[#This Row],[Quantité]])/Tab_Compteur_5[[#This Row],[Delta Jour]],"")&lt;0,"",IFERROR(IF(Str_TypeDonneesCpt5=Cpt_Index,Tab_Compteur_5[[#This Row],[Index]]-E103,Tab_Compteur_5[[#This Row],[Quantité]])/Tab_Compteur_5[[#This Row],[Delta Jour]],""))</f>
        <v/>
      </c>
      <c r="H104" s="186" t="str">
        <f>IFERROR(Tab_Compteur_5[[#This Row],[Montant]]/Tab_Compteur_5[[#This Row],[Delta Jour]],"")</f>
        <v/>
      </c>
      <c r="I104" s="208" t="str">
        <f t="shared" si="4"/>
        <v/>
      </c>
      <c r="J104" s="209"/>
      <c r="K104" s="38"/>
      <c r="L104" s="38"/>
      <c r="M104" s="38"/>
    </row>
    <row r="105" spans="1:13">
      <c r="A105" s="3">
        <f t="shared" si="5"/>
        <v>1</v>
      </c>
      <c r="B105" s="87"/>
      <c r="C105" s="189"/>
      <c r="D105" s="188"/>
      <c r="E105" s="186"/>
      <c r="F105" s="186">
        <f t="shared" si="3"/>
        <v>0</v>
      </c>
      <c r="G105" s="186" t="str">
        <f>IF(IFERROR(IF(Str_TypeDonneesCpt5=Cpt_Index,Tab_Compteur_5[[#This Row],[Index]]-E104,Tab_Compteur_5[[#This Row],[Quantité]])/Tab_Compteur_5[[#This Row],[Delta Jour]],"")&lt;0,"",IFERROR(IF(Str_TypeDonneesCpt5=Cpt_Index,Tab_Compteur_5[[#This Row],[Index]]-E104,Tab_Compteur_5[[#This Row],[Quantité]])/Tab_Compteur_5[[#This Row],[Delta Jour]],""))</f>
        <v/>
      </c>
      <c r="H105" s="186" t="str">
        <f>IFERROR(Tab_Compteur_5[[#This Row],[Montant]]/Tab_Compteur_5[[#This Row],[Delta Jour]],"")</f>
        <v/>
      </c>
      <c r="I105" s="208" t="str">
        <f t="shared" si="4"/>
        <v/>
      </c>
      <c r="J105" s="209"/>
      <c r="K105" s="38"/>
      <c r="L105" s="38"/>
      <c r="M105" s="38"/>
    </row>
    <row r="106" spans="1:13">
      <c r="A106" s="3">
        <f t="shared" si="5"/>
        <v>1</v>
      </c>
      <c r="B106" s="87"/>
      <c r="C106" s="189"/>
      <c r="D106" s="188"/>
      <c r="E106" s="186"/>
      <c r="F106" s="186">
        <f t="shared" si="3"/>
        <v>0</v>
      </c>
      <c r="G106" s="186" t="str">
        <f>IF(IFERROR(IF(Str_TypeDonneesCpt5=Cpt_Index,Tab_Compteur_5[[#This Row],[Index]]-E105,Tab_Compteur_5[[#This Row],[Quantité]])/Tab_Compteur_5[[#This Row],[Delta Jour]],"")&lt;0,"",IFERROR(IF(Str_TypeDonneesCpt5=Cpt_Index,Tab_Compteur_5[[#This Row],[Index]]-E105,Tab_Compteur_5[[#This Row],[Quantité]])/Tab_Compteur_5[[#This Row],[Delta Jour]],""))</f>
        <v/>
      </c>
      <c r="H106" s="186" t="str">
        <f>IFERROR(Tab_Compteur_5[[#This Row],[Montant]]/Tab_Compteur_5[[#This Row],[Delta Jour]],"")</f>
        <v/>
      </c>
      <c r="I106" s="208" t="str">
        <f t="shared" si="4"/>
        <v/>
      </c>
      <c r="J106" s="209"/>
      <c r="K106" s="38"/>
      <c r="L106" s="38"/>
      <c r="M106" s="38"/>
    </row>
    <row r="107" spans="1:13">
      <c r="A107" s="3">
        <f t="shared" si="5"/>
        <v>1</v>
      </c>
      <c r="B107" s="87"/>
      <c r="C107" s="189"/>
      <c r="D107" s="188"/>
      <c r="E107" s="186"/>
      <c r="F107" s="186">
        <f t="shared" si="3"/>
        <v>0</v>
      </c>
      <c r="G107" s="186" t="str">
        <f>IF(IFERROR(IF(Str_TypeDonneesCpt5=Cpt_Index,Tab_Compteur_5[[#This Row],[Index]]-E106,Tab_Compteur_5[[#This Row],[Quantité]])/Tab_Compteur_5[[#This Row],[Delta Jour]],"")&lt;0,"",IFERROR(IF(Str_TypeDonneesCpt5=Cpt_Index,Tab_Compteur_5[[#This Row],[Index]]-E106,Tab_Compteur_5[[#This Row],[Quantité]])/Tab_Compteur_5[[#This Row],[Delta Jour]],""))</f>
        <v/>
      </c>
      <c r="H107" s="186" t="str">
        <f>IFERROR(Tab_Compteur_5[[#This Row],[Montant]]/Tab_Compteur_5[[#This Row],[Delta Jour]],"")</f>
        <v/>
      </c>
      <c r="I107" s="208" t="str">
        <f t="shared" si="4"/>
        <v/>
      </c>
      <c r="J107" s="209"/>
      <c r="K107" s="38"/>
      <c r="L107" s="38"/>
      <c r="M107" s="38"/>
    </row>
    <row r="108" spans="1:13">
      <c r="A108" s="3">
        <f t="shared" si="5"/>
        <v>1</v>
      </c>
      <c r="B108" s="87"/>
      <c r="C108" s="189"/>
      <c r="D108" s="188"/>
      <c r="E108" s="186"/>
      <c r="F108" s="186">
        <f t="shared" si="3"/>
        <v>0</v>
      </c>
      <c r="G108" s="186" t="str">
        <f>IF(IFERROR(IF(Str_TypeDonneesCpt5=Cpt_Index,Tab_Compteur_5[[#This Row],[Index]]-E107,Tab_Compteur_5[[#This Row],[Quantité]])/Tab_Compteur_5[[#This Row],[Delta Jour]],"")&lt;0,"",IFERROR(IF(Str_TypeDonneesCpt5=Cpt_Index,Tab_Compteur_5[[#This Row],[Index]]-E107,Tab_Compteur_5[[#This Row],[Quantité]])/Tab_Compteur_5[[#This Row],[Delta Jour]],""))</f>
        <v/>
      </c>
      <c r="H108" s="186" t="str">
        <f>IFERROR(Tab_Compteur_5[[#This Row],[Montant]]/Tab_Compteur_5[[#This Row],[Delta Jour]],"")</f>
        <v/>
      </c>
      <c r="I108" s="208" t="str">
        <f t="shared" si="4"/>
        <v/>
      </c>
      <c r="J108" s="209"/>
      <c r="K108" s="38"/>
      <c r="L108" s="38"/>
      <c r="M108" s="38"/>
    </row>
    <row r="109" spans="1:13">
      <c r="A109" s="3">
        <f t="shared" si="5"/>
        <v>1</v>
      </c>
      <c r="B109" s="87"/>
      <c r="C109" s="189"/>
      <c r="D109" s="188"/>
      <c r="E109" s="186"/>
      <c r="F109" s="186">
        <f t="shared" si="3"/>
        <v>0</v>
      </c>
      <c r="G109" s="186" t="str">
        <f>IF(IFERROR(IF(Str_TypeDonneesCpt5=Cpt_Index,Tab_Compteur_5[[#This Row],[Index]]-E108,Tab_Compteur_5[[#This Row],[Quantité]])/Tab_Compteur_5[[#This Row],[Delta Jour]],"")&lt;0,"",IFERROR(IF(Str_TypeDonneesCpt5=Cpt_Index,Tab_Compteur_5[[#This Row],[Index]]-E108,Tab_Compteur_5[[#This Row],[Quantité]])/Tab_Compteur_5[[#This Row],[Delta Jour]],""))</f>
        <v/>
      </c>
      <c r="H109" s="186" t="str">
        <f>IFERROR(Tab_Compteur_5[[#This Row],[Montant]]/Tab_Compteur_5[[#This Row],[Delta Jour]],"")</f>
        <v/>
      </c>
      <c r="I109" s="208" t="str">
        <f t="shared" si="4"/>
        <v/>
      </c>
      <c r="J109" s="209"/>
      <c r="K109" s="38"/>
      <c r="L109" s="38"/>
      <c r="M109" s="38"/>
    </row>
    <row r="110" spans="1:13">
      <c r="A110" s="3">
        <f t="shared" si="5"/>
        <v>1</v>
      </c>
      <c r="B110" s="87"/>
      <c r="C110" s="189"/>
      <c r="D110" s="188"/>
      <c r="E110" s="186"/>
      <c r="F110" s="186">
        <f t="shared" si="3"/>
        <v>0</v>
      </c>
      <c r="G110" s="186" t="str">
        <f>IF(IFERROR(IF(Str_TypeDonneesCpt5=Cpt_Index,Tab_Compteur_5[[#This Row],[Index]]-E109,Tab_Compteur_5[[#This Row],[Quantité]])/Tab_Compteur_5[[#This Row],[Delta Jour]],"")&lt;0,"",IFERROR(IF(Str_TypeDonneesCpt5=Cpt_Index,Tab_Compteur_5[[#This Row],[Index]]-E109,Tab_Compteur_5[[#This Row],[Quantité]])/Tab_Compteur_5[[#This Row],[Delta Jour]],""))</f>
        <v/>
      </c>
      <c r="H110" s="186" t="str">
        <f>IFERROR(Tab_Compteur_5[[#This Row],[Montant]]/Tab_Compteur_5[[#This Row],[Delta Jour]],"")</f>
        <v/>
      </c>
      <c r="I110" s="208" t="str">
        <f t="shared" si="4"/>
        <v/>
      </c>
      <c r="J110" s="209"/>
      <c r="K110" s="38"/>
      <c r="L110" s="38"/>
      <c r="M110" s="38"/>
    </row>
    <row r="111" spans="1:13">
      <c r="A111" s="3">
        <f t="shared" si="5"/>
        <v>1</v>
      </c>
      <c r="B111" s="87"/>
      <c r="C111" s="189"/>
      <c r="D111" s="188"/>
      <c r="E111" s="186"/>
      <c r="F111" s="186">
        <f t="shared" si="3"/>
        <v>0</v>
      </c>
      <c r="G111" s="186" t="str">
        <f>IF(IFERROR(IF(Str_TypeDonneesCpt5=Cpt_Index,Tab_Compteur_5[[#This Row],[Index]]-E110,Tab_Compteur_5[[#This Row],[Quantité]])/Tab_Compteur_5[[#This Row],[Delta Jour]],"")&lt;0,"",IFERROR(IF(Str_TypeDonneesCpt5=Cpt_Index,Tab_Compteur_5[[#This Row],[Index]]-E110,Tab_Compteur_5[[#This Row],[Quantité]])/Tab_Compteur_5[[#This Row],[Delta Jour]],""))</f>
        <v/>
      </c>
      <c r="H111" s="186" t="str">
        <f>IFERROR(Tab_Compteur_5[[#This Row],[Montant]]/Tab_Compteur_5[[#This Row],[Delta Jour]],"")</f>
        <v/>
      </c>
      <c r="I111" s="208" t="str">
        <f t="shared" si="4"/>
        <v/>
      </c>
      <c r="J111" s="209"/>
      <c r="K111" s="38"/>
      <c r="L111" s="38"/>
      <c r="M111" s="38"/>
    </row>
    <row r="112" spans="1:13">
      <c r="A112" s="3">
        <f t="shared" si="5"/>
        <v>1</v>
      </c>
      <c r="B112" s="87"/>
      <c r="C112" s="189"/>
      <c r="D112" s="188"/>
      <c r="E112" s="186"/>
      <c r="F112" s="186">
        <f t="shared" si="3"/>
        <v>0</v>
      </c>
      <c r="G112" s="186" t="str">
        <f>IF(IFERROR(IF(Str_TypeDonneesCpt5=Cpt_Index,Tab_Compteur_5[[#This Row],[Index]]-E111,Tab_Compteur_5[[#This Row],[Quantité]])/Tab_Compteur_5[[#This Row],[Delta Jour]],"")&lt;0,"",IFERROR(IF(Str_TypeDonneesCpt5=Cpt_Index,Tab_Compteur_5[[#This Row],[Index]]-E111,Tab_Compteur_5[[#This Row],[Quantité]])/Tab_Compteur_5[[#This Row],[Delta Jour]],""))</f>
        <v/>
      </c>
      <c r="H112" s="186" t="str">
        <f>IFERROR(Tab_Compteur_5[[#This Row],[Montant]]/Tab_Compteur_5[[#This Row],[Delta Jour]],"")</f>
        <v/>
      </c>
      <c r="I112" s="208" t="str">
        <f t="shared" si="4"/>
        <v/>
      </c>
      <c r="J112" s="209"/>
      <c r="K112" s="38"/>
      <c r="L112" s="38"/>
      <c r="M112" s="38"/>
    </row>
    <row r="113" spans="1:13">
      <c r="A113" s="3">
        <f t="shared" si="5"/>
        <v>1</v>
      </c>
      <c r="B113" s="87"/>
      <c r="C113" s="189"/>
      <c r="D113" s="188"/>
      <c r="E113" s="186"/>
      <c r="F113" s="186">
        <f t="shared" si="3"/>
        <v>0</v>
      </c>
      <c r="G113" s="186" t="str">
        <f>IF(IFERROR(IF(Str_TypeDonneesCpt5=Cpt_Index,Tab_Compteur_5[[#This Row],[Index]]-E112,Tab_Compteur_5[[#This Row],[Quantité]])/Tab_Compteur_5[[#This Row],[Delta Jour]],"")&lt;0,"",IFERROR(IF(Str_TypeDonneesCpt5=Cpt_Index,Tab_Compteur_5[[#This Row],[Index]]-E112,Tab_Compteur_5[[#This Row],[Quantité]])/Tab_Compteur_5[[#This Row],[Delta Jour]],""))</f>
        <v/>
      </c>
      <c r="H113" s="186" t="str">
        <f>IFERROR(Tab_Compteur_5[[#This Row],[Montant]]/Tab_Compteur_5[[#This Row],[Delta Jour]],"")</f>
        <v/>
      </c>
      <c r="I113" s="208" t="str">
        <f t="shared" si="4"/>
        <v/>
      </c>
      <c r="J113" s="209"/>
      <c r="K113" s="38"/>
      <c r="L113" s="38"/>
      <c r="M113" s="38"/>
    </row>
    <row r="114" spans="1:13">
      <c r="A114" s="3">
        <f t="shared" si="5"/>
        <v>1</v>
      </c>
      <c r="B114" s="87"/>
      <c r="C114" s="189"/>
      <c r="D114" s="188"/>
      <c r="E114" s="186"/>
      <c r="F114" s="186">
        <f t="shared" si="3"/>
        <v>0</v>
      </c>
      <c r="G114" s="186" t="str">
        <f>IF(IFERROR(IF(Str_TypeDonneesCpt5=Cpt_Index,Tab_Compteur_5[[#This Row],[Index]]-E113,Tab_Compteur_5[[#This Row],[Quantité]])/Tab_Compteur_5[[#This Row],[Delta Jour]],"")&lt;0,"",IFERROR(IF(Str_TypeDonneesCpt5=Cpt_Index,Tab_Compteur_5[[#This Row],[Index]]-E113,Tab_Compteur_5[[#This Row],[Quantité]])/Tab_Compteur_5[[#This Row],[Delta Jour]],""))</f>
        <v/>
      </c>
      <c r="H114" s="186" t="str">
        <f>IFERROR(Tab_Compteur_5[[#This Row],[Montant]]/Tab_Compteur_5[[#This Row],[Delta Jour]],"")</f>
        <v/>
      </c>
      <c r="I114" s="208" t="str">
        <f t="shared" si="4"/>
        <v/>
      </c>
      <c r="J114" s="209"/>
      <c r="K114" s="38"/>
      <c r="L114" s="38"/>
      <c r="M114" s="38"/>
    </row>
    <row r="115" spans="1:13">
      <c r="A115" s="3">
        <f t="shared" si="5"/>
        <v>1</v>
      </c>
      <c r="B115" s="87"/>
      <c r="C115" s="189"/>
      <c r="D115" s="188"/>
      <c r="E115" s="186"/>
      <c r="F115" s="186">
        <f t="shared" si="3"/>
        <v>0</v>
      </c>
      <c r="G115" s="186" t="str">
        <f>IF(IFERROR(IF(Str_TypeDonneesCpt5=Cpt_Index,Tab_Compteur_5[[#This Row],[Index]]-E114,Tab_Compteur_5[[#This Row],[Quantité]])/Tab_Compteur_5[[#This Row],[Delta Jour]],"")&lt;0,"",IFERROR(IF(Str_TypeDonneesCpt5=Cpt_Index,Tab_Compteur_5[[#This Row],[Index]]-E114,Tab_Compteur_5[[#This Row],[Quantité]])/Tab_Compteur_5[[#This Row],[Delta Jour]],""))</f>
        <v/>
      </c>
      <c r="H115" s="186" t="str">
        <f>IFERROR(Tab_Compteur_5[[#This Row],[Montant]]/Tab_Compteur_5[[#This Row],[Delta Jour]],"")</f>
        <v/>
      </c>
      <c r="I115" s="208" t="str">
        <f t="shared" si="4"/>
        <v/>
      </c>
      <c r="J115" s="209"/>
      <c r="K115" s="38"/>
      <c r="L115" s="38"/>
      <c r="M115" s="38"/>
    </row>
    <row r="116" spans="1:13">
      <c r="A116" s="3">
        <f t="shared" si="5"/>
        <v>1</v>
      </c>
      <c r="B116" s="87"/>
      <c r="C116" s="189"/>
      <c r="D116" s="188"/>
      <c r="E116" s="186"/>
      <c r="F116" s="186">
        <f t="shared" si="3"/>
        <v>0</v>
      </c>
      <c r="G116" s="186" t="str">
        <f>IF(IFERROR(IF(Str_TypeDonneesCpt5=Cpt_Index,Tab_Compteur_5[[#This Row],[Index]]-E115,Tab_Compteur_5[[#This Row],[Quantité]])/Tab_Compteur_5[[#This Row],[Delta Jour]],"")&lt;0,"",IFERROR(IF(Str_TypeDonneesCpt5=Cpt_Index,Tab_Compteur_5[[#This Row],[Index]]-E115,Tab_Compteur_5[[#This Row],[Quantité]])/Tab_Compteur_5[[#This Row],[Delta Jour]],""))</f>
        <v/>
      </c>
      <c r="H116" s="186" t="str">
        <f>IFERROR(Tab_Compteur_5[[#This Row],[Montant]]/Tab_Compteur_5[[#This Row],[Delta Jour]],"")</f>
        <v/>
      </c>
      <c r="I116" s="208" t="str">
        <f t="shared" si="4"/>
        <v/>
      </c>
      <c r="J116" s="209"/>
      <c r="K116" s="38"/>
      <c r="L116" s="38"/>
      <c r="M116" s="38"/>
    </row>
    <row r="117" spans="1:13">
      <c r="A117" s="3">
        <f t="shared" si="5"/>
        <v>1</v>
      </c>
      <c r="B117" s="87"/>
      <c r="C117" s="189"/>
      <c r="D117" s="188"/>
      <c r="E117" s="186"/>
      <c r="F117" s="186">
        <f t="shared" si="3"/>
        <v>0</v>
      </c>
      <c r="G117" s="186" t="str">
        <f>IF(IFERROR(IF(Str_TypeDonneesCpt5=Cpt_Index,Tab_Compteur_5[[#This Row],[Index]]-E116,Tab_Compteur_5[[#This Row],[Quantité]])/Tab_Compteur_5[[#This Row],[Delta Jour]],"")&lt;0,"",IFERROR(IF(Str_TypeDonneesCpt5=Cpt_Index,Tab_Compteur_5[[#This Row],[Index]]-E116,Tab_Compteur_5[[#This Row],[Quantité]])/Tab_Compteur_5[[#This Row],[Delta Jour]],""))</f>
        <v/>
      </c>
      <c r="H117" s="186" t="str">
        <f>IFERROR(Tab_Compteur_5[[#This Row],[Montant]]/Tab_Compteur_5[[#This Row],[Delta Jour]],"")</f>
        <v/>
      </c>
      <c r="I117" s="208" t="str">
        <f t="shared" si="4"/>
        <v/>
      </c>
      <c r="J117" s="209"/>
      <c r="K117" s="38"/>
      <c r="L117" s="38"/>
      <c r="M117" s="38"/>
    </row>
    <row r="118" spans="1:13">
      <c r="A118" s="3">
        <f t="shared" si="5"/>
        <v>1</v>
      </c>
      <c r="B118" s="87"/>
      <c r="C118" s="189"/>
      <c r="D118" s="188"/>
      <c r="E118" s="186"/>
      <c r="F118" s="186">
        <f t="shared" si="3"/>
        <v>0</v>
      </c>
      <c r="G118" s="186" t="str">
        <f>IF(IFERROR(IF(Str_TypeDonneesCpt5=Cpt_Index,Tab_Compteur_5[[#This Row],[Index]]-E117,Tab_Compteur_5[[#This Row],[Quantité]])/Tab_Compteur_5[[#This Row],[Delta Jour]],"")&lt;0,"",IFERROR(IF(Str_TypeDonneesCpt5=Cpt_Index,Tab_Compteur_5[[#This Row],[Index]]-E117,Tab_Compteur_5[[#This Row],[Quantité]])/Tab_Compteur_5[[#This Row],[Delta Jour]],""))</f>
        <v/>
      </c>
      <c r="H118" s="186" t="str">
        <f>IFERROR(Tab_Compteur_5[[#This Row],[Montant]]/Tab_Compteur_5[[#This Row],[Delta Jour]],"")</f>
        <v/>
      </c>
      <c r="I118" s="208" t="str">
        <f t="shared" si="4"/>
        <v/>
      </c>
      <c r="J118" s="209"/>
      <c r="K118" s="38"/>
      <c r="L118" s="38"/>
      <c r="M118" s="38"/>
    </row>
    <row r="119" spans="1:13">
      <c r="A119" s="3">
        <f t="shared" si="5"/>
        <v>1</v>
      </c>
      <c r="B119" s="87"/>
      <c r="C119" s="189"/>
      <c r="D119" s="188"/>
      <c r="E119" s="186"/>
      <c r="F119" s="186">
        <f t="shared" si="3"/>
        <v>0</v>
      </c>
      <c r="G119" s="186" t="str">
        <f>IF(IFERROR(IF(Str_TypeDonneesCpt5=Cpt_Index,Tab_Compteur_5[[#This Row],[Index]]-E118,Tab_Compteur_5[[#This Row],[Quantité]])/Tab_Compteur_5[[#This Row],[Delta Jour]],"")&lt;0,"",IFERROR(IF(Str_TypeDonneesCpt5=Cpt_Index,Tab_Compteur_5[[#This Row],[Index]]-E118,Tab_Compteur_5[[#This Row],[Quantité]])/Tab_Compteur_5[[#This Row],[Delta Jour]],""))</f>
        <v/>
      </c>
      <c r="H119" s="186" t="str">
        <f>IFERROR(Tab_Compteur_5[[#This Row],[Montant]]/Tab_Compteur_5[[#This Row],[Delta Jour]],"")</f>
        <v/>
      </c>
      <c r="I119" s="208" t="str">
        <f t="shared" si="4"/>
        <v/>
      </c>
      <c r="J119" s="209"/>
      <c r="K119" s="38"/>
      <c r="L119" s="38"/>
      <c r="M119" s="38"/>
    </row>
    <row r="120" spans="1:13">
      <c r="A120" s="3">
        <f t="shared" si="5"/>
        <v>1</v>
      </c>
      <c r="B120" s="87"/>
      <c r="C120" s="189"/>
      <c r="D120" s="188"/>
      <c r="E120" s="186"/>
      <c r="F120" s="186">
        <f t="shared" si="3"/>
        <v>0</v>
      </c>
      <c r="G120" s="186" t="str">
        <f>IF(IFERROR(IF(Str_TypeDonneesCpt5=Cpt_Index,Tab_Compteur_5[[#This Row],[Index]]-E119,Tab_Compteur_5[[#This Row],[Quantité]])/Tab_Compteur_5[[#This Row],[Delta Jour]],"")&lt;0,"",IFERROR(IF(Str_TypeDonneesCpt5=Cpt_Index,Tab_Compteur_5[[#This Row],[Index]]-E119,Tab_Compteur_5[[#This Row],[Quantité]])/Tab_Compteur_5[[#This Row],[Delta Jour]],""))</f>
        <v/>
      </c>
      <c r="H120" s="186" t="str">
        <f>IFERROR(Tab_Compteur_5[[#This Row],[Montant]]/Tab_Compteur_5[[#This Row],[Delta Jour]],"")</f>
        <v/>
      </c>
      <c r="I120" s="208" t="str">
        <f t="shared" si="4"/>
        <v/>
      </c>
      <c r="J120" s="209"/>
      <c r="K120" s="38"/>
      <c r="L120" s="38"/>
      <c r="M120" s="38"/>
    </row>
    <row r="121" spans="1:13">
      <c r="A121" s="3">
        <f t="shared" si="5"/>
        <v>1</v>
      </c>
      <c r="B121" s="87"/>
      <c r="C121" s="189"/>
      <c r="D121" s="188"/>
      <c r="E121" s="186"/>
      <c r="F121" s="186">
        <f t="shared" si="3"/>
        <v>0</v>
      </c>
      <c r="G121" s="186" t="str">
        <f>IF(IFERROR(IF(Str_TypeDonneesCpt5=Cpt_Index,Tab_Compteur_5[[#This Row],[Index]]-E120,Tab_Compteur_5[[#This Row],[Quantité]])/Tab_Compteur_5[[#This Row],[Delta Jour]],"")&lt;0,"",IFERROR(IF(Str_TypeDonneesCpt5=Cpt_Index,Tab_Compteur_5[[#This Row],[Index]]-E120,Tab_Compteur_5[[#This Row],[Quantité]])/Tab_Compteur_5[[#This Row],[Delta Jour]],""))</f>
        <v/>
      </c>
      <c r="H121" s="186" t="str">
        <f>IFERROR(Tab_Compteur_5[[#This Row],[Montant]]/Tab_Compteur_5[[#This Row],[Delta Jour]],"")</f>
        <v/>
      </c>
      <c r="I121" s="208" t="str">
        <f t="shared" si="4"/>
        <v/>
      </c>
      <c r="J121" s="209"/>
      <c r="K121" s="38"/>
      <c r="L121" s="38"/>
      <c r="M121" s="38"/>
    </row>
    <row r="122" spans="1:13">
      <c r="A122" s="3">
        <f t="shared" si="5"/>
        <v>1</v>
      </c>
      <c r="B122" s="87"/>
      <c r="C122" s="189"/>
      <c r="D122" s="188"/>
      <c r="E122" s="186"/>
      <c r="F122" s="186">
        <f t="shared" si="3"/>
        <v>0</v>
      </c>
      <c r="G122" s="186" t="str">
        <f>IF(IFERROR(IF(Str_TypeDonneesCpt5=Cpt_Index,Tab_Compteur_5[[#This Row],[Index]]-E121,Tab_Compteur_5[[#This Row],[Quantité]])/Tab_Compteur_5[[#This Row],[Delta Jour]],"")&lt;0,"",IFERROR(IF(Str_TypeDonneesCpt5=Cpt_Index,Tab_Compteur_5[[#This Row],[Index]]-E121,Tab_Compteur_5[[#This Row],[Quantité]])/Tab_Compteur_5[[#This Row],[Delta Jour]],""))</f>
        <v/>
      </c>
      <c r="H122" s="186" t="str">
        <f>IFERROR(Tab_Compteur_5[[#This Row],[Montant]]/Tab_Compteur_5[[#This Row],[Delta Jour]],"")</f>
        <v/>
      </c>
      <c r="I122" s="208" t="str">
        <f t="shared" si="4"/>
        <v/>
      </c>
      <c r="J122" s="209"/>
      <c r="K122" s="38"/>
      <c r="L122" s="38"/>
      <c r="M122" s="38"/>
    </row>
    <row r="123" spans="1:13">
      <c r="A123" s="3">
        <f t="shared" si="5"/>
        <v>1</v>
      </c>
      <c r="B123" s="87"/>
      <c r="C123" s="189"/>
      <c r="D123" s="188"/>
      <c r="E123" s="186"/>
      <c r="F123" s="186">
        <f t="shared" si="3"/>
        <v>0</v>
      </c>
      <c r="G123" s="186" t="str">
        <f>IF(IFERROR(IF(Str_TypeDonneesCpt5=Cpt_Index,Tab_Compteur_5[[#This Row],[Index]]-E122,Tab_Compteur_5[[#This Row],[Quantité]])/Tab_Compteur_5[[#This Row],[Delta Jour]],"")&lt;0,"",IFERROR(IF(Str_TypeDonneesCpt5=Cpt_Index,Tab_Compteur_5[[#This Row],[Index]]-E122,Tab_Compteur_5[[#This Row],[Quantité]])/Tab_Compteur_5[[#This Row],[Delta Jour]],""))</f>
        <v/>
      </c>
      <c r="H123" s="186" t="str">
        <f>IFERROR(Tab_Compteur_5[[#This Row],[Montant]]/Tab_Compteur_5[[#This Row],[Delta Jour]],"")</f>
        <v/>
      </c>
      <c r="I123" s="208" t="str">
        <f t="shared" si="4"/>
        <v/>
      </c>
      <c r="J123" s="209"/>
      <c r="K123" s="38"/>
      <c r="L123" s="38"/>
      <c r="M123" s="38"/>
    </row>
    <row r="124" spans="1:13">
      <c r="A124" s="3">
        <f t="shared" si="5"/>
        <v>1</v>
      </c>
      <c r="B124" s="87"/>
      <c r="C124" s="189"/>
      <c r="D124" s="188"/>
      <c r="E124" s="186"/>
      <c r="F124" s="186">
        <f t="shared" si="3"/>
        <v>0</v>
      </c>
      <c r="G124" s="186" t="str">
        <f>IF(IFERROR(IF(Str_TypeDonneesCpt5=Cpt_Index,Tab_Compteur_5[[#This Row],[Index]]-E123,Tab_Compteur_5[[#This Row],[Quantité]])/Tab_Compteur_5[[#This Row],[Delta Jour]],"")&lt;0,"",IFERROR(IF(Str_TypeDonneesCpt5=Cpt_Index,Tab_Compteur_5[[#This Row],[Index]]-E123,Tab_Compteur_5[[#This Row],[Quantité]])/Tab_Compteur_5[[#This Row],[Delta Jour]],""))</f>
        <v/>
      </c>
      <c r="H124" s="186" t="str">
        <f>IFERROR(Tab_Compteur_5[[#This Row],[Montant]]/Tab_Compteur_5[[#This Row],[Delta Jour]],"")</f>
        <v/>
      </c>
      <c r="I124" s="208" t="str">
        <f t="shared" si="4"/>
        <v/>
      </c>
      <c r="J124" s="209"/>
      <c r="K124" s="38"/>
      <c r="L124" s="38"/>
      <c r="M124" s="38"/>
    </row>
    <row r="125" spans="1:13">
      <c r="A125" s="3">
        <f t="shared" si="5"/>
        <v>1</v>
      </c>
      <c r="B125" s="87"/>
      <c r="C125" s="189"/>
      <c r="D125" s="188"/>
      <c r="E125" s="186"/>
      <c r="F125" s="186">
        <f t="shared" si="3"/>
        <v>0</v>
      </c>
      <c r="G125" s="186" t="str">
        <f>IF(IFERROR(IF(Str_TypeDonneesCpt5=Cpt_Index,Tab_Compteur_5[[#This Row],[Index]]-E124,Tab_Compteur_5[[#This Row],[Quantité]])/Tab_Compteur_5[[#This Row],[Delta Jour]],"")&lt;0,"",IFERROR(IF(Str_TypeDonneesCpt5=Cpt_Index,Tab_Compteur_5[[#This Row],[Index]]-E124,Tab_Compteur_5[[#This Row],[Quantité]])/Tab_Compteur_5[[#This Row],[Delta Jour]],""))</f>
        <v/>
      </c>
      <c r="H125" s="186" t="str">
        <f>IFERROR(Tab_Compteur_5[[#This Row],[Montant]]/Tab_Compteur_5[[#This Row],[Delta Jour]],"")</f>
        <v/>
      </c>
      <c r="I125" s="208" t="str">
        <f t="shared" si="4"/>
        <v/>
      </c>
      <c r="J125" s="209"/>
      <c r="K125" s="38"/>
      <c r="L125" s="38"/>
      <c r="M125" s="38"/>
    </row>
    <row r="126" spans="1:13">
      <c r="A126" s="3">
        <f t="shared" si="5"/>
        <v>1</v>
      </c>
      <c r="B126" s="87"/>
      <c r="C126" s="189"/>
      <c r="D126" s="188"/>
      <c r="E126" s="186"/>
      <c r="F126" s="186">
        <f t="shared" si="3"/>
        <v>0</v>
      </c>
      <c r="G126" s="186" t="str">
        <f>IF(IFERROR(IF(Str_TypeDonneesCpt5=Cpt_Index,Tab_Compteur_5[[#This Row],[Index]]-E125,Tab_Compteur_5[[#This Row],[Quantité]])/Tab_Compteur_5[[#This Row],[Delta Jour]],"")&lt;0,"",IFERROR(IF(Str_TypeDonneesCpt5=Cpt_Index,Tab_Compteur_5[[#This Row],[Index]]-E125,Tab_Compteur_5[[#This Row],[Quantité]])/Tab_Compteur_5[[#This Row],[Delta Jour]],""))</f>
        <v/>
      </c>
      <c r="H126" s="186" t="str">
        <f>IFERROR(Tab_Compteur_5[[#This Row],[Montant]]/Tab_Compteur_5[[#This Row],[Delta Jour]],"")</f>
        <v/>
      </c>
      <c r="I126" s="208" t="str">
        <f t="shared" si="4"/>
        <v/>
      </c>
      <c r="J126" s="209"/>
      <c r="K126" s="38"/>
      <c r="L126" s="38"/>
      <c r="M126" s="38"/>
    </row>
    <row r="127" spans="1:13">
      <c r="A127" s="3">
        <f t="shared" si="5"/>
        <v>1</v>
      </c>
      <c r="B127" s="87"/>
      <c r="C127" s="189"/>
      <c r="D127" s="188"/>
      <c r="E127" s="186"/>
      <c r="F127" s="186">
        <f t="shared" si="3"/>
        <v>0</v>
      </c>
      <c r="G127" s="186" t="str">
        <f>IF(IFERROR(IF(Str_TypeDonneesCpt5=Cpt_Index,Tab_Compteur_5[[#This Row],[Index]]-E126,Tab_Compteur_5[[#This Row],[Quantité]])/Tab_Compteur_5[[#This Row],[Delta Jour]],"")&lt;0,"",IFERROR(IF(Str_TypeDonneesCpt5=Cpt_Index,Tab_Compteur_5[[#This Row],[Index]]-E126,Tab_Compteur_5[[#This Row],[Quantité]])/Tab_Compteur_5[[#This Row],[Delta Jour]],""))</f>
        <v/>
      </c>
      <c r="H127" s="186" t="str">
        <f>IFERROR(Tab_Compteur_5[[#This Row],[Montant]]/Tab_Compteur_5[[#This Row],[Delta Jour]],"")</f>
        <v/>
      </c>
      <c r="I127" s="208" t="str">
        <f t="shared" si="4"/>
        <v/>
      </c>
      <c r="J127" s="209"/>
      <c r="K127" s="38"/>
      <c r="L127" s="38"/>
      <c r="M127" s="38"/>
    </row>
    <row r="128" spans="1:13">
      <c r="A128" s="3">
        <f t="shared" si="5"/>
        <v>1</v>
      </c>
      <c r="B128" s="87"/>
      <c r="C128" s="189"/>
      <c r="D128" s="188"/>
      <c r="E128" s="186"/>
      <c r="F128" s="186">
        <f t="shared" si="3"/>
        <v>0</v>
      </c>
      <c r="G128" s="186" t="str">
        <f>IF(IFERROR(IF(Str_TypeDonneesCpt5=Cpt_Index,Tab_Compteur_5[[#This Row],[Index]]-E127,Tab_Compteur_5[[#This Row],[Quantité]])/Tab_Compteur_5[[#This Row],[Delta Jour]],"")&lt;0,"",IFERROR(IF(Str_TypeDonneesCpt5=Cpt_Index,Tab_Compteur_5[[#This Row],[Index]]-E127,Tab_Compteur_5[[#This Row],[Quantité]])/Tab_Compteur_5[[#This Row],[Delta Jour]],""))</f>
        <v/>
      </c>
      <c r="H128" s="186" t="str">
        <f>IFERROR(Tab_Compteur_5[[#This Row],[Montant]]/Tab_Compteur_5[[#This Row],[Delta Jour]],"")</f>
        <v/>
      </c>
      <c r="I128" s="208" t="str">
        <f t="shared" si="4"/>
        <v/>
      </c>
      <c r="J128" s="209"/>
      <c r="K128" s="38"/>
      <c r="L128" s="38"/>
      <c r="M128" s="38"/>
    </row>
    <row r="129" spans="1:13">
      <c r="A129" s="3">
        <f t="shared" si="5"/>
        <v>1</v>
      </c>
      <c r="B129" s="87"/>
      <c r="C129" s="189"/>
      <c r="D129" s="188"/>
      <c r="E129" s="186"/>
      <c r="F129" s="186">
        <f t="shared" si="3"/>
        <v>0</v>
      </c>
      <c r="G129" s="186" t="str">
        <f>IF(IFERROR(IF(Str_TypeDonneesCpt5=Cpt_Index,Tab_Compteur_5[[#This Row],[Index]]-E128,Tab_Compteur_5[[#This Row],[Quantité]])/Tab_Compteur_5[[#This Row],[Delta Jour]],"")&lt;0,"",IFERROR(IF(Str_TypeDonneesCpt5=Cpt_Index,Tab_Compteur_5[[#This Row],[Index]]-E128,Tab_Compteur_5[[#This Row],[Quantité]])/Tab_Compteur_5[[#This Row],[Delta Jour]],""))</f>
        <v/>
      </c>
      <c r="H129" s="186" t="str">
        <f>IFERROR(Tab_Compteur_5[[#This Row],[Montant]]/Tab_Compteur_5[[#This Row],[Delta Jour]],"")</f>
        <v/>
      </c>
      <c r="I129" s="208" t="str">
        <f t="shared" si="4"/>
        <v/>
      </c>
      <c r="J129" s="209"/>
      <c r="K129" s="38"/>
      <c r="L129" s="38"/>
      <c r="M129" s="38"/>
    </row>
    <row r="130" spans="1:13">
      <c r="A130" s="3">
        <f t="shared" si="5"/>
        <v>1</v>
      </c>
      <c r="B130" s="87"/>
      <c r="C130" s="189"/>
      <c r="D130" s="188"/>
      <c r="E130" s="186"/>
      <c r="F130" s="186">
        <f t="shared" si="3"/>
        <v>0</v>
      </c>
      <c r="G130" s="186" t="str">
        <f>IF(IFERROR(IF(Str_TypeDonneesCpt5=Cpt_Index,Tab_Compteur_5[[#This Row],[Index]]-E129,Tab_Compteur_5[[#This Row],[Quantité]])/Tab_Compteur_5[[#This Row],[Delta Jour]],"")&lt;0,"",IFERROR(IF(Str_TypeDonneesCpt5=Cpt_Index,Tab_Compteur_5[[#This Row],[Index]]-E129,Tab_Compteur_5[[#This Row],[Quantité]])/Tab_Compteur_5[[#This Row],[Delta Jour]],""))</f>
        <v/>
      </c>
      <c r="H130" s="186" t="str">
        <f>IFERROR(Tab_Compteur_5[[#This Row],[Montant]]/Tab_Compteur_5[[#This Row],[Delta Jour]],"")</f>
        <v/>
      </c>
      <c r="I130" s="208" t="str">
        <f t="shared" si="4"/>
        <v/>
      </c>
      <c r="J130" s="209"/>
      <c r="K130" s="38"/>
      <c r="L130" s="38"/>
      <c r="M130" s="38"/>
    </row>
    <row r="131" spans="1:13">
      <c r="A131" s="3">
        <f t="shared" si="5"/>
        <v>1</v>
      </c>
      <c r="B131" s="87"/>
      <c r="C131" s="189"/>
      <c r="D131" s="188"/>
      <c r="E131" s="186"/>
      <c r="F131" s="186">
        <f t="shared" ref="F131:F194" si="6">IFERROR(B131-A131+1,"")</f>
        <v>0</v>
      </c>
      <c r="G131" s="186" t="str">
        <f>IF(IFERROR(IF(Str_TypeDonneesCpt5=Cpt_Index,Tab_Compteur_5[[#This Row],[Index]]-E130,Tab_Compteur_5[[#This Row],[Quantité]])/Tab_Compteur_5[[#This Row],[Delta Jour]],"")&lt;0,"",IFERROR(IF(Str_TypeDonneesCpt5=Cpt_Index,Tab_Compteur_5[[#This Row],[Index]]-E130,Tab_Compteur_5[[#This Row],[Quantité]])/Tab_Compteur_5[[#This Row],[Delta Jour]],""))</f>
        <v/>
      </c>
      <c r="H131" s="186" t="str">
        <f>IFERROR(Tab_Compteur_5[[#This Row],[Montant]]/Tab_Compteur_5[[#This Row],[Delta Jour]],"")</f>
        <v/>
      </c>
      <c r="I131" s="208" t="str">
        <f t="shared" ref="I131:I194" si="7">G131</f>
        <v/>
      </c>
      <c r="J131" s="209"/>
      <c r="K131" s="38"/>
      <c r="L131" s="38"/>
      <c r="M131" s="38"/>
    </row>
    <row r="132" spans="1:13">
      <c r="A132" s="3">
        <f t="shared" si="5"/>
        <v>1</v>
      </c>
      <c r="B132" s="87"/>
      <c r="C132" s="189"/>
      <c r="D132" s="188"/>
      <c r="E132" s="186"/>
      <c r="F132" s="186">
        <f t="shared" si="6"/>
        <v>0</v>
      </c>
      <c r="G132" s="186" t="str">
        <f>IF(IFERROR(IF(Str_TypeDonneesCpt5=Cpt_Index,Tab_Compteur_5[[#This Row],[Index]]-E131,Tab_Compteur_5[[#This Row],[Quantité]])/Tab_Compteur_5[[#This Row],[Delta Jour]],"")&lt;0,"",IFERROR(IF(Str_TypeDonneesCpt5=Cpt_Index,Tab_Compteur_5[[#This Row],[Index]]-E131,Tab_Compteur_5[[#This Row],[Quantité]])/Tab_Compteur_5[[#This Row],[Delta Jour]],""))</f>
        <v/>
      </c>
      <c r="H132" s="186" t="str">
        <f>IFERROR(Tab_Compteur_5[[#This Row],[Montant]]/Tab_Compteur_5[[#This Row],[Delta Jour]],"")</f>
        <v/>
      </c>
      <c r="I132" s="208" t="str">
        <f t="shared" si="7"/>
        <v/>
      </c>
      <c r="J132" s="209"/>
      <c r="K132" s="38"/>
      <c r="L132" s="38"/>
      <c r="M132" s="38"/>
    </row>
    <row r="133" spans="1:13">
      <c r="A133" s="3">
        <f t="shared" si="5"/>
        <v>1</v>
      </c>
      <c r="B133" s="87"/>
      <c r="C133" s="189"/>
      <c r="D133" s="188"/>
      <c r="E133" s="186"/>
      <c r="F133" s="186">
        <f t="shared" si="6"/>
        <v>0</v>
      </c>
      <c r="G133" s="186" t="str">
        <f>IF(IFERROR(IF(Str_TypeDonneesCpt5=Cpt_Index,Tab_Compteur_5[[#This Row],[Index]]-E132,Tab_Compteur_5[[#This Row],[Quantité]])/Tab_Compteur_5[[#This Row],[Delta Jour]],"")&lt;0,"",IFERROR(IF(Str_TypeDonneesCpt5=Cpt_Index,Tab_Compteur_5[[#This Row],[Index]]-E132,Tab_Compteur_5[[#This Row],[Quantité]])/Tab_Compteur_5[[#This Row],[Delta Jour]],""))</f>
        <v/>
      </c>
      <c r="H133" s="186" t="str">
        <f>IFERROR(Tab_Compteur_5[[#This Row],[Montant]]/Tab_Compteur_5[[#This Row],[Delta Jour]],"")</f>
        <v/>
      </c>
      <c r="I133" s="208" t="str">
        <f t="shared" si="7"/>
        <v/>
      </c>
      <c r="J133" s="209"/>
      <c r="K133" s="38"/>
      <c r="L133" s="38"/>
      <c r="M133" s="38"/>
    </row>
    <row r="134" spans="1:13">
      <c r="A134" s="3">
        <f t="shared" ref="A134:A197" si="8">IFERROR(B133+1,0)</f>
        <v>1</v>
      </c>
      <c r="B134" s="87"/>
      <c r="C134" s="189"/>
      <c r="D134" s="188"/>
      <c r="E134" s="186"/>
      <c r="F134" s="186">
        <f t="shared" si="6"/>
        <v>0</v>
      </c>
      <c r="G134" s="186" t="str">
        <f>IF(IFERROR(IF(Str_TypeDonneesCpt5=Cpt_Index,Tab_Compteur_5[[#This Row],[Index]]-E133,Tab_Compteur_5[[#This Row],[Quantité]])/Tab_Compteur_5[[#This Row],[Delta Jour]],"")&lt;0,"",IFERROR(IF(Str_TypeDonneesCpt5=Cpt_Index,Tab_Compteur_5[[#This Row],[Index]]-E133,Tab_Compteur_5[[#This Row],[Quantité]])/Tab_Compteur_5[[#This Row],[Delta Jour]],""))</f>
        <v/>
      </c>
      <c r="H134" s="186" t="str">
        <f>IFERROR(Tab_Compteur_5[[#This Row],[Montant]]/Tab_Compteur_5[[#This Row],[Delta Jour]],"")</f>
        <v/>
      </c>
      <c r="I134" s="208" t="str">
        <f t="shared" si="7"/>
        <v/>
      </c>
      <c r="J134" s="209"/>
      <c r="K134" s="38"/>
      <c r="L134" s="38"/>
      <c r="M134" s="38"/>
    </row>
    <row r="135" spans="1:13">
      <c r="A135" s="3">
        <f t="shared" si="8"/>
        <v>1</v>
      </c>
      <c r="B135" s="87"/>
      <c r="C135" s="189"/>
      <c r="D135" s="188"/>
      <c r="E135" s="186"/>
      <c r="F135" s="186">
        <f t="shared" si="6"/>
        <v>0</v>
      </c>
      <c r="G135" s="186" t="str">
        <f>IF(IFERROR(IF(Str_TypeDonneesCpt5=Cpt_Index,Tab_Compteur_5[[#This Row],[Index]]-E134,Tab_Compteur_5[[#This Row],[Quantité]])/Tab_Compteur_5[[#This Row],[Delta Jour]],"")&lt;0,"",IFERROR(IF(Str_TypeDonneesCpt5=Cpt_Index,Tab_Compteur_5[[#This Row],[Index]]-E134,Tab_Compteur_5[[#This Row],[Quantité]])/Tab_Compteur_5[[#This Row],[Delta Jour]],""))</f>
        <v/>
      </c>
      <c r="H135" s="186" t="str">
        <f>IFERROR(Tab_Compteur_5[[#This Row],[Montant]]/Tab_Compteur_5[[#This Row],[Delta Jour]],"")</f>
        <v/>
      </c>
      <c r="I135" s="208" t="str">
        <f t="shared" si="7"/>
        <v/>
      </c>
      <c r="J135" s="209"/>
      <c r="K135" s="38"/>
      <c r="L135" s="38"/>
      <c r="M135" s="38"/>
    </row>
    <row r="136" spans="1:13">
      <c r="A136" s="3">
        <f t="shared" si="8"/>
        <v>1</v>
      </c>
      <c r="B136" s="87"/>
      <c r="C136" s="189"/>
      <c r="D136" s="188"/>
      <c r="E136" s="186"/>
      <c r="F136" s="186">
        <f t="shared" si="6"/>
        <v>0</v>
      </c>
      <c r="G136" s="186" t="str">
        <f>IF(IFERROR(IF(Str_TypeDonneesCpt5=Cpt_Index,Tab_Compteur_5[[#This Row],[Index]]-E135,Tab_Compteur_5[[#This Row],[Quantité]])/Tab_Compteur_5[[#This Row],[Delta Jour]],"")&lt;0,"",IFERROR(IF(Str_TypeDonneesCpt5=Cpt_Index,Tab_Compteur_5[[#This Row],[Index]]-E135,Tab_Compteur_5[[#This Row],[Quantité]])/Tab_Compteur_5[[#This Row],[Delta Jour]],""))</f>
        <v/>
      </c>
      <c r="H136" s="186" t="str">
        <f>IFERROR(Tab_Compteur_5[[#This Row],[Montant]]/Tab_Compteur_5[[#This Row],[Delta Jour]],"")</f>
        <v/>
      </c>
      <c r="I136" s="208" t="str">
        <f t="shared" si="7"/>
        <v/>
      </c>
      <c r="J136" s="209"/>
      <c r="K136" s="38"/>
      <c r="L136" s="38"/>
      <c r="M136" s="38"/>
    </row>
    <row r="137" spans="1:13">
      <c r="A137" s="3">
        <f t="shared" si="8"/>
        <v>1</v>
      </c>
      <c r="B137" s="87"/>
      <c r="C137" s="189"/>
      <c r="D137" s="188"/>
      <c r="E137" s="186"/>
      <c r="F137" s="186">
        <f t="shared" si="6"/>
        <v>0</v>
      </c>
      <c r="G137" s="186" t="str">
        <f>IF(IFERROR(IF(Str_TypeDonneesCpt5=Cpt_Index,Tab_Compteur_5[[#This Row],[Index]]-E136,Tab_Compteur_5[[#This Row],[Quantité]])/Tab_Compteur_5[[#This Row],[Delta Jour]],"")&lt;0,"",IFERROR(IF(Str_TypeDonneesCpt5=Cpt_Index,Tab_Compteur_5[[#This Row],[Index]]-E136,Tab_Compteur_5[[#This Row],[Quantité]])/Tab_Compteur_5[[#This Row],[Delta Jour]],""))</f>
        <v/>
      </c>
      <c r="H137" s="186" t="str">
        <f>IFERROR(Tab_Compteur_5[[#This Row],[Montant]]/Tab_Compteur_5[[#This Row],[Delta Jour]],"")</f>
        <v/>
      </c>
      <c r="I137" s="208" t="str">
        <f t="shared" si="7"/>
        <v/>
      </c>
      <c r="J137" s="209"/>
      <c r="K137" s="38"/>
      <c r="L137" s="38"/>
      <c r="M137" s="38"/>
    </row>
    <row r="138" spans="1:13">
      <c r="A138" s="3">
        <f t="shared" si="8"/>
        <v>1</v>
      </c>
      <c r="B138" s="87"/>
      <c r="C138" s="189"/>
      <c r="D138" s="188"/>
      <c r="E138" s="186"/>
      <c r="F138" s="186">
        <f t="shared" si="6"/>
        <v>0</v>
      </c>
      <c r="G138" s="186" t="str">
        <f>IF(IFERROR(IF(Str_TypeDonneesCpt5=Cpt_Index,Tab_Compteur_5[[#This Row],[Index]]-E137,Tab_Compteur_5[[#This Row],[Quantité]])/Tab_Compteur_5[[#This Row],[Delta Jour]],"")&lt;0,"",IFERROR(IF(Str_TypeDonneesCpt5=Cpt_Index,Tab_Compteur_5[[#This Row],[Index]]-E137,Tab_Compteur_5[[#This Row],[Quantité]])/Tab_Compteur_5[[#This Row],[Delta Jour]],""))</f>
        <v/>
      </c>
      <c r="H138" s="186" t="str">
        <f>IFERROR(Tab_Compteur_5[[#This Row],[Montant]]/Tab_Compteur_5[[#This Row],[Delta Jour]],"")</f>
        <v/>
      </c>
      <c r="I138" s="208" t="str">
        <f t="shared" si="7"/>
        <v/>
      </c>
      <c r="J138" s="209"/>
      <c r="K138" s="38"/>
      <c r="L138" s="38"/>
      <c r="M138" s="38"/>
    </row>
    <row r="139" spans="1:13">
      <c r="A139" s="3">
        <f t="shared" si="8"/>
        <v>1</v>
      </c>
      <c r="B139" s="87"/>
      <c r="C139" s="189"/>
      <c r="D139" s="188"/>
      <c r="E139" s="186"/>
      <c r="F139" s="186">
        <f t="shared" si="6"/>
        <v>0</v>
      </c>
      <c r="G139" s="186" t="str">
        <f>IF(IFERROR(IF(Str_TypeDonneesCpt5=Cpt_Index,Tab_Compteur_5[[#This Row],[Index]]-E138,Tab_Compteur_5[[#This Row],[Quantité]])/Tab_Compteur_5[[#This Row],[Delta Jour]],"")&lt;0,"",IFERROR(IF(Str_TypeDonneesCpt5=Cpt_Index,Tab_Compteur_5[[#This Row],[Index]]-E138,Tab_Compteur_5[[#This Row],[Quantité]])/Tab_Compteur_5[[#This Row],[Delta Jour]],""))</f>
        <v/>
      </c>
      <c r="H139" s="186" t="str">
        <f>IFERROR(Tab_Compteur_5[[#This Row],[Montant]]/Tab_Compteur_5[[#This Row],[Delta Jour]],"")</f>
        <v/>
      </c>
      <c r="I139" s="208" t="str">
        <f t="shared" si="7"/>
        <v/>
      </c>
      <c r="J139" s="209"/>
      <c r="K139" s="38"/>
      <c r="L139" s="38"/>
      <c r="M139" s="38"/>
    </row>
    <row r="140" spans="1:13">
      <c r="A140" s="3">
        <f t="shared" si="8"/>
        <v>1</v>
      </c>
      <c r="B140" s="87"/>
      <c r="C140" s="189"/>
      <c r="D140" s="188"/>
      <c r="E140" s="186"/>
      <c r="F140" s="186">
        <f t="shared" si="6"/>
        <v>0</v>
      </c>
      <c r="G140" s="186" t="str">
        <f>IF(IFERROR(IF(Str_TypeDonneesCpt5=Cpt_Index,Tab_Compteur_5[[#This Row],[Index]]-E139,Tab_Compteur_5[[#This Row],[Quantité]])/Tab_Compteur_5[[#This Row],[Delta Jour]],"")&lt;0,"",IFERROR(IF(Str_TypeDonneesCpt5=Cpt_Index,Tab_Compteur_5[[#This Row],[Index]]-E139,Tab_Compteur_5[[#This Row],[Quantité]])/Tab_Compteur_5[[#This Row],[Delta Jour]],""))</f>
        <v/>
      </c>
      <c r="H140" s="186" t="str">
        <f>IFERROR(Tab_Compteur_5[[#This Row],[Montant]]/Tab_Compteur_5[[#This Row],[Delta Jour]],"")</f>
        <v/>
      </c>
      <c r="I140" s="208" t="str">
        <f t="shared" si="7"/>
        <v/>
      </c>
      <c r="J140" s="209"/>
      <c r="K140" s="38"/>
      <c r="L140" s="38"/>
      <c r="M140" s="38"/>
    </row>
    <row r="141" spans="1:13">
      <c r="A141" s="3">
        <f t="shared" si="8"/>
        <v>1</v>
      </c>
      <c r="B141" s="87"/>
      <c r="C141" s="189"/>
      <c r="D141" s="188"/>
      <c r="E141" s="186"/>
      <c r="F141" s="186">
        <f t="shared" si="6"/>
        <v>0</v>
      </c>
      <c r="G141" s="186" t="str">
        <f>IF(IFERROR(IF(Str_TypeDonneesCpt5=Cpt_Index,Tab_Compteur_5[[#This Row],[Index]]-E140,Tab_Compteur_5[[#This Row],[Quantité]])/Tab_Compteur_5[[#This Row],[Delta Jour]],"")&lt;0,"",IFERROR(IF(Str_TypeDonneesCpt5=Cpt_Index,Tab_Compteur_5[[#This Row],[Index]]-E140,Tab_Compteur_5[[#This Row],[Quantité]])/Tab_Compteur_5[[#This Row],[Delta Jour]],""))</f>
        <v/>
      </c>
      <c r="H141" s="186" t="str">
        <f>IFERROR(Tab_Compteur_5[[#This Row],[Montant]]/Tab_Compteur_5[[#This Row],[Delta Jour]],"")</f>
        <v/>
      </c>
      <c r="I141" s="208" t="str">
        <f t="shared" si="7"/>
        <v/>
      </c>
      <c r="J141" s="209"/>
      <c r="K141" s="38"/>
      <c r="L141" s="38"/>
      <c r="M141" s="38"/>
    </row>
    <row r="142" spans="1:13">
      <c r="A142" s="3">
        <f t="shared" si="8"/>
        <v>1</v>
      </c>
      <c r="B142" s="87"/>
      <c r="C142" s="189"/>
      <c r="D142" s="188"/>
      <c r="E142" s="186"/>
      <c r="F142" s="186">
        <f t="shared" si="6"/>
        <v>0</v>
      </c>
      <c r="G142" s="186" t="str">
        <f>IF(IFERROR(IF(Str_TypeDonneesCpt5=Cpt_Index,Tab_Compteur_5[[#This Row],[Index]]-E141,Tab_Compteur_5[[#This Row],[Quantité]])/Tab_Compteur_5[[#This Row],[Delta Jour]],"")&lt;0,"",IFERROR(IF(Str_TypeDonneesCpt5=Cpt_Index,Tab_Compteur_5[[#This Row],[Index]]-E141,Tab_Compteur_5[[#This Row],[Quantité]])/Tab_Compteur_5[[#This Row],[Delta Jour]],""))</f>
        <v/>
      </c>
      <c r="H142" s="186" t="str">
        <f>IFERROR(Tab_Compteur_5[[#This Row],[Montant]]/Tab_Compteur_5[[#This Row],[Delta Jour]],"")</f>
        <v/>
      </c>
      <c r="I142" s="208" t="str">
        <f t="shared" si="7"/>
        <v/>
      </c>
      <c r="J142" s="209"/>
      <c r="K142" s="38"/>
      <c r="L142" s="38"/>
      <c r="M142" s="38"/>
    </row>
    <row r="143" spans="1:13">
      <c r="A143" s="3">
        <f t="shared" si="8"/>
        <v>1</v>
      </c>
      <c r="B143" s="87"/>
      <c r="C143" s="189"/>
      <c r="D143" s="188"/>
      <c r="E143" s="186"/>
      <c r="F143" s="186">
        <f t="shared" si="6"/>
        <v>0</v>
      </c>
      <c r="G143" s="186" t="str">
        <f>IF(IFERROR(IF(Str_TypeDonneesCpt5=Cpt_Index,Tab_Compteur_5[[#This Row],[Index]]-E142,Tab_Compteur_5[[#This Row],[Quantité]])/Tab_Compteur_5[[#This Row],[Delta Jour]],"")&lt;0,"",IFERROR(IF(Str_TypeDonneesCpt5=Cpt_Index,Tab_Compteur_5[[#This Row],[Index]]-E142,Tab_Compteur_5[[#This Row],[Quantité]])/Tab_Compteur_5[[#This Row],[Delta Jour]],""))</f>
        <v/>
      </c>
      <c r="H143" s="186" t="str">
        <f>IFERROR(Tab_Compteur_5[[#This Row],[Montant]]/Tab_Compteur_5[[#This Row],[Delta Jour]],"")</f>
        <v/>
      </c>
      <c r="I143" s="208" t="str">
        <f t="shared" si="7"/>
        <v/>
      </c>
      <c r="J143" s="209"/>
      <c r="K143" s="38"/>
      <c r="L143" s="38"/>
      <c r="M143" s="38"/>
    </row>
    <row r="144" spans="1:13">
      <c r="A144" s="3">
        <f t="shared" si="8"/>
        <v>1</v>
      </c>
      <c r="B144" s="87"/>
      <c r="C144" s="189"/>
      <c r="D144" s="188"/>
      <c r="E144" s="186"/>
      <c r="F144" s="186">
        <f t="shared" si="6"/>
        <v>0</v>
      </c>
      <c r="G144" s="186" t="str">
        <f>IF(IFERROR(IF(Str_TypeDonneesCpt5=Cpt_Index,Tab_Compteur_5[[#This Row],[Index]]-E143,Tab_Compteur_5[[#This Row],[Quantité]])/Tab_Compteur_5[[#This Row],[Delta Jour]],"")&lt;0,"",IFERROR(IF(Str_TypeDonneesCpt5=Cpt_Index,Tab_Compteur_5[[#This Row],[Index]]-E143,Tab_Compteur_5[[#This Row],[Quantité]])/Tab_Compteur_5[[#This Row],[Delta Jour]],""))</f>
        <v/>
      </c>
      <c r="H144" s="186" t="str">
        <f>IFERROR(Tab_Compteur_5[[#This Row],[Montant]]/Tab_Compteur_5[[#This Row],[Delta Jour]],"")</f>
        <v/>
      </c>
      <c r="I144" s="208" t="str">
        <f t="shared" si="7"/>
        <v/>
      </c>
      <c r="J144" s="209"/>
      <c r="K144" s="38"/>
      <c r="L144" s="38"/>
      <c r="M144" s="38"/>
    </row>
    <row r="145" spans="1:13">
      <c r="A145" s="3">
        <f t="shared" si="8"/>
        <v>1</v>
      </c>
      <c r="B145" s="87"/>
      <c r="C145" s="189"/>
      <c r="D145" s="188"/>
      <c r="E145" s="186"/>
      <c r="F145" s="186">
        <f t="shared" si="6"/>
        <v>0</v>
      </c>
      <c r="G145" s="186" t="str">
        <f>IF(IFERROR(IF(Str_TypeDonneesCpt5=Cpt_Index,Tab_Compteur_5[[#This Row],[Index]]-E144,Tab_Compteur_5[[#This Row],[Quantité]])/Tab_Compteur_5[[#This Row],[Delta Jour]],"")&lt;0,"",IFERROR(IF(Str_TypeDonneesCpt5=Cpt_Index,Tab_Compteur_5[[#This Row],[Index]]-E144,Tab_Compteur_5[[#This Row],[Quantité]])/Tab_Compteur_5[[#This Row],[Delta Jour]],""))</f>
        <v/>
      </c>
      <c r="H145" s="186" t="str">
        <f>IFERROR(Tab_Compteur_5[[#This Row],[Montant]]/Tab_Compteur_5[[#This Row],[Delta Jour]],"")</f>
        <v/>
      </c>
      <c r="I145" s="208" t="str">
        <f t="shared" si="7"/>
        <v/>
      </c>
      <c r="J145" s="209"/>
      <c r="K145" s="38"/>
      <c r="L145" s="38"/>
      <c r="M145" s="38"/>
    </row>
    <row r="146" spans="1:13">
      <c r="A146" s="3">
        <f t="shared" si="8"/>
        <v>1</v>
      </c>
      <c r="B146" s="87"/>
      <c r="C146" s="189"/>
      <c r="D146" s="188"/>
      <c r="E146" s="186"/>
      <c r="F146" s="186">
        <f t="shared" si="6"/>
        <v>0</v>
      </c>
      <c r="G146" s="186" t="str">
        <f>IF(IFERROR(IF(Str_TypeDonneesCpt5=Cpt_Index,Tab_Compteur_5[[#This Row],[Index]]-E145,Tab_Compteur_5[[#This Row],[Quantité]])/Tab_Compteur_5[[#This Row],[Delta Jour]],"")&lt;0,"",IFERROR(IF(Str_TypeDonneesCpt5=Cpt_Index,Tab_Compteur_5[[#This Row],[Index]]-E145,Tab_Compteur_5[[#This Row],[Quantité]])/Tab_Compteur_5[[#This Row],[Delta Jour]],""))</f>
        <v/>
      </c>
      <c r="H146" s="186" t="str">
        <f>IFERROR(Tab_Compteur_5[[#This Row],[Montant]]/Tab_Compteur_5[[#This Row],[Delta Jour]],"")</f>
        <v/>
      </c>
      <c r="I146" s="208" t="str">
        <f t="shared" si="7"/>
        <v/>
      </c>
      <c r="J146" s="209"/>
      <c r="K146" s="38"/>
      <c r="L146" s="38"/>
      <c r="M146" s="38"/>
    </row>
    <row r="147" spans="1:13">
      <c r="A147" s="3">
        <f t="shared" si="8"/>
        <v>1</v>
      </c>
      <c r="B147" s="87"/>
      <c r="C147" s="189"/>
      <c r="D147" s="188"/>
      <c r="E147" s="186"/>
      <c r="F147" s="186">
        <f t="shared" si="6"/>
        <v>0</v>
      </c>
      <c r="G147" s="186" t="str">
        <f>IF(IFERROR(IF(Str_TypeDonneesCpt5=Cpt_Index,Tab_Compteur_5[[#This Row],[Index]]-E146,Tab_Compteur_5[[#This Row],[Quantité]])/Tab_Compteur_5[[#This Row],[Delta Jour]],"")&lt;0,"",IFERROR(IF(Str_TypeDonneesCpt5=Cpt_Index,Tab_Compteur_5[[#This Row],[Index]]-E146,Tab_Compteur_5[[#This Row],[Quantité]])/Tab_Compteur_5[[#This Row],[Delta Jour]],""))</f>
        <v/>
      </c>
      <c r="H147" s="186" t="str">
        <f>IFERROR(Tab_Compteur_5[[#This Row],[Montant]]/Tab_Compteur_5[[#This Row],[Delta Jour]],"")</f>
        <v/>
      </c>
      <c r="I147" s="208" t="str">
        <f t="shared" si="7"/>
        <v/>
      </c>
      <c r="J147" s="209"/>
      <c r="K147" s="38"/>
      <c r="L147" s="38"/>
      <c r="M147" s="38"/>
    </row>
    <row r="148" spans="1:13">
      <c r="A148" s="3">
        <f t="shared" si="8"/>
        <v>1</v>
      </c>
      <c r="B148" s="87"/>
      <c r="C148" s="189"/>
      <c r="D148" s="188"/>
      <c r="E148" s="186"/>
      <c r="F148" s="186">
        <f t="shared" si="6"/>
        <v>0</v>
      </c>
      <c r="G148" s="186" t="str">
        <f>IF(IFERROR(IF(Str_TypeDonneesCpt5=Cpt_Index,Tab_Compteur_5[[#This Row],[Index]]-E147,Tab_Compteur_5[[#This Row],[Quantité]])/Tab_Compteur_5[[#This Row],[Delta Jour]],"")&lt;0,"",IFERROR(IF(Str_TypeDonneesCpt5=Cpt_Index,Tab_Compteur_5[[#This Row],[Index]]-E147,Tab_Compteur_5[[#This Row],[Quantité]])/Tab_Compteur_5[[#This Row],[Delta Jour]],""))</f>
        <v/>
      </c>
      <c r="H148" s="186" t="str">
        <f>IFERROR(Tab_Compteur_5[[#This Row],[Montant]]/Tab_Compteur_5[[#This Row],[Delta Jour]],"")</f>
        <v/>
      </c>
      <c r="I148" s="208" t="str">
        <f t="shared" si="7"/>
        <v/>
      </c>
      <c r="J148" s="209"/>
      <c r="K148" s="38"/>
      <c r="L148" s="38"/>
      <c r="M148" s="38"/>
    </row>
    <row r="149" spans="1:13">
      <c r="A149" s="3">
        <f t="shared" si="8"/>
        <v>1</v>
      </c>
      <c r="B149" s="87"/>
      <c r="C149" s="189"/>
      <c r="D149" s="188"/>
      <c r="E149" s="186"/>
      <c r="F149" s="186">
        <f t="shared" si="6"/>
        <v>0</v>
      </c>
      <c r="G149" s="186" t="str">
        <f>IF(IFERROR(IF(Str_TypeDonneesCpt5=Cpt_Index,Tab_Compteur_5[[#This Row],[Index]]-E148,Tab_Compteur_5[[#This Row],[Quantité]])/Tab_Compteur_5[[#This Row],[Delta Jour]],"")&lt;0,"",IFERROR(IF(Str_TypeDonneesCpt5=Cpt_Index,Tab_Compteur_5[[#This Row],[Index]]-E148,Tab_Compteur_5[[#This Row],[Quantité]])/Tab_Compteur_5[[#This Row],[Delta Jour]],""))</f>
        <v/>
      </c>
      <c r="H149" s="186" t="str">
        <f>IFERROR(Tab_Compteur_5[[#This Row],[Montant]]/Tab_Compteur_5[[#This Row],[Delta Jour]],"")</f>
        <v/>
      </c>
      <c r="I149" s="208" t="str">
        <f t="shared" si="7"/>
        <v/>
      </c>
      <c r="J149" s="209"/>
      <c r="K149" s="38"/>
      <c r="L149" s="38"/>
      <c r="M149" s="38"/>
    </row>
    <row r="150" spans="1:13">
      <c r="A150" s="3">
        <f t="shared" si="8"/>
        <v>1</v>
      </c>
      <c r="B150" s="87"/>
      <c r="C150" s="189"/>
      <c r="D150" s="188"/>
      <c r="E150" s="186"/>
      <c r="F150" s="186">
        <f t="shared" si="6"/>
        <v>0</v>
      </c>
      <c r="G150" s="186" t="str">
        <f>IF(IFERROR(IF(Str_TypeDonneesCpt5=Cpt_Index,Tab_Compteur_5[[#This Row],[Index]]-E149,Tab_Compteur_5[[#This Row],[Quantité]])/Tab_Compteur_5[[#This Row],[Delta Jour]],"")&lt;0,"",IFERROR(IF(Str_TypeDonneesCpt5=Cpt_Index,Tab_Compteur_5[[#This Row],[Index]]-E149,Tab_Compteur_5[[#This Row],[Quantité]])/Tab_Compteur_5[[#This Row],[Delta Jour]],""))</f>
        <v/>
      </c>
      <c r="H150" s="186" t="str">
        <f>IFERROR(Tab_Compteur_5[[#This Row],[Montant]]/Tab_Compteur_5[[#This Row],[Delta Jour]],"")</f>
        <v/>
      </c>
      <c r="I150" s="208" t="str">
        <f t="shared" si="7"/>
        <v/>
      </c>
      <c r="J150" s="209"/>
      <c r="K150" s="38"/>
      <c r="L150" s="38"/>
      <c r="M150" s="38"/>
    </row>
    <row r="151" spans="1:13">
      <c r="A151" s="3">
        <f t="shared" si="8"/>
        <v>1</v>
      </c>
      <c r="B151" s="87"/>
      <c r="C151" s="189"/>
      <c r="D151" s="188"/>
      <c r="E151" s="186"/>
      <c r="F151" s="186">
        <f t="shared" si="6"/>
        <v>0</v>
      </c>
      <c r="G151" s="186" t="str">
        <f>IF(IFERROR(IF(Str_TypeDonneesCpt5=Cpt_Index,Tab_Compteur_5[[#This Row],[Index]]-E150,Tab_Compteur_5[[#This Row],[Quantité]])/Tab_Compteur_5[[#This Row],[Delta Jour]],"")&lt;0,"",IFERROR(IF(Str_TypeDonneesCpt5=Cpt_Index,Tab_Compteur_5[[#This Row],[Index]]-E150,Tab_Compteur_5[[#This Row],[Quantité]])/Tab_Compteur_5[[#This Row],[Delta Jour]],""))</f>
        <v/>
      </c>
      <c r="H151" s="186" t="str">
        <f>IFERROR(Tab_Compteur_5[[#This Row],[Montant]]/Tab_Compteur_5[[#This Row],[Delta Jour]],"")</f>
        <v/>
      </c>
      <c r="I151" s="208" t="str">
        <f t="shared" si="7"/>
        <v/>
      </c>
      <c r="J151" s="209"/>
      <c r="K151" s="38"/>
      <c r="L151" s="38"/>
      <c r="M151" s="38"/>
    </row>
    <row r="152" spans="1:13">
      <c r="A152" s="3">
        <f t="shared" si="8"/>
        <v>1</v>
      </c>
      <c r="B152" s="87"/>
      <c r="C152" s="189"/>
      <c r="D152" s="188"/>
      <c r="E152" s="186"/>
      <c r="F152" s="186">
        <f t="shared" si="6"/>
        <v>0</v>
      </c>
      <c r="G152" s="186" t="str">
        <f>IF(IFERROR(IF(Str_TypeDonneesCpt5=Cpt_Index,Tab_Compteur_5[[#This Row],[Index]]-E151,Tab_Compteur_5[[#This Row],[Quantité]])/Tab_Compteur_5[[#This Row],[Delta Jour]],"")&lt;0,"",IFERROR(IF(Str_TypeDonneesCpt5=Cpt_Index,Tab_Compteur_5[[#This Row],[Index]]-E151,Tab_Compteur_5[[#This Row],[Quantité]])/Tab_Compteur_5[[#This Row],[Delta Jour]],""))</f>
        <v/>
      </c>
      <c r="H152" s="186" t="str">
        <f>IFERROR(Tab_Compteur_5[[#This Row],[Montant]]/Tab_Compteur_5[[#This Row],[Delta Jour]],"")</f>
        <v/>
      </c>
      <c r="I152" s="208" t="str">
        <f t="shared" si="7"/>
        <v/>
      </c>
      <c r="J152" s="209"/>
      <c r="K152" s="38"/>
      <c r="L152" s="38"/>
      <c r="M152" s="38"/>
    </row>
    <row r="153" spans="1:13">
      <c r="A153" s="3">
        <f t="shared" si="8"/>
        <v>1</v>
      </c>
      <c r="B153" s="87"/>
      <c r="C153" s="189"/>
      <c r="D153" s="188"/>
      <c r="E153" s="186"/>
      <c r="F153" s="186">
        <f t="shared" si="6"/>
        <v>0</v>
      </c>
      <c r="G153" s="186" t="str">
        <f>IF(IFERROR(IF(Str_TypeDonneesCpt5=Cpt_Index,Tab_Compteur_5[[#This Row],[Index]]-E152,Tab_Compteur_5[[#This Row],[Quantité]])/Tab_Compteur_5[[#This Row],[Delta Jour]],"")&lt;0,"",IFERROR(IF(Str_TypeDonneesCpt5=Cpt_Index,Tab_Compteur_5[[#This Row],[Index]]-E152,Tab_Compteur_5[[#This Row],[Quantité]])/Tab_Compteur_5[[#This Row],[Delta Jour]],""))</f>
        <v/>
      </c>
      <c r="H153" s="186" t="str">
        <f>IFERROR(Tab_Compteur_5[[#This Row],[Montant]]/Tab_Compteur_5[[#This Row],[Delta Jour]],"")</f>
        <v/>
      </c>
      <c r="I153" s="208" t="str">
        <f t="shared" si="7"/>
        <v/>
      </c>
      <c r="J153" s="209"/>
      <c r="K153" s="38"/>
      <c r="L153" s="38"/>
      <c r="M153" s="38"/>
    </row>
    <row r="154" spans="1:13">
      <c r="A154" s="3">
        <f t="shared" si="8"/>
        <v>1</v>
      </c>
      <c r="B154" s="87"/>
      <c r="C154" s="189"/>
      <c r="D154" s="188"/>
      <c r="E154" s="186"/>
      <c r="F154" s="186">
        <f t="shared" si="6"/>
        <v>0</v>
      </c>
      <c r="G154" s="186" t="str">
        <f>IF(IFERROR(IF(Str_TypeDonneesCpt5=Cpt_Index,Tab_Compteur_5[[#This Row],[Index]]-E153,Tab_Compteur_5[[#This Row],[Quantité]])/Tab_Compteur_5[[#This Row],[Delta Jour]],"")&lt;0,"",IFERROR(IF(Str_TypeDonneesCpt5=Cpt_Index,Tab_Compteur_5[[#This Row],[Index]]-E153,Tab_Compteur_5[[#This Row],[Quantité]])/Tab_Compteur_5[[#This Row],[Delta Jour]],""))</f>
        <v/>
      </c>
      <c r="H154" s="186" t="str">
        <f>IFERROR(Tab_Compteur_5[[#This Row],[Montant]]/Tab_Compteur_5[[#This Row],[Delta Jour]],"")</f>
        <v/>
      </c>
      <c r="I154" s="208" t="str">
        <f t="shared" si="7"/>
        <v/>
      </c>
      <c r="J154" s="209"/>
      <c r="K154" s="38"/>
      <c r="L154" s="38"/>
      <c r="M154" s="38"/>
    </row>
    <row r="155" spans="1:13">
      <c r="A155" s="3">
        <f t="shared" si="8"/>
        <v>1</v>
      </c>
      <c r="B155" s="87"/>
      <c r="C155" s="189"/>
      <c r="D155" s="188"/>
      <c r="E155" s="186"/>
      <c r="F155" s="186">
        <f t="shared" si="6"/>
        <v>0</v>
      </c>
      <c r="G155" s="186" t="str">
        <f>IF(IFERROR(IF(Str_TypeDonneesCpt5=Cpt_Index,Tab_Compteur_5[[#This Row],[Index]]-E154,Tab_Compteur_5[[#This Row],[Quantité]])/Tab_Compteur_5[[#This Row],[Delta Jour]],"")&lt;0,"",IFERROR(IF(Str_TypeDonneesCpt5=Cpt_Index,Tab_Compteur_5[[#This Row],[Index]]-E154,Tab_Compteur_5[[#This Row],[Quantité]])/Tab_Compteur_5[[#This Row],[Delta Jour]],""))</f>
        <v/>
      </c>
      <c r="H155" s="186" t="str">
        <f>IFERROR(Tab_Compteur_5[[#This Row],[Montant]]/Tab_Compteur_5[[#This Row],[Delta Jour]],"")</f>
        <v/>
      </c>
      <c r="I155" s="208" t="str">
        <f t="shared" si="7"/>
        <v/>
      </c>
      <c r="J155" s="209"/>
      <c r="K155" s="38"/>
      <c r="L155" s="38"/>
      <c r="M155" s="38"/>
    </row>
    <row r="156" spans="1:13">
      <c r="A156" s="3">
        <f t="shared" si="8"/>
        <v>1</v>
      </c>
      <c r="B156" s="87"/>
      <c r="C156" s="189"/>
      <c r="D156" s="188"/>
      <c r="E156" s="186"/>
      <c r="F156" s="186">
        <f t="shared" si="6"/>
        <v>0</v>
      </c>
      <c r="G156" s="186" t="str">
        <f>IF(IFERROR(IF(Str_TypeDonneesCpt5=Cpt_Index,Tab_Compteur_5[[#This Row],[Index]]-E155,Tab_Compteur_5[[#This Row],[Quantité]])/Tab_Compteur_5[[#This Row],[Delta Jour]],"")&lt;0,"",IFERROR(IF(Str_TypeDonneesCpt5=Cpt_Index,Tab_Compteur_5[[#This Row],[Index]]-E155,Tab_Compteur_5[[#This Row],[Quantité]])/Tab_Compteur_5[[#This Row],[Delta Jour]],""))</f>
        <v/>
      </c>
      <c r="H156" s="186" t="str">
        <f>IFERROR(Tab_Compteur_5[[#This Row],[Montant]]/Tab_Compteur_5[[#This Row],[Delta Jour]],"")</f>
        <v/>
      </c>
      <c r="I156" s="208" t="str">
        <f t="shared" si="7"/>
        <v/>
      </c>
      <c r="J156" s="209"/>
      <c r="K156" s="38"/>
      <c r="L156" s="38"/>
      <c r="M156" s="38"/>
    </row>
    <row r="157" spans="1:13">
      <c r="A157" s="3">
        <f t="shared" si="8"/>
        <v>1</v>
      </c>
      <c r="B157" s="87"/>
      <c r="C157" s="189"/>
      <c r="D157" s="188"/>
      <c r="E157" s="186"/>
      <c r="F157" s="186">
        <f t="shared" si="6"/>
        <v>0</v>
      </c>
      <c r="G157" s="186" t="str">
        <f>IF(IFERROR(IF(Str_TypeDonneesCpt5=Cpt_Index,Tab_Compteur_5[[#This Row],[Index]]-E156,Tab_Compteur_5[[#This Row],[Quantité]])/Tab_Compteur_5[[#This Row],[Delta Jour]],"")&lt;0,"",IFERROR(IF(Str_TypeDonneesCpt5=Cpt_Index,Tab_Compteur_5[[#This Row],[Index]]-E156,Tab_Compteur_5[[#This Row],[Quantité]])/Tab_Compteur_5[[#This Row],[Delta Jour]],""))</f>
        <v/>
      </c>
      <c r="H157" s="186" t="str">
        <f>IFERROR(Tab_Compteur_5[[#This Row],[Montant]]/Tab_Compteur_5[[#This Row],[Delta Jour]],"")</f>
        <v/>
      </c>
      <c r="I157" s="208" t="str">
        <f t="shared" si="7"/>
        <v/>
      </c>
      <c r="J157" s="209"/>
      <c r="K157" s="38"/>
      <c r="L157" s="38"/>
      <c r="M157" s="38"/>
    </row>
    <row r="158" spans="1:13">
      <c r="A158" s="3">
        <f t="shared" si="8"/>
        <v>1</v>
      </c>
      <c r="B158" s="87"/>
      <c r="C158" s="189"/>
      <c r="D158" s="188"/>
      <c r="E158" s="186"/>
      <c r="F158" s="186">
        <f t="shared" si="6"/>
        <v>0</v>
      </c>
      <c r="G158" s="186" t="str">
        <f>IF(IFERROR(IF(Str_TypeDonneesCpt5=Cpt_Index,Tab_Compteur_5[[#This Row],[Index]]-E157,Tab_Compteur_5[[#This Row],[Quantité]])/Tab_Compteur_5[[#This Row],[Delta Jour]],"")&lt;0,"",IFERROR(IF(Str_TypeDonneesCpt5=Cpt_Index,Tab_Compteur_5[[#This Row],[Index]]-E157,Tab_Compteur_5[[#This Row],[Quantité]])/Tab_Compteur_5[[#This Row],[Delta Jour]],""))</f>
        <v/>
      </c>
      <c r="H158" s="186" t="str">
        <f>IFERROR(Tab_Compteur_5[[#This Row],[Montant]]/Tab_Compteur_5[[#This Row],[Delta Jour]],"")</f>
        <v/>
      </c>
      <c r="I158" s="208" t="str">
        <f t="shared" si="7"/>
        <v/>
      </c>
      <c r="J158" s="209"/>
      <c r="K158" s="38"/>
      <c r="L158" s="38"/>
      <c r="M158" s="38"/>
    </row>
    <row r="159" spans="1:13">
      <c r="A159" s="3">
        <f t="shared" si="8"/>
        <v>1</v>
      </c>
      <c r="B159" s="87"/>
      <c r="C159" s="189"/>
      <c r="D159" s="188"/>
      <c r="E159" s="186"/>
      <c r="F159" s="186">
        <f t="shared" si="6"/>
        <v>0</v>
      </c>
      <c r="G159" s="186" t="str">
        <f>IF(IFERROR(IF(Str_TypeDonneesCpt5=Cpt_Index,Tab_Compteur_5[[#This Row],[Index]]-E158,Tab_Compteur_5[[#This Row],[Quantité]])/Tab_Compteur_5[[#This Row],[Delta Jour]],"")&lt;0,"",IFERROR(IF(Str_TypeDonneesCpt5=Cpt_Index,Tab_Compteur_5[[#This Row],[Index]]-E158,Tab_Compteur_5[[#This Row],[Quantité]])/Tab_Compteur_5[[#This Row],[Delta Jour]],""))</f>
        <v/>
      </c>
      <c r="H159" s="186" t="str">
        <f>IFERROR(Tab_Compteur_5[[#This Row],[Montant]]/Tab_Compteur_5[[#This Row],[Delta Jour]],"")</f>
        <v/>
      </c>
      <c r="I159" s="208" t="str">
        <f t="shared" si="7"/>
        <v/>
      </c>
      <c r="J159" s="209"/>
      <c r="K159" s="38"/>
      <c r="L159" s="38"/>
      <c r="M159" s="38"/>
    </row>
    <row r="160" spans="1:13">
      <c r="A160" s="3">
        <f t="shared" si="8"/>
        <v>1</v>
      </c>
      <c r="B160" s="87"/>
      <c r="C160" s="189"/>
      <c r="D160" s="188"/>
      <c r="E160" s="186"/>
      <c r="F160" s="186">
        <f t="shared" si="6"/>
        <v>0</v>
      </c>
      <c r="G160" s="186" t="str">
        <f>IF(IFERROR(IF(Str_TypeDonneesCpt5=Cpt_Index,Tab_Compteur_5[[#This Row],[Index]]-E159,Tab_Compteur_5[[#This Row],[Quantité]])/Tab_Compteur_5[[#This Row],[Delta Jour]],"")&lt;0,"",IFERROR(IF(Str_TypeDonneesCpt5=Cpt_Index,Tab_Compteur_5[[#This Row],[Index]]-E159,Tab_Compteur_5[[#This Row],[Quantité]])/Tab_Compteur_5[[#This Row],[Delta Jour]],""))</f>
        <v/>
      </c>
      <c r="H160" s="186" t="str">
        <f>IFERROR(Tab_Compteur_5[[#This Row],[Montant]]/Tab_Compteur_5[[#This Row],[Delta Jour]],"")</f>
        <v/>
      </c>
      <c r="I160" s="208" t="str">
        <f t="shared" si="7"/>
        <v/>
      </c>
      <c r="J160" s="209"/>
      <c r="K160" s="38"/>
      <c r="L160" s="38"/>
      <c r="M160" s="38"/>
    </row>
    <row r="161" spans="1:13">
      <c r="A161" s="3">
        <f t="shared" si="8"/>
        <v>1</v>
      </c>
      <c r="B161" s="87"/>
      <c r="C161" s="189"/>
      <c r="D161" s="188"/>
      <c r="E161" s="186"/>
      <c r="F161" s="186">
        <f t="shared" si="6"/>
        <v>0</v>
      </c>
      <c r="G161" s="186" t="str">
        <f>IF(IFERROR(IF(Str_TypeDonneesCpt5=Cpt_Index,Tab_Compteur_5[[#This Row],[Index]]-E160,Tab_Compteur_5[[#This Row],[Quantité]])/Tab_Compteur_5[[#This Row],[Delta Jour]],"")&lt;0,"",IFERROR(IF(Str_TypeDonneesCpt5=Cpt_Index,Tab_Compteur_5[[#This Row],[Index]]-E160,Tab_Compteur_5[[#This Row],[Quantité]])/Tab_Compteur_5[[#This Row],[Delta Jour]],""))</f>
        <v/>
      </c>
      <c r="H161" s="186" t="str">
        <f>IFERROR(Tab_Compteur_5[[#This Row],[Montant]]/Tab_Compteur_5[[#This Row],[Delta Jour]],"")</f>
        <v/>
      </c>
      <c r="I161" s="208" t="str">
        <f t="shared" si="7"/>
        <v/>
      </c>
      <c r="J161" s="209"/>
      <c r="K161" s="38"/>
      <c r="L161" s="38"/>
      <c r="M161" s="38"/>
    </row>
    <row r="162" spans="1:13">
      <c r="A162" s="3">
        <f t="shared" si="8"/>
        <v>1</v>
      </c>
      <c r="B162" s="87"/>
      <c r="C162" s="189"/>
      <c r="D162" s="188"/>
      <c r="E162" s="186"/>
      <c r="F162" s="186">
        <f t="shared" si="6"/>
        <v>0</v>
      </c>
      <c r="G162" s="186" t="str">
        <f>IF(IFERROR(IF(Str_TypeDonneesCpt5=Cpt_Index,Tab_Compteur_5[[#This Row],[Index]]-E161,Tab_Compteur_5[[#This Row],[Quantité]])/Tab_Compteur_5[[#This Row],[Delta Jour]],"")&lt;0,"",IFERROR(IF(Str_TypeDonneesCpt5=Cpt_Index,Tab_Compteur_5[[#This Row],[Index]]-E161,Tab_Compteur_5[[#This Row],[Quantité]])/Tab_Compteur_5[[#This Row],[Delta Jour]],""))</f>
        <v/>
      </c>
      <c r="H162" s="186" t="str">
        <f>IFERROR(Tab_Compteur_5[[#This Row],[Montant]]/Tab_Compteur_5[[#This Row],[Delta Jour]],"")</f>
        <v/>
      </c>
      <c r="I162" s="208" t="str">
        <f t="shared" si="7"/>
        <v/>
      </c>
      <c r="J162" s="209"/>
      <c r="K162" s="38"/>
      <c r="L162" s="38"/>
      <c r="M162" s="38"/>
    </row>
    <row r="163" spans="1:13">
      <c r="A163" s="3">
        <f t="shared" si="8"/>
        <v>1</v>
      </c>
      <c r="B163" s="87"/>
      <c r="C163" s="189"/>
      <c r="D163" s="188"/>
      <c r="E163" s="186"/>
      <c r="F163" s="186">
        <f t="shared" si="6"/>
        <v>0</v>
      </c>
      <c r="G163" s="186" t="str">
        <f>IF(IFERROR(IF(Str_TypeDonneesCpt5=Cpt_Index,Tab_Compteur_5[[#This Row],[Index]]-E162,Tab_Compteur_5[[#This Row],[Quantité]])/Tab_Compteur_5[[#This Row],[Delta Jour]],"")&lt;0,"",IFERROR(IF(Str_TypeDonneesCpt5=Cpt_Index,Tab_Compteur_5[[#This Row],[Index]]-E162,Tab_Compteur_5[[#This Row],[Quantité]])/Tab_Compteur_5[[#This Row],[Delta Jour]],""))</f>
        <v/>
      </c>
      <c r="H163" s="186" t="str">
        <f>IFERROR(Tab_Compteur_5[[#This Row],[Montant]]/Tab_Compteur_5[[#This Row],[Delta Jour]],"")</f>
        <v/>
      </c>
      <c r="I163" s="208" t="str">
        <f t="shared" si="7"/>
        <v/>
      </c>
      <c r="J163" s="209"/>
      <c r="K163" s="38"/>
      <c r="L163" s="38"/>
      <c r="M163" s="38"/>
    </row>
    <row r="164" spans="1:13">
      <c r="A164" s="3">
        <f t="shared" si="8"/>
        <v>1</v>
      </c>
      <c r="B164" s="87"/>
      <c r="C164" s="189"/>
      <c r="D164" s="188"/>
      <c r="E164" s="186"/>
      <c r="F164" s="186">
        <f t="shared" si="6"/>
        <v>0</v>
      </c>
      <c r="G164" s="186" t="str">
        <f>IF(IFERROR(IF(Str_TypeDonneesCpt5=Cpt_Index,Tab_Compteur_5[[#This Row],[Index]]-E163,Tab_Compteur_5[[#This Row],[Quantité]])/Tab_Compteur_5[[#This Row],[Delta Jour]],"")&lt;0,"",IFERROR(IF(Str_TypeDonneesCpt5=Cpt_Index,Tab_Compteur_5[[#This Row],[Index]]-E163,Tab_Compteur_5[[#This Row],[Quantité]])/Tab_Compteur_5[[#This Row],[Delta Jour]],""))</f>
        <v/>
      </c>
      <c r="H164" s="186" t="str">
        <f>IFERROR(Tab_Compteur_5[[#This Row],[Montant]]/Tab_Compteur_5[[#This Row],[Delta Jour]],"")</f>
        <v/>
      </c>
      <c r="I164" s="208" t="str">
        <f t="shared" si="7"/>
        <v/>
      </c>
      <c r="J164" s="209"/>
      <c r="K164" s="38"/>
      <c r="L164" s="38"/>
      <c r="M164" s="38"/>
    </row>
    <row r="165" spans="1:13">
      <c r="A165" s="3">
        <f t="shared" si="8"/>
        <v>1</v>
      </c>
      <c r="B165" s="87"/>
      <c r="C165" s="189"/>
      <c r="D165" s="188"/>
      <c r="E165" s="186"/>
      <c r="F165" s="186">
        <f t="shared" si="6"/>
        <v>0</v>
      </c>
      <c r="G165" s="186" t="str">
        <f>IF(IFERROR(IF(Str_TypeDonneesCpt5=Cpt_Index,Tab_Compteur_5[[#This Row],[Index]]-E164,Tab_Compteur_5[[#This Row],[Quantité]])/Tab_Compteur_5[[#This Row],[Delta Jour]],"")&lt;0,"",IFERROR(IF(Str_TypeDonneesCpt5=Cpt_Index,Tab_Compteur_5[[#This Row],[Index]]-E164,Tab_Compteur_5[[#This Row],[Quantité]])/Tab_Compteur_5[[#This Row],[Delta Jour]],""))</f>
        <v/>
      </c>
      <c r="H165" s="186" t="str">
        <f>IFERROR(Tab_Compteur_5[[#This Row],[Montant]]/Tab_Compteur_5[[#This Row],[Delta Jour]],"")</f>
        <v/>
      </c>
      <c r="I165" s="208" t="str">
        <f t="shared" si="7"/>
        <v/>
      </c>
      <c r="J165" s="209"/>
      <c r="K165" s="38"/>
      <c r="L165" s="38"/>
      <c r="M165" s="38"/>
    </row>
    <row r="166" spans="1:13">
      <c r="A166" s="3">
        <f t="shared" si="8"/>
        <v>1</v>
      </c>
      <c r="B166" s="87"/>
      <c r="C166" s="189"/>
      <c r="D166" s="188"/>
      <c r="E166" s="186"/>
      <c r="F166" s="186">
        <f t="shared" si="6"/>
        <v>0</v>
      </c>
      <c r="G166" s="186" t="str">
        <f>IF(IFERROR(IF(Str_TypeDonneesCpt5=Cpt_Index,Tab_Compteur_5[[#This Row],[Index]]-E165,Tab_Compteur_5[[#This Row],[Quantité]])/Tab_Compteur_5[[#This Row],[Delta Jour]],"")&lt;0,"",IFERROR(IF(Str_TypeDonneesCpt5=Cpt_Index,Tab_Compteur_5[[#This Row],[Index]]-E165,Tab_Compteur_5[[#This Row],[Quantité]])/Tab_Compteur_5[[#This Row],[Delta Jour]],""))</f>
        <v/>
      </c>
      <c r="H166" s="186" t="str">
        <f>IFERROR(Tab_Compteur_5[[#This Row],[Montant]]/Tab_Compteur_5[[#This Row],[Delta Jour]],"")</f>
        <v/>
      </c>
      <c r="I166" s="208" t="str">
        <f t="shared" si="7"/>
        <v/>
      </c>
      <c r="J166" s="209"/>
      <c r="K166" s="38"/>
      <c r="L166" s="38"/>
      <c r="M166" s="38"/>
    </row>
    <row r="167" spans="1:13">
      <c r="A167" s="3">
        <f t="shared" si="8"/>
        <v>1</v>
      </c>
      <c r="B167" s="87"/>
      <c r="C167" s="189"/>
      <c r="D167" s="188"/>
      <c r="E167" s="186"/>
      <c r="F167" s="186">
        <f t="shared" si="6"/>
        <v>0</v>
      </c>
      <c r="G167" s="186" t="str">
        <f>IF(IFERROR(IF(Str_TypeDonneesCpt5=Cpt_Index,Tab_Compteur_5[[#This Row],[Index]]-E166,Tab_Compteur_5[[#This Row],[Quantité]])/Tab_Compteur_5[[#This Row],[Delta Jour]],"")&lt;0,"",IFERROR(IF(Str_TypeDonneesCpt5=Cpt_Index,Tab_Compteur_5[[#This Row],[Index]]-E166,Tab_Compteur_5[[#This Row],[Quantité]])/Tab_Compteur_5[[#This Row],[Delta Jour]],""))</f>
        <v/>
      </c>
      <c r="H167" s="186" t="str">
        <f>IFERROR(Tab_Compteur_5[[#This Row],[Montant]]/Tab_Compteur_5[[#This Row],[Delta Jour]],"")</f>
        <v/>
      </c>
      <c r="I167" s="208" t="str">
        <f t="shared" si="7"/>
        <v/>
      </c>
      <c r="J167" s="209"/>
      <c r="K167" s="38"/>
      <c r="L167" s="38"/>
      <c r="M167" s="38"/>
    </row>
    <row r="168" spans="1:13">
      <c r="A168" s="3">
        <f t="shared" si="8"/>
        <v>1</v>
      </c>
      <c r="B168" s="87"/>
      <c r="C168" s="189"/>
      <c r="D168" s="188"/>
      <c r="E168" s="186"/>
      <c r="F168" s="186">
        <f t="shared" si="6"/>
        <v>0</v>
      </c>
      <c r="G168" s="186" t="str">
        <f>IF(IFERROR(IF(Str_TypeDonneesCpt5=Cpt_Index,Tab_Compteur_5[[#This Row],[Index]]-E167,Tab_Compteur_5[[#This Row],[Quantité]])/Tab_Compteur_5[[#This Row],[Delta Jour]],"")&lt;0,"",IFERROR(IF(Str_TypeDonneesCpt5=Cpt_Index,Tab_Compteur_5[[#This Row],[Index]]-E167,Tab_Compteur_5[[#This Row],[Quantité]])/Tab_Compteur_5[[#This Row],[Delta Jour]],""))</f>
        <v/>
      </c>
      <c r="H168" s="186" t="str">
        <f>IFERROR(Tab_Compteur_5[[#This Row],[Montant]]/Tab_Compteur_5[[#This Row],[Delta Jour]],"")</f>
        <v/>
      </c>
      <c r="I168" s="208" t="str">
        <f t="shared" si="7"/>
        <v/>
      </c>
      <c r="J168" s="209"/>
      <c r="K168" s="38"/>
      <c r="L168" s="38"/>
      <c r="M168" s="38"/>
    </row>
    <row r="169" spans="1:13">
      <c r="A169" s="3">
        <f t="shared" si="8"/>
        <v>1</v>
      </c>
      <c r="B169" s="87"/>
      <c r="C169" s="189"/>
      <c r="D169" s="188"/>
      <c r="E169" s="186"/>
      <c r="F169" s="186">
        <f t="shared" si="6"/>
        <v>0</v>
      </c>
      <c r="G169" s="186" t="str">
        <f>IF(IFERROR(IF(Str_TypeDonneesCpt5=Cpt_Index,Tab_Compteur_5[[#This Row],[Index]]-E168,Tab_Compteur_5[[#This Row],[Quantité]])/Tab_Compteur_5[[#This Row],[Delta Jour]],"")&lt;0,"",IFERROR(IF(Str_TypeDonneesCpt5=Cpt_Index,Tab_Compteur_5[[#This Row],[Index]]-E168,Tab_Compteur_5[[#This Row],[Quantité]])/Tab_Compteur_5[[#This Row],[Delta Jour]],""))</f>
        <v/>
      </c>
      <c r="H169" s="186" t="str">
        <f>IFERROR(Tab_Compteur_5[[#This Row],[Montant]]/Tab_Compteur_5[[#This Row],[Delta Jour]],"")</f>
        <v/>
      </c>
      <c r="I169" s="208" t="str">
        <f t="shared" si="7"/>
        <v/>
      </c>
      <c r="J169" s="209"/>
      <c r="K169" s="38"/>
      <c r="L169" s="38"/>
      <c r="M169" s="38"/>
    </row>
    <row r="170" spans="1:13">
      <c r="A170" s="3">
        <f t="shared" si="8"/>
        <v>1</v>
      </c>
      <c r="B170" s="87"/>
      <c r="C170" s="189"/>
      <c r="D170" s="188"/>
      <c r="E170" s="186"/>
      <c r="F170" s="186">
        <f t="shared" si="6"/>
        <v>0</v>
      </c>
      <c r="G170" s="186" t="str">
        <f>IF(IFERROR(IF(Str_TypeDonneesCpt5=Cpt_Index,Tab_Compteur_5[[#This Row],[Index]]-E169,Tab_Compteur_5[[#This Row],[Quantité]])/Tab_Compteur_5[[#This Row],[Delta Jour]],"")&lt;0,"",IFERROR(IF(Str_TypeDonneesCpt5=Cpt_Index,Tab_Compteur_5[[#This Row],[Index]]-E169,Tab_Compteur_5[[#This Row],[Quantité]])/Tab_Compteur_5[[#This Row],[Delta Jour]],""))</f>
        <v/>
      </c>
      <c r="H170" s="186" t="str">
        <f>IFERROR(Tab_Compteur_5[[#This Row],[Montant]]/Tab_Compteur_5[[#This Row],[Delta Jour]],"")</f>
        <v/>
      </c>
      <c r="I170" s="208" t="str">
        <f t="shared" si="7"/>
        <v/>
      </c>
      <c r="J170" s="209"/>
      <c r="K170" s="38"/>
      <c r="L170" s="38"/>
      <c r="M170" s="38"/>
    </row>
    <row r="171" spans="1:13">
      <c r="A171" s="3">
        <f t="shared" si="8"/>
        <v>1</v>
      </c>
      <c r="B171" s="87"/>
      <c r="C171" s="189"/>
      <c r="D171" s="188"/>
      <c r="E171" s="186"/>
      <c r="F171" s="186">
        <f t="shared" si="6"/>
        <v>0</v>
      </c>
      <c r="G171" s="186" t="str">
        <f>IF(IFERROR(IF(Str_TypeDonneesCpt5=Cpt_Index,Tab_Compteur_5[[#This Row],[Index]]-E170,Tab_Compteur_5[[#This Row],[Quantité]])/Tab_Compteur_5[[#This Row],[Delta Jour]],"")&lt;0,"",IFERROR(IF(Str_TypeDonneesCpt5=Cpt_Index,Tab_Compteur_5[[#This Row],[Index]]-E170,Tab_Compteur_5[[#This Row],[Quantité]])/Tab_Compteur_5[[#This Row],[Delta Jour]],""))</f>
        <v/>
      </c>
      <c r="H171" s="186" t="str">
        <f>IFERROR(Tab_Compteur_5[[#This Row],[Montant]]/Tab_Compteur_5[[#This Row],[Delta Jour]],"")</f>
        <v/>
      </c>
      <c r="I171" s="208" t="str">
        <f t="shared" si="7"/>
        <v/>
      </c>
      <c r="J171" s="209"/>
      <c r="K171" s="38"/>
      <c r="L171" s="38"/>
      <c r="M171" s="38"/>
    </row>
    <row r="172" spans="1:13">
      <c r="A172" s="3">
        <f t="shared" si="8"/>
        <v>1</v>
      </c>
      <c r="B172" s="87"/>
      <c r="C172" s="189"/>
      <c r="D172" s="188"/>
      <c r="E172" s="186"/>
      <c r="F172" s="186">
        <f t="shared" si="6"/>
        <v>0</v>
      </c>
      <c r="G172" s="186" t="str">
        <f>IF(IFERROR(IF(Str_TypeDonneesCpt5=Cpt_Index,Tab_Compteur_5[[#This Row],[Index]]-E171,Tab_Compteur_5[[#This Row],[Quantité]])/Tab_Compteur_5[[#This Row],[Delta Jour]],"")&lt;0,"",IFERROR(IF(Str_TypeDonneesCpt5=Cpt_Index,Tab_Compteur_5[[#This Row],[Index]]-E171,Tab_Compteur_5[[#This Row],[Quantité]])/Tab_Compteur_5[[#This Row],[Delta Jour]],""))</f>
        <v/>
      </c>
      <c r="H172" s="186" t="str">
        <f>IFERROR(Tab_Compteur_5[[#This Row],[Montant]]/Tab_Compteur_5[[#This Row],[Delta Jour]],"")</f>
        <v/>
      </c>
      <c r="I172" s="208" t="str">
        <f t="shared" si="7"/>
        <v/>
      </c>
      <c r="J172" s="209"/>
      <c r="K172" s="38"/>
      <c r="L172" s="38"/>
      <c r="M172" s="38"/>
    </row>
    <row r="173" spans="1:13">
      <c r="A173" s="3">
        <f t="shared" si="8"/>
        <v>1</v>
      </c>
      <c r="B173" s="87"/>
      <c r="C173" s="189"/>
      <c r="D173" s="188"/>
      <c r="E173" s="186"/>
      <c r="F173" s="186">
        <f t="shared" si="6"/>
        <v>0</v>
      </c>
      <c r="G173" s="186" t="str">
        <f>IF(IFERROR(IF(Str_TypeDonneesCpt5=Cpt_Index,Tab_Compteur_5[[#This Row],[Index]]-E172,Tab_Compteur_5[[#This Row],[Quantité]])/Tab_Compteur_5[[#This Row],[Delta Jour]],"")&lt;0,"",IFERROR(IF(Str_TypeDonneesCpt5=Cpt_Index,Tab_Compteur_5[[#This Row],[Index]]-E172,Tab_Compteur_5[[#This Row],[Quantité]])/Tab_Compteur_5[[#This Row],[Delta Jour]],""))</f>
        <v/>
      </c>
      <c r="H173" s="186" t="str">
        <f>IFERROR(Tab_Compteur_5[[#This Row],[Montant]]/Tab_Compteur_5[[#This Row],[Delta Jour]],"")</f>
        <v/>
      </c>
      <c r="I173" s="208" t="str">
        <f t="shared" si="7"/>
        <v/>
      </c>
      <c r="J173" s="209"/>
      <c r="K173" s="38"/>
      <c r="L173" s="38"/>
      <c r="M173" s="38"/>
    </row>
    <row r="174" spans="1:13">
      <c r="A174" s="3">
        <f t="shared" si="8"/>
        <v>1</v>
      </c>
      <c r="B174" s="87"/>
      <c r="C174" s="189"/>
      <c r="D174" s="188"/>
      <c r="E174" s="186"/>
      <c r="F174" s="186">
        <f t="shared" si="6"/>
        <v>0</v>
      </c>
      <c r="G174" s="186" t="str">
        <f>IF(IFERROR(IF(Str_TypeDonneesCpt5=Cpt_Index,Tab_Compteur_5[[#This Row],[Index]]-E173,Tab_Compteur_5[[#This Row],[Quantité]])/Tab_Compteur_5[[#This Row],[Delta Jour]],"")&lt;0,"",IFERROR(IF(Str_TypeDonneesCpt5=Cpt_Index,Tab_Compteur_5[[#This Row],[Index]]-E173,Tab_Compteur_5[[#This Row],[Quantité]])/Tab_Compteur_5[[#This Row],[Delta Jour]],""))</f>
        <v/>
      </c>
      <c r="H174" s="186" t="str">
        <f>IFERROR(Tab_Compteur_5[[#This Row],[Montant]]/Tab_Compteur_5[[#This Row],[Delta Jour]],"")</f>
        <v/>
      </c>
      <c r="I174" s="208" t="str">
        <f t="shared" si="7"/>
        <v/>
      </c>
      <c r="J174" s="209"/>
      <c r="K174" s="38"/>
      <c r="L174" s="38"/>
      <c r="M174" s="38"/>
    </row>
    <row r="175" spans="1:13">
      <c r="A175" s="3">
        <f t="shared" si="8"/>
        <v>1</v>
      </c>
      <c r="B175" s="87"/>
      <c r="C175" s="189"/>
      <c r="D175" s="188"/>
      <c r="E175" s="186"/>
      <c r="F175" s="186">
        <f t="shared" si="6"/>
        <v>0</v>
      </c>
      <c r="G175" s="186" t="str">
        <f>IF(IFERROR(IF(Str_TypeDonneesCpt5=Cpt_Index,Tab_Compteur_5[[#This Row],[Index]]-E174,Tab_Compteur_5[[#This Row],[Quantité]])/Tab_Compteur_5[[#This Row],[Delta Jour]],"")&lt;0,"",IFERROR(IF(Str_TypeDonneesCpt5=Cpt_Index,Tab_Compteur_5[[#This Row],[Index]]-E174,Tab_Compteur_5[[#This Row],[Quantité]])/Tab_Compteur_5[[#This Row],[Delta Jour]],""))</f>
        <v/>
      </c>
      <c r="H175" s="186" t="str">
        <f>IFERROR(Tab_Compteur_5[[#This Row],[Montant]]/Tab_Compteur_5[[#This Row],[Delta Jour]],"")</f>
        <v/>
      </c>
      <c r="I175" s="208" t="str">
        <f t="shared" si="7"/>
        <v/>
      </c>
      <c r="J175" s="209"/>
      <c r="K175" s="38"/>
      <c r="L175" s="38"/>
      <c r="M175" s="38"/>
    </row>
    <row r="176" spans="1:13">
      <c r="A176" s="3">
        <f t="shared" si="8"/>
        <v>1</v>
      </c>
      <c r="B176" s="87"/>
      <c r="C176" s="189"/>
      <c r="D176" s="188"/>
      <c r="E176" s="186"/>
      <c r="F176" s="186">
        <f t="shared" si="6"/>
        <v>0</v>
      </c>
      <c r="G176" s="186" t="str">
        <f>IF(IFERROR(IF(Str_TypeDonneesCpt5=Cpt_Index,Tab_Compteur_5[[#This Row],[Index]]-E175,Tab_Compteur_5[[#This Row],[Quantité]])/Tab_Compteur_5[[#This Row],[Delta Jour]],"")&lt;0,"",IFERROR(IF(Str_TypeDonneesCpt5=Cpt_Index,Tab_Compteur_5[[#This Row],[Index]]-E175,Tab_Compteur_5[[#This Row],[Quantité]])/Tab_Compteur_5[[#This Row],[Delta Jour]],""))</f>
        <v/>
      </c>
      <c r="H176" s="186" t="str">
        <f>IFERROR(Tab_Compteur_5[[#This Row],[Montant]]/Tab_Compteur_5[[#This Row],[Delta Jour]],"")</f>
        <v/>
      </c>
      <c r="I176" s="208" t="str">
        <f t="shared" si="7"/>
        <v/>
      </c>
      <c r="J176" s="209"/>
      <c r="K176" s="38"/>
      <c r="L176" s="38"/>
      <c r="M176" s="38"/>
    </row>
    <row r="177" spans="1:13">
      <c r="A177" s="3">
        <f t="shared" si="8"/>
        <v>1</v>
      </c>
      <c r="B177" s="87"/>
      <c r="C177" s="189"/>
      <c r="D177" s="188"/>
      <c r="E177" s="186"/>
      <c r="F177" s="186">
        <f t="shared" si="6"/>
        <v>0</v>
      </c>
      <c r="G177" s="186" t="str">
        <f>IF(IFERROR(IF(Str_TypeDonneesCpt5=Cpt_Index,Tab_Compteur_5[[#This Row],[Index]]-E176,Tab_Compteur_5[[#This Row],[Quantité]])/Tab_Compteur_5[[#This Row],[Delta Jour]],"")&lt;0,"",IFERROR(IF(Str_TypeDonneesCpt5=Cpt_Index,Tab_Compteur_5[[#This Row],[Index]]-E176,Tab_Compteur_5[[#This Row],[Quantité]])/Tab_Compteur_5[[#This Row],[Delta Jour]],""))</f>
        <v/>
      </c>
      <c r="H177" s="186" t="str">
        <f>IFERROR(Tab_Compteur_5[[#This Row],[Montant]]/Tab_Compteur_5[[#This Row],[Delta Jour]],"")</f>
        <v/>
      </c>
      <c r="I177" s="208" t="str">
        <f t="shared" si="7"/>
        <v/>
      </c>
      <c r="J177" s="209"/>
      <c r="K177" s="38"/>
      <c r="L177" s="38"/>
      <c r="M177" s="38"/>
    </row>
    <row r="178" spans="1:13">
      <c r="A178" s="3">
        <f t="shared" si="8"/>
        <v>1</v>
      </c>
      <c r="B178" s="87"/>
      <c r="C178" s="189"/>
      <c r="D178" s="188"/>
      <c r="E178" s="186"/>
      <c r="F178" s="186">
        <f t="shared" si="6"/>
        <v>0</v>
      </c>
      <c r="G178" s="186" t="str">
        <f>IF(IFERROR(IF(Str_TypeDonneesCpt5=Cpt_Index,Tab_Compteur_5[[#This Row],[Index]]-E177,Tab_Compteur_5[[#This Row],[Quantité]])/Tab_Compteur_5[[#This Row],[Delta Jour]],"")&lt;0,"",IFERROR(IF(Str_TypeDonneesCpt5=Cpt_Index,Tab_Compteur_5[[#This Row],[Index]]-E177,Tab_Compteur_5[[#This Row],[Quantité]])/Tab_Compteur_5[[#This Row],[Delta Jour]],""))</f>
        <v/>
      </c>
      <c r="H178" s="186" t="str">
        <f>IFERROR(Tab_Compteur_5[[#This Row],[Montant]]/Tab_Compteur_5[[#This Row],[Delta Jour]],"")</f>
        <v/>
      </c>
      <c r="I178" s="208" t="str">
        <f t="shared" si="7"/>
        <v/>
      </c>
      <c r="J178" s="209"/>
      <c r="K178" s="38"/>
      <c r="L178" s="38"/>
      <c r="M178" s="38"/>
    </row>
    <row r="179" spans="1:13">
      <c r="A179" s="3">
        <f t="shared" si="8"/>
        <v>1</v>
      </c>
      <c r="B179" s="87"/>
      <c r="C179" s="189"/>
      <c r="D179" s="188"/>
      <c r="E179" s="186"/>
      <c r="F179" s="186">
        <f t="shared" si="6"/>
        <v>0</v>
      </c>
      <c r="G179" s="186" t="str">
        <f>IF(IFERROR(IF(Str_TypeDonneesCpt5=Cpt_Index,Tab_Compteur_5[[#This Row],[Index]]-E178,Tab_Compteur_5[[#This Row],[Quantité]])/Tab_Compteur_5[[#This Row],[Delta Jour]],"")&lt;0,"",IFERROR(IF(Str_TypeDonneesCpt5=Cpt_Index,Tab_Compteur_5[[#This Row],[Index]]-E178,Tab_Compteur_5[[#This Row],[Quantité]])/Tab_Compteur_5[[#This Row],[Delta Jour]],""))</f>
        <v/>
      </c>
      <c r="H179" s="186" t="str">
        <f>IFERROR(Tab_Compteur_5[[#This Row],[Montant]]/Tab_Compteur_5[[#This Row],[Delta Jour]],"")</f>
        <v/>
      </c>
      <c r="I179" s="208" t="str">
        <f t="shared" si="7"/>
        <v/>
      </c>
      <c r="J179" s="209"/>
      <c r="K179" s="38"/>
      <c r="L179" s="38"/>
      <c r="M179" s="38"/>
    </row>
    <row r="180" spans="1:13">
      <c r="A180" s="3">
        <f t="shared" si="8"/>
        <v>1</v>
      </c>
      <c r="B180" s="87"/>
      <c r="C180" s="189"/>
      <c r="D180" s="188"/>
      <c r="E180" s="186"/>
      <c r="F180" s="186">
        <f t="shared" si="6"/>
        <v>0</v>
      </c>
      <c r="G180" s="186" t="str">
        <f>IF(IFERROR(IF(Str_TypeDonneesCpt5=Cpt_Index,Tab_Compteur_5[[#This Row],[Index]]-E179,Tab_Compteur_5[[#This Row],[Quantité]])/Tab_Compteur_5[[#This Row],[Delta Jour]],"")&lt;0,"",IFERROR(IF(Str_TypeDonneesCpt5=Cpt_Index,Tab_Compteur_5[[#This Row],[Index]]-E179,Tab_Compteur_5[[#This Row],[Quantité]])/Tab_Compteur_5[[#This Row],[Delta Jour]],""))</f>
        <v/>
      </c>
      <c r="H180" s="186" t="str">
        <f>IFERROR(Tab_Compteur_5[[#This Row],[Montant]]/Tab_Compteur_5[[#This Row],[Delta Jour]],"")</f>
        <v/>
      </c>
      <c r="I180" s="208" t="str">
        <f t="shared" si="7"/>
        <v/>
      </c>
      <c r="J180" s="209"/>
      <c r="K180" s="38"/>
      <c r="L180" s="38"/>
      <c r="M180" s="38"/>
    </row>
    <row r="181" spans="1:13">
      <c r="A181" s="3">
        <f t="shared" si="8"/>
        <v>1</v>
      </c>
      <c r="B181" s="87"/>
      <c r="C181" s="189"/>
      <c r="D181" s="188"/>
      <c r="E181" s="186"/>
      <c r="F181" s="186">
        <f t="shared" si="6"/>
        <v>0</v>
      </c>
      <c r="G181" s="186" t="str">
        <f>IF(IFERROR(IF(Str_TypeDonneesCpt5=Cpt_Index,Tab_Compteur_5[[#This Row],[Index]]-E180,Tab_Compteur_5[[#This Row],[Quantité]])/Tab_Compteur_5[[#This Row],[Delta Jour]],"")&lt;0,"",IFERROR(IF(Str_TypeDonneesCpt5=Cpt_Index,Tab_Compteur_5[[#This Row],[Index]]-E180,Tab_Compteur_5[[#This Row],[Quantité]])/Tab_Compteur_5[[#This Row],[Delta Jour]],""))</f>
        <v/>
      </c>
      <c r="H181" s="186" t="str">
        <f>IFERROR(Tab_Compteur_5[[#This Row],[Montant]]/Tab_Compteur_5[[#This Row],[Delta Jour]],"")</f>
        <v/>
      </c>
      <c r="I181" s="208" t="str">
        <f t="shared" si="7"/>
        <v/>
      </c>
      <c r="J181" s="209"/>
      <c r="K181" s="38"/>
      <c r="L181" s="38"/>
      <c r="M181" s="38"/>
    </row>
    <row r="182" spans="1:13">
      <c r="A182" s="3">
        <f t="shared" si="8"/>
        <v>1</v>
      </c>
      <c r="B182" s="87"/>
      <c r="C182" s="189"/>
      <c r="D182" s="188"/>
      <c r="E182" s="186"/>
      <c r="F182" s="186">
        <f t="shared" si="6"/>
        <v>0</v>
      </c>
      <c r="G182" s="186" t="str">
        <f>IF(IFERROR(IF(Str_TypeDonneesCpt5=Cpt_Index,Tab_Compteur_5[[#This Row],[Index]]-E181,Tab_Compteur_5[[#This Row],[Quantité]])/Tab_Compteur_5[[#This Row],[Delta Jour]],"")&lt;0,"",IFERROR(IF(Str_TypeDonneesCpt5=Cpt_Index,Tab_Compteur_5[[#This Row],[Index]]-E181,Tab_Compteur_5[[#This Row],[Quantité]])/Tab_Compteur_5[[#This Row],[Delta Jour]],""))</f>
        <v/>
      </c>
      <c r="H182" s="186" t="str">
        <f>IFERROR(Tab_Compteur_5[[#This Row],[Montant]]/Tab_Compteur_5[[#This Row],[Delta Jour]],"")</f>
        <v/>
      </c>
      <c r="I182" s="208" t="str">
        <f t="shared" si="7"/>
        <v/>
      </c>
      <c r="J182" s="209"/>
      <c r="K182" s="38"/>
      <c r="L182" s="38"/>
      <c r="M182" s="38"/>
    </row>
    <row r="183" spans="1:13">
      <c r="A183" s="3">
        <f t="shared" si="8"/>
        <v>1</v>
      </c>
      <c r="B183" s="87"/>
      <c r="C183" s="189"/>
      <c r="D183" s="188"/>
      <c r="E183" s="186"/>
      <c r="F183" s="186">
        <f t="shared" si="6"/>
        <v>0</v>
      </c>
      <c r="G183" s="186" t="str">
        <f>IF(IFERROR(IF(Str_TypeDonneesCpt5=Cpt_Index,Tab_Compteur_5[[#This Row],[Index]]-E182,Tab_Compteur_5[[#This Row],[Quantité]])/Tab_Compteur_5[[#This Row],[Delta Jour]],"")&lt;0,"",IFERROR(IF(Str_TypeDonneesCpt5=Cpt_Index,Tab_Compteur_5[[#This Row],[Index]]-E182,Tab_Compteur_5[[#This Row],[Quantité]])/Tab_Compteur_5[[#This Row],[Delta Jour]],""))</f>
        <v/>
      </c>
      <c r="H183" s="186" t="str">
        <f>IFERROR(Tab_Compteur_5[[#This Row],[Montant]]/Tab_Compteur_5[[#This Row],[Delta Jour]],"")</f>
        <v/>
      </c>
      <c r="I183" s="208" t="str">
        <f t="shared" si="7"/>
        <v/>
      </c>
      <c r="J183" s="209"/>
      <c r="K183" s="38"/>
      <c r="L183" s="38"/>
      <c r="M183" s="38"/>
    </row>
    <row r="184" spans="1:13">
      <c r="A184" s="3">
        <f t="shared" si="8"/>
        <v>1</v>
      </c>
      <c r="B184" s="87"/>
      <c r="C184" s="189"/>
      <c r="D184" s="188"/>
      <c r="E184" s="186"/>
      <c r="F184" s="186">
        <f t="shared" si="6"/>
        <v>0</v>
      </c>
      <c r="G184" s="186" t="str">
        <f>IF(IFERROR(IF(Str_TypeDonneesCpt5=Cpt_Index,Tab_Compteur_5[[#This Row],[Index]]-E183,Tab_Compteur_5[[#This Row],[Quantité]])/Tab_Compteur_5[[#This Row],[Delta Jour]],"")&lt;0,"",IFERROR(IF(Str_TypeDonneesCpt5=Cpt_Index,Tab_Compteur_5[[#This Row],[Index]]-E183,Tab_Compteur_5[[#This Row],[Quantité]])/Tab_Compteur_5[[#This Row],[Delta Jour]],""))</f>
        <v/>
      </c>
      <c r="H184" s="186" t="str">
        <f>IFERROR(Tab_Compteur_5[[#This Row],[Montant]]/Tab_Compteur_5[[#This Row],[Delta Jour]],"")</f>
        <v/>
      </c>
      <c r="I184" s="208" t="str">
        <f t="shared" si="7"/>
        <v/>
      </c>
      <c r="J184" s="209"/>
      <c r="K184" s="38"/>
      <c r="L184" s="38"/>
      <c r="M184" s="38"/>
    </row>
    <row r="185" spans="1:13">
      <c r="A185" s="3">
        <f t="shared" si="8"/>
        <v>1</v>
      </c>
      <c r="B185" s="87"/>
      <c r="C185" s="189"/>
      <c r="D185" s="188"/>
      <c r="E185" s="186"/>
      <c r="F185" s="186">
        <f t="shared" si="6"/>
        <v>0</v>
      </c>
      <c r="G185" s="186" t="str">
        <f>IF(IFERROR(IF(Str_TypeDonneesCpt5=Cpt_Index,Tab_Compteur_5[[#This Row],[Index]]-E184,Tab_Compteur_5[[#This Row],[Quantité]])/Tab_Compteur_5[[#This Row],[Delta Jour]],"")&lt;0,"",IFERROR(IF(Str_TypeDonneesCpt5=Cpt_Index,Tab_Compteur_5[[#This Row],[Index]]-E184,Tab_Compteur_5[[#This Row],[Quantité]])/Tab_Compteur_5[[#This Row],[Delta Jour]],""))</f>
        <v/>
      </c>
      <c r="H185" s="186" t="str">
        <f>IFERROR(Tab_Compteur_5[[#This Row],[Montant]]/Tab_Compteur_5[[#This Row],[Delta Jour]],"")</f>
        <v/>
      </c>
      <c r="I185" s="208" t="str">
        <f t="shared" si="7"/>
        <v/>
      </c>
      <c r="J185" s="209"/>
      <c r="K185" s="38"/>
      <c r="L185" s="38"/>
      <c r="M185" s="38"/>
    </row>
    <row r="186" spans="1:13">
      <c r="A186" s="3">
        <f t="shared" si="8"/>
        <v>1</v>
      </c>
      <c r="B186" s="87"/>
      <c r="C186" s="189"/>
      <c r="D186" s="188"/>
      <c r="E186" s="186"/>
      <c r="F186" s="186">
        <f t="shared" si="6"/>
        <v>0</v>
      </c>
      <c r="G186" s="186" t="str">
        <f>IF(IFERROR(IF(Str_TypeDonneesCpt5=Cpt_Index,Tab_Compteur_5[[#This Row],[Index]]-E185,Tab_Compteur_5[[#This Row],[Quantité]])/Tab_Compteur_5[[#This Row],[Delta Jour]],"")&lt;0,"",IFERROR(IF(Str_TypeDonneesCpt5=Cpt_Index,Tab_Compteur_5[[#This Row],[Index]]-E185,Tab_Compteur_5[[#This Row],[Quantité]])/Tab_Compteur_5[[#This Row],[Delta Jour]],""))</f>
        <v/>
      </c>
      <c r="H186" s="186" t="str">
        <f>IFERROR(Tab_Compteur_5[[#This Row],[Montant]]/Tab_Compteur_5[[#This Row],[Delta Jour]],"")</f>
        <v/>
      </c>
      <c r="I186" s="208" t="str">
        <f t="shared" si="7"/>
        <v/>
      </c>
      <c r="J186" s="209"/>
      <c r="K186" s="38"/>
      <c r="L186" s="38"/>
      <c r="M186" s="38"/>
    </row>
    <row r="187" spans="1:13">
      <c r="A187" s="3">
        <f t="shared" si="8"/>
        <v>1</v>
      </c>
      <c r="B187" s="87"/>
      <c r="C187" s="189"/>
      <c r="D187" s="188"/>
      <c r="E187" s="186"/>
      <c r="F187" s="186">
        <f t="shared" si="6"/>
        <v>0</v>
      </c>
      <c r="G187" s="186" t="str">
        <f>IF(IFERROR(IF(Str_TypeDonneesCpt5=Cpt_Index,Tab_Compteur_5[[#This Row],[Index]]-E186,Tab_Compteur_5[[#This Row],[Quantité]])/Tab_Compteur_5[[#This Row],[Delta Jour]],"")&lt;0,"",IFERROR(IF(Str_TypeDonneesCpt5=Cpt_Index,Tab_Compteur_5[[#This Row],[Index]]-E186,Tab_Compteur_5[[#This Row],[Quantité]])/Tab_Compteur_5[[#This Row],[Delta Jour]],""))</f>
        <v/>
      </c>
      <c r="H187" s="186" t="str">
        <f>IFERROR(Tab_Compteur_5[[#This Row],[Montant]]/Tab_Compteur_5[[#This Row],[Delta Jour]],"")</f>
        <v/>
      </c>
      <c r="I187" s="208" t="str">
        <f t="shared" si="7"/>
        <v/>
      </c>
      <c r="J187" s="209"/>
      <c r="K187" s="38"/>
      <c r="L187" s="38"/>
      <c r="M187" s="38"/>
    </row>
    <row r="188" spans="1:13">
      <c r="A188" s="3">
        <f t="shared" si="8"/>
        <v>1</v>
      </c>
      <c r="B188" s="87"/>
      <c r="C188" s="189"/>
      <c r="D188" s="188"/>
      <c r="E188" s="186"/>
      <c r="F188" s="186">
        <f t="shared" si="6"/>
        <v>0</v>
      </c>
      <c r="G188" s="186" t="str">
        <f>IF(IFERROR(IF(Str_TypeDonneesCpt5=Cpt_Index,Tab_Compteur_5[[#This Row],[Index]]-E187,Tab_Compteur_5[[#This Row],[Quantité]])/Tab_Compteur_5[[#This Row],[Delta Jour]],"")&lt;0,"",IFERROR(IF(Str_TypeDonneesCpt5=Cpt_Index,Tab_Compteur_5[[#This Row],[Index]]-E187,Tab_Compteur_5[[#This Row],[Quantité]])/Tab_Compteur_5[[#This Row],[Delta Jour]],""))</f>
        <v/>
      </c>
      <c r="H188" s="186" t="str">
        <f>IFERROR(Tab_Compteur_5[[#This Row],[Montant]]/Tab_Compteur_5[[#This Row],[Delta Jour]],"")</f>
        <v/>
      </c>
      <c r="I188" s="208" t="str">
        <f t="shared" si="7"/>
        <v/>
      </c>
      <c r="J188" s="209"/>
      <c r="K188" s="38"/>
      <c r="L188" s="38"/>
      <c r="M188" s="38"/>
    </row>
    <row r="189" spans="1:13">
      <c r="A189" s="3">
        <f t="shared" si="8"/>
        <v>1</v>
      </c>
      <c r="B189" s="87"/>
      <c r="C189" s="189"/>
      <c r="D189" s="188"/>
      <c r="E189" s="186"/>
      <c r="F189" s="186">
        <f t="shared" si="6"/>
        <v>0</v>
      </c>
      <c r="G189" s="186" t="str">
        <f>IF(IFERROR(IF(Str_TypeDonneesCpt5=Cpt_Index,Tab_Compteur_5[[#This Row],[Index]]-E188,Tab_Compteur_5[[#This Row],[Quantité]])/Tab_Compteur_5[[#This Row],[Delta Jour]],"")&lt;0,"",IFERROR(IF(Str_TypeDonneesCpt5=Cpt_Index,Tab_Compteur_5[[#This Row],[Index]]-E188,Tab_Compteur_5[[#This Row],[Quantité]])/Tab_Compteur_5[[#This Row],[Delta Jour]],""))</f>
        <v/>
      </c>
      <c r="H189" s="186" t="str">
        <f>IFERROR(Tab_Compteur_5[[#This Row],[Montant]]/Tab_Compteur_5[[#This Row],[Delta Jour]],"")</f>
        <v/>
      </c>
      <c r="I189" s="208" t="str">
        <f t="shared" si="7"/>
        <v/>
      </c>
      <c r="J189" s="209"/>
      <c r="K189" s="38"/>
      <c r="L189" s="38"/>
      <c r="M189" s="38"/>
    </row>
    <row r="190" spans="1:13">
      <c r="A190" s="3">
        <f t="shared" si="8"/>
        <v>1</v>
      </c>
      <c r="B190" s="87"/>
      <c r="C190" s="189"/>
      <c r="D190" s="188"/>
      <c r="E190" s="186"/>
      <c r="F190" s="186">
        <f t="shared" si="6"/>
        <v>0</v>
      </c>
      <c r="G190" s="186" t="str">
        <f>IF(IFERROR(IF(Str_TypeDonneesCpt5=Cpt_Index,Tab_Compteur_5[[#This Row],[Index]]-E189,Tab_Compteur_5[[#This Row],[Quantité]])/Tab_Compteur_5[[#This Row],[Delta Jour]],"")&lt;0,"",IFERROR(IF(Str_TypeDonneesCpt5=Cpt_Index,Tab_Compteur_5[[#This Row],[Index]]-E189,Tab_Compteur_5[[#This Row],[Quantité]])/Tab_Compteur_5[[#This Row],[Delta Jour]],""))</f>
        <v/>
      </c>
      <c r="H190" s="186" t="str">
        <f>IFERROR(Tab_Compteur_5[[#This Row],[Montant]]/Tab_Compteur_5[[#This Row],[Delta Jour]],"")</f>
        <v/>
      </c>
      <c r="I190" s="208" t="str">
        <f t="shared" si="7"/>
        <v/>
      </c>
      <c r="J190" s="209"/>
      <c r="K190" s="38"/>
      <c r="L190" s="38"/>
      <c r="M190" s="38"/>
    </row>
    <row r="191" spans="1:13">
      <c r="A191" s="3">
        <f t="shared" si="8"/>
        <v>1</v>
      </c>
      <c r="B191" s="87"/>
      <c r="C191" s="189"/>
      <c r="D191" s="188"/>
      <c r="E191" s="186"/>
      <c r="F191" s="186">
        <f t="shared" si="6"/>
        <v>0</v>
      </c>
      <c r="G191" s="186" t="str">
        <f>IF(IFERROR(IF(Str_TypeDonneesCpt5=Cpt_Index,Tab_Compteur_5[[#This Row],[Index]]-E190,Tab_Compteur_5[[#This Row],[Quantité]])/Tab_Compteur_5[[#This Row],[Delta Jour]],"")&lt;0,"",IFERROR(IF(Str_TypeDonneesCpt5=Cpt_Index,Tab_Compteur_5[[#This Row],[Index]]-E190,Tab_Compteur_5[[#This Row],[Quantité]])/Tab_Compteur_5[[#This Row],[Delta Jour]],""))</f>
        <v/>
      </c>
      <c r="H191" s="186" t="str">
        <f>IFERROR(Tab_Compteur_5[[#This Row],[Montant]]/Tab_Compteur_5[[#This Row],[Delta Jour]],"")</f>
        <v/>
      </c>
      <c r="I191" s="208" t="str">
        <f t="shared" si="7"/>
        <v/>
      </c>
      <c r="J191" s="209"/>
      <c r="K191" s="38"/>
      <c r="L191" s="38"/>
      <c r="M191" s="38"/>
    </row>
    <row r="192" spans="1:13">
      <c r="A192" s="3">
        <f t="shared" si="8"/>
        <v>1</v>
      </c>
      <c r="B192" s="87"/>
      <c r="C192" s="189"/>
      <c r="D192" s="188"/>
      <c r="E192" s="186"/>
      <c r="F192" s="186">
        <f t="shared" si="6"/>
        <v>0</v>
      </c>
      <c r="G192" s="186" t="str">
        <f>IF(IFERROR(IF(Str_TypeDonneesCpt5=Cpt_Index,Tab_Compteur_5[[#This Row],[Index]]-E191,Tab_Compteur_5[[#This Row],[Quantité]])/Tab_Compteur_5[[#This Row],[Delta Jour]],"")&lt;0,"",IFERROR(IF(Str_TypeDonneesCpt5=Cpt_Index,Tab_Compteur_5[[#This Row],[Index]]-E191,Tab_Compteur_5[[#This Row],[Quantité]])/Tab_Compteur_5[[#This Row],[Delta Jour]],""))</f>
        <v/>
      </c>
      <c r="H192" s="186" t="str">
        <f>IFERROR(Tab_Compteur_5[[#This Row],[Montant]]/Tab_Compteur_5[[#This Row],[Delta Jour]],"")</f>
        <v/>
      </c>
      <c r="I192" s="208" t="str">
        <f t="shared" si="7"/>
        <v/>
      </c>
      <c r="J192" s="209"/>
      <c r="K192" s="38"/>
      <c r="L192" s="38"/>
      <c r="M192" s="38"/>
    </row>
    <row r="193" spans="1:13">
      <c r="A193" s="3">
        <f t="shared" si="8"/>
        <v>1</v>
      </c>
      <c r="B193" s="87"/>
      <c r="C193" s="189"/>
      <c r="D193" s="188"/>
      <c r="E193" s="186"/>
      <c r="F193" s="186">
        <f t="shared" si="6"/>
        <v>0</v>
      </c>
      <c r="G193" s="186" t="str">
        <f>IF(IFERROR(IF(Str_TypeDonneesCpt5=Cpt_Index,Tab_Compteur_5[[#This Row],[Index]]-E192,Tab_Compteur_5[[#This Row],[Quantité]])/Tab_Compteur_5[[#This Row],[Delta Jour]],"")&lt;0,"",IFERROR(IF(Str_TypeDonneesCpt5=Cpt_Index,Tab_Compteur_5[[#This Row],[Index]]-E192,Tab_Compteur_5[[#This Row],[Quantité]])/Tab_Compteur_5[[#This Row],[Delta Jour]],""))</f>
        <v/>
      </c>
      <c r="H193" s="186" t="str">
        <f>IFERROR(Tab_Compteur_5[[#This Row],[Montant]]/Tab_Compteur_5[[#This Row],[Delta Jour]],"")</f>
        <v/>
      </c>
      <c r="I193" s="208" t="str">
        <f t="shared" si="7"/>
        <v/>
      </c>
      <c r="J193" s="209"/>
      <c r="K193" s="38"/>
      <c r="L193" s="38"/>
      <c r="M193" s="38"/>
    </row>
    <row r="194" spans="1:13">
      <c r="A194" s="3">
        <f t="shared" si="8"/>
        <v>1</v>
      </c>
      <c r="B194" s="87"/>
      <c r="C194" s="189"/>
      <c r="D194" s="188"/>
      <c r="E194" s="186"/>
      <c r="F194" s="186">
        <f t="shared" si="6"/>
        <v>0</v>
      </c>
      <c r="G194" s="186" t="str">
        <f>IF(IFERROR(IF(Str_TypeDonneesCpt5=Cpt_Index,Tab_Compteur_5[[#This Row],[Index]]-E193,Tab_Compteur_5[[#This Row],[Quantité]])/Tab_Compteur_5[[#This Row],[Delta Jour]],"")&lt;0,"",IFERROR(IF(Str_TypeDonneesCpt5=Cpt_Index,Tab_Compteur_5[[#This Row],[Index]]-E193,Tab_Compteur_5[[#This Row],[Quantité]])/Tab_Compteur_5[[#This Row],[Delta Jour]],""))</f>
        <v/>
      </c>
      <c r="H194" s="186" t="str">
        <f>IFERROR(Tab_Compteur_5[[#This Row],[Montant]]/Tab_Compteur_5[[#This Row],[Delta Jour]],"")</f>
        <v/>
      </c>
      <c r="I194" s="208" t="str">
        <f t="shared" si="7"/>
        <v/>
      </c>
      <c r="J194" s="209"/>
      <c r="K194" s="38"/>
      <c r="L194" s="38"/>
      <c r="M194" s="38"/>
    </row>
    <row r="195" spans="1:13">
      <c r="A195" s="3">
        <f t="shared" si="8"/>
        <v>1</v>
      </c>
      <c r="B195" s="87"/>
      <c r="C195" s="189"/>
      <c r="D195" s="188"/>
      <c r="E195" s="186"/>
      <c r="F195" s="186">
        <f t="shared" ref="F195:F243" si="9">IFERROR(B195-A195+1,"")</f>
        <v>0</v>
      </c>
      <c r="G195" s="186" t="str">
        <f>IF(IFERROR(IF(Str_TypeDonneesCpt5=Cpt_Index,Tab_Compteur_5[[#This Row],[Index]]-E194,Tab_Compteur_5[[#This Row],[Quantité]])/Tab_Compteur_5[[#This Row],[Delta Jour]],"")&lt;0,"",IFERROR(IF(Str_TypeDonneesCpt5=Cpt_Index,Tab_Compteur_5[[#This Row],[Index]]-E194,Tab_Compteur_5[[#This Row],[Quantité]])/Tab_Compteur_5[[#This Row],[Delta Jour]],""))</f>
        <v/>
      </c>
      <c r="H195" s="186" t="str">
        <f>IFERROR(Tab_Compteur_5[[#This Row],[Montant]]/Tab_Compteur_5[[#This Row],[Delta Jour]],"")</f>
        <v/>
      </c>
      <c r="I195" s="208" t="str">
        <f t="shared" ref="I195:I243" si="10">G195</f>
        <v/>
      </c>
      <c r="J195" s="209"/>
      <c r="K195" s="38"/>
      <c r="L195" s="38"/>
      <c r="M195" s="38"/>
    </row>
    <row r="196" spans="1:13">
      <c r="A196" s="3">
        <f t="shared" si="8"/>
        <v>1</v>
      </c>
      <c r="B196" s="87"/>
      <c r="C196" s="189"/>
      <c r="D196" s="188"/>
      <c r="E196" s="186"/>
      <c r="F196" s="186">
        <f t="shared" si="9"/>
        <v>0</v>
      </c>
      <c r="G196" s="186" t="str">
        <f>IF(IFERROR(IF(Str_TypeDonneesCpt5=Cpt_Index,Tab_Compteur_5[[#This Row],[Index]]-E195,Tab_Compteur_5[[#This Row],[Quantité]])/Tab_Compteur_5[[#This Row],[Delta Jour]],"")&lt;0,"",IFERROR(IF(Str_TypeDonneesCpt5=Cpt_Index,Tab_Compteur_5[[#This Row],[Index]]-E195,Tab_Compteur_5[[#This Row],[Quantité]])/Tab_Compteur_5[[#This Row],[Delta Jour]],""))</f>
        <v/>
      </c>
      <c r="H196" s="186" t="str">
        <f>IFERROR(Tab_Compteur_5[[#This Row],[Montant]]/Tab_Compteur_5[[#This Row],[Delta Jour]],"")</f>
        <v/>
      </c>
      <c r="I196" s="208" t="str">
        <f t="shared" si="10"/>
        <v/>
      </c>
      <c r="J196" s="209"/>
      <c r="K196" s="38"/>
      <c r="L196" s="38"/>
      <c r="M196" s="38"/>
    </row>
    <row r="197" spans="1:13">
      <c r="A197" s="3">
        <f t="shared" si="8"/>
        <v>1</v>
      </c>
      <c r="B197" s="87"/>
      <c r="C197" s="189"/>
      <c r="D197" s="188"/>
      <c r="E197" s="186"/>
      <c r="F197" s="186">
        <f t="shared" si="9"/>
        <v>0</v>
      </c>
      <c r="G197" s="186" t="str">
        <f>IF(IFERROR(IF(Str_TypeDonneesCpt5=Cpt_Index,Tab_Compteur_5[[#This Row],[Index]]-E196,Tab_Compteur_5[[#This Row],[Quantité]])/Tab_Compteur_5[[#This Row],[Delta Jour]],"")&lt;0,"",IFERROR(IF(Str_TypeDonneesCpt5=Cpt_Index,Tab_Compteur_5[[#This Row],[Index]]-E196,Tab_Compteur_5[[#This Row],[Quantité]])/Tab_Compteur_5[[#This Row],[Delta Jour]],""))</f>
        <v/>
      </c>
      <c r="H197" s="186" t="str">
        <f>IFERROR(Tab_Compteur_5[[#This Row],[Montant]]/Tab_Compteur_5[[#This Row],[Delta Jour]],"")</f>
        <v/>
      </c>
      <c r="I197" s="208" t="str">
        <f t="shared" si="10"/>
        <v/>
      </c>
      <c r="J197" s="209"/>
      <c r="K197" s="38"/>
      <c r="L197" s="38"/>
      <c r="M197" s="38"/>
    </row>
    <row r="198" spans="1:13">
      <c r="A198" s="3">
        <f t="shared" ref="A198:A243" si="11">IFERROR(B197+1,0)</f>
        <v>1</v>
      </c>
      <c r="B198" s="87"/>
      <c r="C198" s="189"/>
      <c r="D198" s="188"/>
      <c r="E198" s="186"/>
      <c r="F198" s="186">
        <f t="shared" si="9"/>
        <v>0</v>
      </c>
      <c r="G198" s="186" t="str">
        <f>IF(IFERROR(IF(Str_TypeDonneesCpt5=Cpt_Index,Tab_Compteur_5[[#This Row],[Index]]-E197,Tab_Compteur_5[[#This Row],[Quantité]])/Tab_Compteur_5[[#This Row],[Delta Jour]],"")&lt;0,"",IFERROR(IF(Str_TypeDonneesCpt5=Cpt_Index,Tab_Compteur_5[[#This Row],[Index]]-E197,Tab_Compteur_5[[#This Row],[Quantité]])/Tab_Compteur_5[[#This Row],[Delta Jour]],""))</f>
        <v/>
      </c>
      <c r="H198" s="186" t="str">
        <f>IFERROR(Tab_Compteur_5[[#This Row],[Montant]]/Tab_Compteur_5[[#This Row],[Delta Jour]],"")</f>
        <v/>
      </c>
      <c r="I198" s="208" t="str">
        <f t="shared" si="10"/>
        <v/>
      </c>
      <c r="J198" s="209"/>
      <c r="K198" s="38"/>
      <c r="L198" s="38"/>
      <c r="M198" s="38"/>
    </row>
    <row r="199" spans="1:13">
      <c r="A199" s="3">
        <f t="shared" si="11"/>
        <v>1</v>
      </c>
      <c r="B199" s="87"/>
      <c r="C199" s="189"/>
      <c r="D199" s="188"/>
      <c r="E199" s="186"/>
      <c r="F199" s="186">
        <f t="shared" si="9"/>
        <v>0</v>
      </c>
      <c r="G199" s="186" t="str">
        <f>IF(IFERROR(IF(Str_TypeDonneesCpt5=Cpt_Index,Tab_Compteur_5[[#This Row],[Index]]-E198,Tab_Compteur_5[[#This Row],[Quantité]])/Tab_Compteur_5[[#This Row],[Delta Jour]],"")&lt;0,"",IFERROR(IF(Str_TypeDonneesCpt5=Cpt_Index,Tab_Compteur_5[[#This Row],[Index]]-E198,Tab_Compteur_5[[#This Row],[Quantité]])/Tab_Compteur_5[[#This Row],[Delta Jour]],""))</f>
        <v/>
      </c>
      <c r="H199" s="186" t="str">
        <f>IFERROR(Tab_Compteur_5[[#This Row],[Montant]]/Tab_Compteur_5[[#This Row],[Delta Jour]],"")</f>
        <v/>
      </c>
      <c r="I199" s="208" t="str">
        <f t="shared" si="10"/>
        <v/>
      </c>
      <c r="J199" s="209"/>
      <c r="K199" s="38"/>
      <c r="L199" s="38"/>
      <c r="M199" s="38"/>
    </row>
    <row r="200" spans="1:13">
      <c r="A200" s="3">
        <f t="shared" si="11"/>
        <v>1</v>
      </c>
      <c r="B200" s="87"/>
      <c r="C200" s="189"/>
      <c r="D200" s="188"/>
      <c r="E200" s="186"/>
      <c r="F200" s="186">
        <f t="shared" si="9"/>
        <v>0</v>
      </c>
      <c r="G200" s="186" t="str">
        <f>IF(IFERROR(IF(Str_TypeDonneesCpt5=Cpt_Index,Tab_Compteur_5[[#This Row],[Index]]-E199,Tab_Compteur_5[[#This Row],[Quantité]])/Tab_Compteur_5[[#This Row],[Delta Jour]],"")&lt;0,"",IFERROR(IF(Str_TypeDonneesCpt5=Cpt_Index,Tab_Compteur_5[[#This Row],[Index]]-E199,Tab_Compteur_5[[#This Row],[Quantité]])/Tab_Compteur_5[[#This Row],[Delta Jour]],""))</f>
        <v/>
      </c>
      <c r="H200" s="186" t="str">
        <f>IFERROR(Tab_Compteur_5[[#This Row],[Montant]]/Tab_Compteur_5[[#This Row],[Delta Jour]],"")</f>
        <v/>
      </c>
      <c r="I200" s="208" t="str">
        <f t="shared" si="10"/>
        <v/>
      </c>
      <c r="J200" s="209"/>
      <c r="K200" s="38"/>
      <c r="L200" s="38"/>
      <c r="M200" s="38"/>
    </row>
    <row r="201" spans="1:13">
      <c r="A201" s="3">
        <f t="shared" si="11"/>
        <v>1</v>
      </c>
      <c r="B201" s="87"/>
      <c r="C201" s="189"/>
      <c r="D201" s="188"/>
      <c r="E201" s="186"/>
      <c r="F201" s="186">
        <f t="shared" si="9"/>
        <v>0</v>
      </c>
      <c r="G201" s="186" t="str">
        <f>IF(IFERROR(IF(Str_TypeDonneesCpt5=Cpt_Index,Tab_Compteur_5[[#This Row],[Index]]-E200,Tab_Compteur_5[[#This Row],[Quantité]])/Tab_Compteur_5[[#This Row],[Delta Jour]],"")&lt;0,"",IFERROR(IF(Str_TypeDonneesCpt5=Cpt_Index,Tab_Compteur_5[[#This Row],[Index]]-E200,Tab_Compteur_5[[#This Row],[Quantité]])/Tab_Compteur_5[[#This Row],[Delta Jour]],""))</f>
        <v/>
      </c>
      <c r="H201" s="186" t="str">
        <f>IFERROR(Tab_Compteur_5[[#This Row],[Montant]]/Tab_Compteur_5[[#This Row],[Delta Jour]],"")</f>
        <v/>
      </c>
      <c r="I201" s="208" t="str">
        <f t="shared" si="10"/>
        <v/>
      </c>
      <c r="J201" s="209"/>
      <c r="K201" s="38"/>
      <c r="L201" s="38"/>
      <c r="M201" s="38"/>
    </row>
    <row r="202" spans="1:13">
      <c r="A202" s="3">
        <f t="shared" si="11"/>
        <v>1</v>
      </c>
      <c r="B202" s="87"/>
      <c r="C202" s="189"/>
      <c r="D202" s="188"/>
      <c r="E202" s="186"/>
      <c r="F202" s="186">
        <f t="shared" si="9"/>
        <v>0</v>
      </c>
      <c r="G202" s="186" t="str">
        <f>IF(IFERROR(IF(Str_TypeDonneesCpt5=Cpt_Index,Tab_Compteur_5[[#This Row],[Index]]-E201,Tab_Compteur_5[[#This Row],[Quantité]])/Tab_Compteur_5[[#This Row],[Delta Jour]],"")&lt;0,"",IFERROR(IF(Str_TypeDonneesCpt5=Cpt_Index,Tab_Compteur_5[[#This Row],[Index]]-E201,Tab_Compteur_5[[#This Row],[Quantité]])/Tab_Compteur_5[[#This Row],[Delta Jour]],""))</f>
        <v/>
      </c>
      <c r="H202" s="186" t="str">
        <f>IFERROR(Tab_Compteur_5[[#This Row],[Montant]]/Tab_Compteur_5[[#This Row],[Delta Jour]],"")</f>
        <v/>
      </c>
      <c r="I202" s="208" t="str">
        <f t="shared" si="10"/>
        <v/>
      </c>
      <c r="J202" s="209"/>
      <c r="K202" s="38"/>
      <c r="L202" s="38"/>
      <c r="M202" s="38"/>
    </row>
    <row r="203" spans="1:13">
      <c r="A203" s="3">
        <f t="shared" si="11"/>
        <v>1</v>
      </c>
      <c r="B203" s="87"/>
      <c r="C203" s="189"/>
      <c r="D203" s="188"/>
      <c r="E203" s="186"/>
      <c r="F203" s="186">
        <f t="shared" si="9"/>
        <v>0</v>
      </c>
      <c r="G203" s="186" t="str">
        <f>IF(IFERROR(IF(Str_TypeDonneesCpt5=Cpt_Index,Tab_Compteur_5[[#This Row],[Index]]-E202,Tab_Compteur_5[[#This Row],[Quantité]])/Tab_Compteur_5[[#This Row],[Delta Jour]],"")&lt;0,"",IFERROR(IF(Str_TypeDonneesCpt5=Cpt_Index,Tab_Compteur_5[[#This Row],[Index]]-E202,Tab_Compteur_5[[#This Row],[Quantité]])/Tab_Compteur_5[[#This Row],[Delta Jour]],""))</f>
        <v/>
      </c>
      <c r="H203" s="186" t="str">
        <f>IFERROR(Tab_Compteur_5[[#This Row],[Montant]]/Tab_Compteur_5[[#This Row],[Delta Jour]],"")</f>
        <v/>
      </c>
      <c r="I203" s="208" t="str">
        <f t="shared" si="10"/>
        <v/>
      </c>
      <c r="J203" s="209"/>
      <c r="K203" s="38"/>
      <c r="L203" s="38"/>
      <c r="M203" s="38"/>
    </row>
    <row r="204" spans="1:13">
      <c r="A204" s="3">
        <f t="shared" si="11"/>
        <v>1</v>
      </c>
      <c r="B204" s="87"/>
      <c r="C204" s="189"/>
      <c r="D204" s="188"/>
      <c r="E204" s="186"/>
      <c r="F204" s="186">
        <f t="shared" si="9"/>
        <v>0</v>
      </c>
      <c r="G204" s="186" t="str">
        <f>IF(IFERROR(IF(Str_TypeDonneesCpt5=Cpt_Index,Tab_Compteur_5[[#This Row],[Index]]-E203,Tab_Compteur_5[[#This Row],[Quantité]])/Tab_Compteur_5[[#This Row],[Delta Jour]],"")&lt;0,"",IFERROR(IF(Str_TypeDonneesCpt5=Cpt_Index,Tab_Compteur_5[[#This Row],[Index]]-E203,Tab_Compteur_5[[#This Row],[Quantité]])/Tab_Compteur_5[[#This Row],[Delta Jour]],""))</f>
        <v/>
      </c>
      <c r="H204" s="186" t="str">
        <f>IFERROR(Tab_Compteur_5[[#This Row],[Montant]]/Tab_Compteur_5[[#This Row],[Delta Jour]],"")</f>
        <v/>
      </c>
      <c r="I204" s="208" t="str">
        <f t="shared" si="10"/>
        <v/>
      </c>
      <c r="J204" s="209"/>
      <c r="K204" s="38"/>
      <c r="L204" s="38"/>
      <c r="M204" s="38"/>
    </row>
    <row r="205" spans="1:13">
      <c r="A205" s="3">
        <f t="shared" si="11"/>
        <v>1</v>
      </c>
      <c r="B205" s="87"/>
      <c r="C205" s="189"/>
      <c r="D205" s="188"/>
      <c r="E205" s="186"/>
      <c r="F205" s="186">
        <f t="shared" si="9"/>
        <v>0</v>
      </c>
      <c r="G205" s="186" t="str">
        <f>IF(IFERROR(IF(Str_TypeDonneesCpt5=Cpt_Index,Tab_Compteur_5[[#This Row],[Index]]-E204,Tab_Compteur_5[[#This Row],[Quantité]])/Tab_Compteur_5[[#This Row],[Delta Jour]],"")&lt;0,"",IFERROR(IF(Str_TypeDonneesCpt5=Cpt_Index,Tab_Compteur_5[[#This Row],[Index]]-E204,Tab_Compteur_5[[#This Row],[Quantité]])/Tab_Compteur_5[[#This Row],[Delta Jour]],""))</f>
        <v/>
      </c>
      <c r="H205" s="186" t="str">
        <f>IFERROR(Tab_Compteur_5[[#This Row],[Montant]]/Tab_Compteur_5[[#This Row],[Delta Jour]],"")</f>
        <v/>
      </c>
      <c r="I205" s="208" t="str">
        <f t="shared" si="10"/>
        <v/>
      </c>
      <c r="J205" s="209"/>
      <c r="K205" s="38"/>
      <c r="L205" s="38"/>
      <c r="M205" s="38"/>
    </row>
    <row r="206" spans="1:13">
      <c r="A206" s="3">
        <f t="shared" si="11"/>
        <v>1</v>
      </c>
      <c r="B206" s="87"/>
      <c r="C206" s="189"/>
      <c r="D206" s="188"/>
      <c r="E206" s="186"/>
      <c r="F206" s="186">
        <f t="shared" si="9"/>
        <v>0</v>
      </c>
      <c r="G206" s="186" t="str">
        <f>IF(IFERROR(IF(Str_TypeDonneesCpt5=Cpt_Index,Tab_Compteur_5[[#This Row],[Index]]-E205,Tab_Compteur_5[[#This Row],[Quantité]])/Tab_Compteur_5[[#This Row],[Delta Jour]],"")&lt;0,"",IFERROR(IF(Str_TypeDonneesCpt5=Cpt_Index,Tab_Compteur_5[[#This Row],[Index]]-E205,Tab_Compteur_5[[#This Row],[Quantité]])/Tab_Compteur_5[[#This Row],[Delta Jour]],""))</f>
        <v/>
      </c>
      <c r="H206" s="186" t="str">
        <f>IFERROR(Tab_Compteur_5[[#This Row],[Montant]]/Tab_Compteur_5[[#This Row],[Delta Jour]],"")</f>
        <v/>
      </c>
      <c r="I206" s="208" t="str">
        <f t="shared" si="10"/>
        <v/>
      </c>
      <c r="J206" s="209"/>
      <c r="K206" s="38"/>
      <c r="L206" s="38"/>
      <c r="M206" s="38"/>
    </row>
    <row r="207" spans="1:13">
      <c r="A207" s="3">
        <f t="shared" si="11"/>
        <v>1</v>
      </c>
      <c r="B207" s="87"/>
      <c r="C207" s="189"/>
      <c r="D207" s="188"/>
      <c r="E207" s="186"/>
      <c r="F207" s="186">
        <f t="shared" si="9"/>
        <v>0</v>
      </c>
      <c r="G207" s="186" t="str">
        <f>IF(IFERROR(IF(Str_TypeDonneesCpt5=Cpt_Index,Tab_Compteur_5[[#This Row],[Index]]-E206,Tab_Compteur_5[[#This Row],[Quantité]])/Tab_Compteur_5[[#This Row],[Delta Jour]],"")&lt;0,"",IFERROR(IF(Str_TypeDonneesCpt5=Cpt_Index,Tab_Compteur_5[[#This Row],[Index]]-E206,Tab_Compteur_5[[#This Row],[Quantité]])/Tab_Compteur_5[[#This Row],[Delta Jour]],""))</f>
        <v/>
      </c>
      <c r="H207" s="186" t="str">
        <f>IFERROR(Tab_Compteur_5[[#This Row],[Montant]]/Tab_Compteur_5[[#This Row],[Delta Jour]],"")</f>
        <v/>
      </c>
      <c r="I207" s="208" t="str">
        <f t="shared" si="10"/>
        <v/>
      </c>
      <c r="J207" s="209"/>
      <c r="K207" s="38"/>
      <c r="L207" s="38"/>
      <c r="M207" s="38"/>
    </row>
    <row r="208" spans="1:13">
      <c r="A208" s="3">
        <f t="shared" si="11"/>
        <v>1</v>
      </c>
      <c r="B208" s="87"/>
      <c r="C208" s="189"/>
      <c r="D208" s="188"/>
      <c r="E208" s="186"/>
      <c r="F208" s="186">
        <f t="shared" si="9"/>
        <v>0</v>
      </c>
      <c r="G208" s="186" t="str">
        <f>IF(IFERROR(IF(Str_TypeDonneesCpt5=Cpt_Index,Tab_Compteur_5[[#This Row],[Index]]-E207,Tab_Compteur_5[[#This Row],[Quantité]])/Tab_Compteur_5[[#This Row],[Delta Jour]],"")&lt;0,"",IFERROR(IF(Str_TypeDonneesCpt5=Cpt_Index,Tab_Compteur_5[[#This Row],[Index]]-E207,Tab_Compteur_5[[#This Row],[Quantité]])/Tab_Compteur_5[[#This Row],[Delta Jour]],""))</f>
        <v/>
      </c>
      <c r="H208" s="186" t="str">
        <f>IFERROR(Tab_Compteur_5[[#This Row],[Montant]]/Tab_Compteur_5[[#This Row],[Delta Jour]],"")</f>
        <v/>
      </c>
      <c r="I208" s="208" t="str">
        <f t="shared" si="10"/>
        <v/>
      </c>
      <c r="J208" s="209"/>
      <c r="K208" s="38"/>
      <c r="L208" s="38"/>
      <c r="M208" s="38"/>
    </row>
    <row r="209" spans="1:13">
      <c r="A209" s="3">
        <f t="shared" si="11"/>
        <v>1</v>
      </c>
      <c r="B209" s="87"/>
      <c r="C209" s="189"/>
      <c r="D209" s="188"/>
      <c r="E209" s="186"/>
      <c r="F209" s="186">
        <f t="shared" si="9"/>
        <v>0</v>
      </c>
      <c r="G209" s="186" t="str">
        <f>IF(IFERROR(IF(Str_TypeDonneesCpt5=Cpt_Index,Tab_Compteur_5[[#This Row],[Index]]-E208,Tab_Compteur_5[[#This Row],[Quantité]])/Tab_Compteur_5[[#This Row],[Delta Jour]],"")&lt;0,"",IFERROR(IF(Str_TypeDonneesCpt5=Cpt_Index,Tab_Compteur_5[[#This Row],[Index]]-E208,Tab_Compteur_5[[#This Row],[Quantité]])/Tab_Compteur_5[[#This Row],[Delta Jour]],""))</f>
        <v/>
      </c>
      <c r="H209" s="186" t="str">
        <f>IFERROR(Tab_Compteur_5[[#This Row],[Montant]]/Tab_Compteur_5[[#This Row],[Delta Jour]],"")</f>
        <v/>
      </c>
      <c r="I209" s="208" t="str">
        <f t="shared" si="10"/>
        <v/>
      </c>
      <c r="J209" s="209"/>
      <c r="K209" s="38"/>
      <c r="L209" s="38"/>
      <c r="M209" s="38"/>
    </row>
    <row r="210" spans="1:13">
      <c r="A210" s="3">
        <f t="shared" si="11"/>
        <v>1</v>
      </c>
      <c r="B210" s="87"/>
      <c r="C210" s="189"/>
      <c r="D210" s="188"/>
      <c r="E210" s="186"/>
      <c r="F210" s="186">
        <f t="shared" si="9"/>
        <v>0</v>
      </c>
      <c r="G210" s="186" t="str">
        <f>IF(IFERROR(IF(Str_TypeDonneesCpt5=Cpt_Index,Tab_Compteur_5[[#This Row],[Index]]-E209,Tab_Compteur_5[[#This Row],[Quantité]])/Tab_Compteur_5[[#This Row],[Delta Jour]],"")&lt;0,"",IFERROR(IF(Str_TypeDonneesCpt5=Cpt_Index,Tab_Compteur_5[[#This Row],[Index]]-E209,Tab_Compteur_5[[#This Row],[Quantité]])/Tab_Compteur_5[[#This Row],[Delta Jour]],""))</f>
        <v/>
      </c>
      <c r="H210" s="186" t="str">
        <f>IFERROR(Tab_Compteur_5[[#This Row],[Montant]]/Tab_Compteur_5[[#This Row],[Delta Jour]],"")</f>
        <v/>
      </c>
      <c r="I210" s="208" t="str">
        <f t="shared" si="10"/>
        <v/>
      </c>
      <c r="J210" s="209"/>
      <c r="K210" s="38"/>
      <c r="L210" s="38"/>
      <c r="M210" s="38"/>
    </row>
    <row r="211" spans="1:13">
      <c r="A211" s="3">
        <f t="shared" si="11"/>
        <v>1</v>
      </c>
      <c r="B211" s="87"/>
      <c r="C211" s="189"/>
      <c r="D211" s="188"/>
      <c r="E211" s="186"/>
      <c r="F211" s="186">
        <f t="shared" si="9"/>
        <v>0</v>
      </c>
      <c r="G211" s="186" t="str">
        <f>IF(IFERROR(IF(Str_TypeDonneesCpt5=Cpt_Index,Tab_Compteur_5[[#This Row],[Index]]-E210,Tab_Compteur_5[[#This Row],[Quantité]])/Tab_Compteur_5[[#This Row],[Delta Jour]],"")&lt;0,"",IFERROR(IF(Str_TypeDonneesCpt5=Cpt_Index,Tab_Compteur_5[[#This Row],[Index]]-E210,Tab_Compteur_5[[#This Row],[Quantité]])/Tab_Compteur_5[[#This Row],[Delta Jour]],""))</f>
        <v/>
      </c>
      <c r="H211" s="186" t="str">
        <f>IFERROR(Tab_Compteur_5[[#This Row],[Montant]]/Tab_Compteur_5[[#This Row],[Delta Jour]],"")</f>
        <v/>
      </c>
      <c r="I211" s="208" t="str">
        <f t="shared" si="10"/>
        <v/>
      </c>
      <c r="J211" s="209"/>
      <c r="K211" s="38"/>
      <c r="L211" s="38"/>
      <c r="M211" s="38"/>
    </row>
    <row r="212" spans="1:13">
      <c r="A212" s="3">
        <f t="shared" si="11"/>
        <v>1</v>
      </c>
      <c r="B212" s="87"/>
      <c r="C212" s="189"/>
      <c r="D212" s="188"/>
      <c r="E212" s="186"/>
      <c r="F212" s="186">
        <f t="shared" si="9"/>
        <v>0</v>
      </c>
      <c r="G212" s="186" t="str">
        <f>IF(IFERROR(IF(Str_TypeDonneesCpt5=Cpt_Index,Tab_Compteur_5[[#This Row],[Index]]-E211,Tab_Compteur_5[[#This Row],[Quantité]])/Tab_Compteur_5[[#This Row],[Delta Jour]],"")&lt;0,"",IFERROR(IF(Str_TypeDonneesCpt5=Cpt_Index,Tab_Compteur_5[[#This Row],[Index]]-E211,Tab_Compteur_5[[#This Row],[Quantité]])/Tab_Compteur_5[[#This Row],[Delta Jour]],""))</f>
        <v/>
      </c>
      <c r="H212" s="186" t="str">
        <f>IFERROR(Tab_Compteur_5[[#This Row],[Montant]]/Tab_Compteur_5[[#This Row],[Delta Jour]],"")</f>
        <v/>
      </c>
      <c r="I212" s="208" t="str">
        <f t="shared" si="10"/>
        <v/>
      </c>
      <c r="J212" s="209"/>
      <c r="K212" s="38"/>
      <c r="L212" s="38"/>
      <c r="M212" s="38"/>
    </row>
    <row r="213" spans="1:13">
      <c r="A213" s="3">
        <f t="shared" si="11"/>
        <v>1</v>
      </c>
      <c r="B213" s="87"/>
      <c r="C213" s="189"/>
      <c r="D213" s="188"/>
      <c r="E213" s="186"/>
      <c r="F213" s="186">
        <f t="shared" si="9"/>
        <v>0</v>
      </c>
      <c r="G213" s="186" t="str">
        <f>IF(IFERROR(IF(Str_TypeDonneesCpt5=Cpt_Index,Tab_Compteur_5[[#This Row],[Index]]-E212,Tab_Compteur_5[[#This Row],[Quantité]])/Tab_Compteur_5[[#This Row],[Delta Jour]],"")&lt;0,"",IFERROR(IF(Str_TypeDonneesCpt5=Cpt_Index,Tab_Compteur_5[[#This Row],[Index]]-E212,Tab_Compteur_5[[#This Row],[Quantité]])/Tab_Compteur_5[[#This Row],[Delta Jour]],""))</f>
        <v/>
      </c>
      <c r="H213" s="186" t="str">
        <f>IFERROR(Tab_Compteur_5[[#This Row],[Montant]]/Tab_Compteur_5[[#This Row],[Delta Jour]],"")</f>
        <v/>
      </c>
      <c r="I213" s="208" t="str">
        <f t="shared" si="10"/>
        <v/>
      </c>
      <c r="J213" s="209"/>
      <c r="K213" s="38"/>
      <c r="L213" s="38"/>
      <c r="M213" s="38"/>
    </row>
    <row r="214" spans="1:13">
      <c r="A214" s="3">
        <f t="shared" si="11"/>
        <v>1</v>
      </c>
      <c r="B214" s="87"/>
      <c r="C214" s="189"/>
      <c r="D214" s="188"/>
      <c r="E214" s="186"/>
      <c r="F214" s="186">
        <f t="shared" si="9"/>
        <v>0</v>
      </c>
      <c r="G214" s="186" t="str">
        <f>IF(IFERROR(IF(Str_TypeDonneesCpt5=Cpt_Index,Tab_Compteur_5[[#This Row],[Index]]-E213,Tab_Compteur_5[[#This Row],[Quantité]])/Tab_Compteur_5[[#This Row],[Delta Jour]],"")&lt;0,"",IFERROR(IF(Str_TypeDonneesCpt5=Cpt_Index,Tab_Compteur_5[[#This Row],[Index]]-E213,Tab_Compteur_5[[#This Row],[Quantité]])/Tab_Compteur_5[[#This Row],[Delta Jour]],""))</f>
        <v/>
      </c>
      <c r="H214" s="186" t="str">
        <f>IFERROR(Tab_Compteur_5[[#This Row],[Montant]]/Tab_Compteur_5[[#This Row],[Delta Jour]],"")</f>
        <v/>
      </c>
      <c r="I214" s="208" t="str">
        <f t="shared" si="10"/>
        <v/>
      </c>
      <c r="J214" s="209"/>
      <c r="K214" s="38"/>
      <c r="L214" s="38"/>
      <c r="M214" s="38"/>
    </row>
    <row r="215" spans="1:13">
      <c r="A215" s="3">
        <f t="shared" si="11"/>
        <v>1</v>
      </c>
      <c r="B215" s="87"/>
      <c r="C215" s="189"/>
      <c r="D215" s="188"/>
      <c r="E215" s="186"/>
      <c r="F215" s="186">
        <f t="shared" si="9"/>
        <v>0</v>
      </c>
      <c r="G215" s="186" t="str">
        <f>IF(IFERROR(IF(Str_TypeDonneesCpt5=Cpt_Index,Tab_Compteur_5[[#This Row],[Index]]-E214,Tab_Compteur_5[[#This Row],[Quantité]])/Tab_Compteur_5[[#This Row],[Delta Jour]],"")&lt;0,"",IFERROR(IF(Str_TypeDonneesCpt5=Cpt_Index,Tab_Compteur_5[[#This Row],[Index]]-E214,Tab_Compteur_5[[#This Row],[Quantité]])/Tab_Compteur_5[[#This Row],[Delta Jour]],""))</f>
        <v/>
      </c>
      <c r="H215" s="186" t="str">
        <f>IFERROR(Tab_Compteur_5[[#This Row],[Montant]]/Tab_Compteur_5[[#This Row],[Delta Jour]],"")</f>
        <v/>
      </c>
      <c r="I215" s="208" t="str">
        <f t="shared" si="10"/>
        <v/>
      </c>
      <c r="J215" s="209"/>
      <c r="K215" s="38"/>
      <c r="L215" s="38"/>
      <c r="M215" s="38"/>
    </row>
    <row r="216" spans="1:13">
      <c r="A216" s="3">
        <f t="shared" si="11"/>
        <v>1</v>
      </c>
      <c r="B216" s="87"/>
      <c r="C216" s="189"/>
      <c r="D216" s="188"/>
      <c r="E216" s="186"/>
      <c r="F216" s="186">
        <f t="shared" si="9"/>
        <v>0</v>
      </c>
      <c r="G216" s="186" t="str">
        <f>IF(IFERROR(IF(Str_TypeDonneesCpt5=Cpt_Index,Tab_Compteur_5[[#This Row],[Index]]-E215,Tab_Compteur_5[[#This Row],[Quantité]])/Tab_Compteur_5[[#This Row],[Delta Jour]],"")&lt;0,"",IFERROR(IF(Str_TypeDonneesCpt5=Cpt_Index,Tab_Compteur_5[[#This Row],[Index]]-E215,Tab_Compteur_5[[#This Row],[Quantité]])/Tab_Compteur_5[[#This Row],[Delta Jour]],""))</f>
        <v/>
      </c>
      <c r="H216" s="186" t="str">
        <f>IFERROR(Tab_Compteur_5[[#This Row],[Montant]]/Tab_Compteur_5[[#This Row],[Delta Jour]],"")</f>
        <v/>
      </c>
      <c r="I216" s="208" t="str">
        <f t="shared" si="10"/>
        <v/>
      </c>
      <c r="J216" s="209"/>
      <c r="K216" s="38"/>
      <c r="L216" s="38"/>
      <c r="M216" s="38"/>
    </row>
    <row r="217" spans="1:13">
      <c r="A217" s="3">
        <f t="shared" si="11"/>
        <v>1</v>
      </c>
      <c r="B217" s="87"/>
      <c r="C217" s="189"/>
      <c r="D217" s="188"/>
      <c r="E217" s="186"/>
      <c r="F217" s="186">
        <f t="shared" si="9"/>
        <v>0</v>
      </c>
      <c r="G217" s="186" t="str">
        <f>IF(IFERROR(IF(Str_TypeDonneesCpt5=Cpt_Index,Tab_Compteur_5[[#This Row],[Index]]-E216,Tab_Compteur_5[[#This Row],[Quantité]])/Tab_Compteur_5[[#This Row],[Delta Jour]],"")&lt;0,"",IFERROR(IF(Str_TypeDonneesCpt5=Cpt_Index,Tab_Compteur_5[[#This Row],[Index]]-E216,Tab_Compteur_5[[#This Row],[Quantité]])/Tab_Compteur_5[[#This Row],[Delta Jour]],""))</f>
        <v/>
      </c>
      <c r="H217" s="186" t="str">
        <f>IFERROR(Tab_Compteur_5[[#This Row],[Montant]]/Tab_Compteur_5[[#This Row],[Delta Jour]],"")</f>
        <v/>
      </c>
      <c r="I217" s="208" t="str">
        <f t="shared" si="10"/>
        <v/>
      </c>
      <c r="J217" s="209"/>
      <c r="K217" s="38"/>
      <c r="L217" s="38"/>
      <c r="M217" s="38"/>
    </row>
    <row r="218" spans="1:13">
      <c r="A218" s="3">
        <f t="shared" si="11"/>
        <v>1</v>
      </c>
      <c r="B218" s="87"/>
      <c r="C218" s="189"/>
      <c r="D218" s="188"/>
      <c r="E218" s="186"/>
      <c r="F218" s="186">
        <f t="shared" si="9"/>
        <v>0</v>
      </c>
      <c r="G218" s="186" t="str">
        <f>IF(IFERROR(IF(Str_TypeDonneesCpt5=Cpt_Index,Tab_Compteur_5[[#This Row],[Index]]-E217,Tab_Compteur_5[[#This Row],[Quantité]])/Tab_Compteur_5[[#This Row],[Delta Jour]],"")&lt;0,"",IFERROR(IF(Str_TypeDonneesCpt5=Cpt_Index,Tab_Compteur_5[[#This Row],[Index]]-E217,Tab_Compteur_5[[#This Row],[Quantité]])/Tab_Compteur_5[[#This Row],[Delta Jour]],""))</f>
        <v/>
      </c>
      <c r="H218" s="186" t="str">
        <f>IFERROR(Tab_Compteur_5[[#This Row],[Montant]]/Tab_Compteur_5[[#This Row],[Delta Jour]],"")</f>
        <v/>
      </c>
      <c r="I218" s="208" t="str">
        <f t="shared" si="10"/>
        <v/>
      </c>
      <c r="J218" s="209"/>
      <c r="K218" s="38"/>
      <c r="L218" s="38"/>
      <c r="M218" s="38"/>
    </row>
    <row r="219" spans="1:13">
      <c r="A219" s="3">
        <f t="shared" si="11"/>
        <v>1</v>
      </c>
      <c r="B219" s="87"/>
      <c r="C219" s="189"/>
      <c r="D219" s="188"/>
      <c r="E219" s="186"/>
      <c r="F219" s="186">
        <f t="shared" si="9"/>
        <v>0</v>
      </c>
      <c r="G219" s="186" t="str">
        <f>IF(IFERROR(IF(Str_TypeDonneesCpt5=Cpt_Index,Tab_Compteur_5[[#This Row],[Index]]-E218,Tab_Compteur_5[[#This Row],[Quantité]])/Tab_Compteur_5[[#This Row],[Delta Jour]],"")&lt;0,"",IFERROR(IF(Str_TypeDonneesCpt5=Cpt_Index,Tab_Compteur_5[[#This Row],[Index]]-E218,Tab_Compteur_5[[#This Row],[Quantité]])/Tab_Compteur_5[[#This Row],[Delta Jour]],""))</f>
        <v/>
      </c>
      <c r="H219" s="186" t="str">
        <f>IFERROR(Tab_Compteur_5[[#This Row],[Montant]]/Tab_Compteur_5[[#This Row],[Delta Jour]],"")</f>
        <v/>
      </c>
      <c r="I219" s="208" t="str">
        <f t="shared" si="10"/>
        <v/>
      </c>
      <c r="J219" s="209"/>
      <c r="K219" s="38"/>
      <c r="L219" s="38"/>
      <c r="M219" s="38"/>
    </row>
    <row r="220" spans="1:13">
      <c r="A220" s="3">
        <f t="shared" si="11"/>
        <v>1</v>
      </c>
      <c r="B220" s="87"/>
      <c r="C220" s="189"/>
      <c r="D220" s="188"/>
      <c r="E220" s="186"/>
      <c r="F220" s="186">
        <f t="shared" si="9"/>
        <v>0</v>
      </c>
      <c r="G220" s="186" t="str">
        <f>IF(IFERROR(IF(Str_TypeDonneesCpt5=Cpt_Index,Tab_Compteur_5[[#This Row],[Index]]-E219,Tab_Compteur_5[[#This Row],[Quantité]])/Tab_Compteur_5[[#This Row],[Delta Jour]],"")&lt;0,"",IFERROR(IF(Str_TypeDonneesCpt5=Cpt_Index,Tab_Compteur_5[[#This Row],[Index]]-E219,Tab_Compteur_5[[#This Row],[Quantité]])/Tab_Compteur_5[[#This Row],[Delta Jour]],""))</f>
        <v/>
      </c>
      <c r="H220" s="186" t="str">
        <f>IFERROR(Tab_Compteur_5[[#This Row],[Montant]]/Tab_Compteur_5[[#This Row],[Delta Jour]],"")</f>
        <v/>
      </c>
      <c r="I220" s="208" t="str">
        <f t="shared" si="10"/>
        <v/>
      </c>
      <c r="J220" s="209"/>
      <c r="K220" s="38"/>
      <c r="L220" s="38"/>
      <c r="M220" s="38"/>
    </row>
    <row r="221" spans="1:13">
      <c r="A221" s="3">
        <f t="shared" si="11"/>
        <v>1</v>
      </c>
      <c r="B221" s="87"/>
      <c r="C221" s="189"/>
      <c r="D221" s="188"/>
      <c r="E221" s="186"/>
      <c r="F221" s="186">
        <f t="shared" si="9"/>
        <v>0</v>
      </c>
      <c r="G221" s="186" t="str">
        <f>IF(IFERROR(IF(Str_TypeDonneesCpt5=Cpt_Index,Tab_Compteur_5[[#This Row],[Index]]-E220,Tab_Compteur_5[[#This Row],[Quantité]])/Tab_Compteur_5[[#This Row],[Delta Jour]],"")&lt;0,"",IFERROR(IF(Str_TypeDonneesCpt5=Cpt_Index,Tab_Compteur_5[[#This Row],[Index]]-E220,Tab_Compteur_5[[#This Row],[Quantité]])/Tab_Compteur_5[[#This Row],[Delta Jour]],""))</f>
        <v/>
      </c>
      <c r="H221" s="186" t="str">
        <f>IFERROR(Tab_Compteur_5[[#This Row],[Montant]]/Tab_Compteur_5[[#This Row],[Delta Jour]],"")</f>
        <v/>
      </c>
      <c r="I221" s="208" t="str">
        <f t="shared" si="10"/>
        <v/>
      </c>
      <c r="J221" s="209"/>
      <c r="K221" s="38"/>
      <c r="L221" s="38"/>
      <c r="M221" s="38"/>
    </row>
    <row r="222" spans="1:13">
      <c r="A222" s="3">
        <f t="shared" si="11"/>
        <v>1</v>
      </c>
      <c r="B222" s="87"/>
      <c r="C222" s="189"/>
      <c r="D222" s="188"/>
      <c r="E222" s="186"/>
      <c r="F222" s="186">
        <f t="shared" si="9"/>
        <v>0</v>
      </c>
      <c r="G222" s="186" t="str">
        <f>IF(IFERROR(IF(Str_TypeDonneesCpt5=Cpt_Index,Tab_Compteur_5[[#This Row],[Index]]-E221,Tab_Compteur_5[[#This Row],[Quantité]])/Tab_Compteur_5[[#This Row],[Delta Jour]],"")&lt;0,"",IFERROR(IF(Str_TypeDonneesCpt5=Cpt_Index,Tab_Compteur_5[[#This Row],[Index]]-E221,Tab_Compteur_5[[#This Row],[Quantité]])/Tab_Compteur_5[[#This Row],[Delta Jour]],""))</f>
        <v/>
      </c>
      <c r="H222" s="186" t="str">
        <f>IFERROR(Tab_Compteur_5[[#This Row],[Montant]]/Tab_Compteur_5[[#This Row],[Delta Jour]],"")</f>
        <v/>
      </c>
      <c r="I222" s="208" t="str">
        <f t="shared" si="10"/>
        <v/>
      </c>
      <c r="J222" s="209"/>
      <c r="K222" s="38"/>
      <c r="L222" s="38"/>
      <c r="M222" s="38"/>
    </row>
    <row r="223" spans="1:13">
      <c r="A223" s="3">
        <f t="shared" si="11"/>
        <v>1</v>
      </c>
      <c r="B223" s="87"/>
      <c r="C223" s="189"/>
      <c r="D223" s="188"/>
      <c r="E223" s="186"/>
      <c r="F223" s="186">
        <f t="shared" si="9"/>
        <v>0</v>
      </c>
      <c r="G223" s="186" t="str">
        <f>IF(IFERROR(IF(Str_TypeDonneesCpt5=Cpt_Index,Tab_Compteur_5[[#This Row],[Index]]-E222,Tab_Compteur_5[[#This Row],[Quantité]])/Tab_Compteur_5[[#This Row],[Delta Jour]],"")&lt;0,"",IFERROR(IF(Str_TypeDonneesCpt5=Cpt_Index,Tab_Compteur_5[[#This Row],[Index]]-E222,Tab_Compteur_5[[#This Row],[Quantité]])/Tab_Compteur_5[[#This Row],[Delta Jour]],""))</f>
        <v/>
      </c>
      <c r="H223" s="186" t="str">
        <f>IFERROR(Tab_Compteur_5[[#This Row],[Montant]]/Tab_Compteur_5[[#This Row],[Delta Jour]],"")</f>
        <v/>
      </c>
      <c r="I223" s="208" t="str">
        <f t="shared" si="10"/>
        <v/>
      </c>
      <c r="J223" s="209"/>
      <c r="K223" s="38"/>
      <c r="L223" s="38"/>
      <c r="M223" s="38"/>
    </row>
    <row r="224" spans="1:13">
      <c r="A224" s="3">
        <f t="shared" si="11"/>
        <v>1</v>
      </c>
      <c r="B224" s="87"/>
      <c r="C224" s="189"/>
      <c r="D224" s="188"/>
      <c r="E224" s="186"/>
      <c r="F224" s="186">
        <f t="shared" si="9"/>
        <v>0</v>
      </c>
      <c r="G224" s="186" t="str">
        <f>IF(IFERROR(IF(Str_TypeDonneesCpt5=Cpt_Index,Tab_Compteur_5[[#This Row],[Index]]-E223,Tab_Compteur_5[[#This Row],[Quantité]])/Tab_Compteur_5[[#This Row],[Delta Jour]],"")&lt;0,"",IFERROR(IF(Str_TypeDonneesCpt5=Cpt_Index,Tab_Compteur_5[[#This Row],[Index]]-E223,Tab_Compteur_5[[#This Row],[Quantité]])/Tab_Compteur_5[[#This Row],[Delta Jour]],""))</f>
        <v/>
      </c>
      <c r="H224" s="186" t="str">
        <f>IFERROR(Tab_Compteur_5[[#This Row],[Montant]]/Tab_Compteur_5[[#This Row],[Delta Jour]],"")</f>
        <v/>
      </c>
      <c r="I224" s="208" t="str">
        <f t="shared" si="10"/>
        <v/>
      </c>
      <c r="J224" s="209"/>
      <c r="K224" s="38"/>
      <c r="L224" s="38"/>
      <c r="M224" s="38"/>
    </row>
    <row r="225" spans="1:13">
      <c r="A225" s="3">
        <f t="shared" si="11"/>
        <v>1</v>
      </c>
      <c r="B225" s="87"/>
      <c r="C225" s="189"/>
      <c r="D225" s="188"/>
      <c r="E225" s="186"/>
      <c r="F225" s="186">
        <f t="shared" si="9"/>
        <v>0</v>
      </c>
      <c r="G225" s="186" t="str">
        <f>IF(IFERROR(IF(Str_TypeDonneesCpt5=Cpt_Index,Tab_Compteur_5[[#This Row],[Index]]-E224,Tab_Compteur_5[[#This Row],[Quantité]])/Tab_Compteur_5[[#This Row],[Delta Jour]],"")&lt;0,"",IFERROR(IF(Str_TypeDonneesCpt5=Cpt_Index,Tab_Compteur_5[[#This Row],[Index]]-E224,Tab_Compteur_5[[#This Row],[Quantité]])/Tab_Compteur_5[[#This Row],[Delta Jour]],""))</f>
        <v/>
      </c>
      <c r="H225" s="186" t="str">
        <f>IFERROR(Tab_Compteur_5[[#This Row],[Montant]]/Tab_Compteur_5[[#This Row],[Delta Jour]],"")</f>
        <v/>
      </c>
      <c r="I225" s="208" t="str">
        <f t="shared" si="10"/>
        <v/>
      </c>
      <c r="J225" s="209"/>
      <c r="K225" s="38"/>
      <c r="L225" s="38"/>
      <c r="M225" s="38"/>
    </row>
    <row r="226" spans="1:13">
      <c r="A226" s="3">
        <f t="shared" si="11"/>
        <v>1</v>
      </c>
      <c r="B226" s="87"/>
      <c r="C226" s="189"/>
      <c r="D226" s="188"/>
      <c r="E226" s="186"/>
      <c r="F226" s="186">
        <f t="shared" si="9"/>
        <v>0</v>
      </c>
      <c r="G226" s="186" t="str">
        <f>IF(IFERROR(IF(Str_TypeDonneesCpt5=Cpt_Index,Tab_Compteur_5[[#This Row],[Index]]-E225,Tab_Compteur_5[[#This Row],[Quantité]])/Tab_Compteur_5[[#This Row],[Delta Jour]],"")&lt;0,"",IFERROR(IF(Str_TypeDonneesCpt5=Cpt_Index,Tab_Compteur_5[[#This Row],[Index]]-E225,Tab_Compteur_5[[#This Row],[Quantité]])/Tab_Compteur_5[[#This Row],[Delta Jour]],""))</f>
        <v/>
      </c>
      <c r="H226" s="186" t="str">
        <f>IFERROR(Tab_Compteur_5[[#This Row],[Montant]]/Tab_Compteur_5[[#This Row],[Delta Jour]],"")</f>
        <v/>
      </c>
      <c r="I226" s="208" t="str">
        <f t="shared" si="10"/>
        <v/>
      </c>
      <c r="J226" s="209"/>
      <c r="K226" s="38"/>
      <c r="L226" s="38"/>
      <c r="M226" s="38"/>
    </row>
    <row r="227" spans="1:13">
      <c r="A227" s="3">
        <f t="shared" si="11"/>
        <v>1</v>
      </c>
      <c r="B227" s="87"/>
      <c r="C227" s="189"/>
      <c r="D227" s="188"/>
      <c r="E227" s="186"/>
      <c r="F227" s="186">
        <f t="shared" si="9"/>
        <v>0</v>
      </c>
      <c r="G227" s="186" t="str">
        <f>IF(IFERROR(IF(Str_TypeDonneesCpt5=Cpt_Index,Tab_Compteur_5[[#This Row],[Index]]-E226,Tab_Compteur_5[[#This Row],[Quantité]])/Tab_Compteur_5[[#This Row],[Delta Jour]],"")&lt;0,"",IFERROR(IF(Str_TypeDonneesCpt5=Cpt_Index,Tab_Compteur_5[[#This Row],[Index]]-E226,Tab_Compteur_5[[#This Row],[Quantité]])/Tab_Compteur_5[[#This Row],[Delta Jour]],""))</f>
        <v/>
      </c>
      <c r="H227" s="186" t="str">
        <f>IFERROR(Tab_Compteur_5[[#This Row],[Montant]]/Tab_Compteur_5[[#This Row],[Delta Jour]],"")</f>
        <v/>
      </c>
      <c r="I227" s="208" t="str">
        <f t="shared" si="10"/>
        <v/>
      </c>
      <c r="J227" s="209"/>
      <c r="K227" s="38"/>
      <c r="L227" s="38"/>
      <c r="M227" s="38"/>
    </row>
    <row r="228" spans="1:13">
      <c r="A228" s="3">
        <f t="shared" si="11"/>
        <v>1</v>
      </c>
      <c r="B228" s="87"/>
      <c r="C228" s="189"/>
      <c r="D228" s="188"/>
      <c r="E228" s="186"/>
      <c r="F228" s="186">
        <f t="shared" si="9"/>
        <v>0</v>
      </c>
      <c r="G228" s="186" t="str">
        <f>IF(IFERROR(IF(Str_TypeDonneesCpt5=Cpt_Index,Tab_Compteur_5[[#This Row],[Index]]-E227,Tab_Compteur_5[[#This Row],[Quantité]])/Tab_Compteur_5[[#This Row],[Delta Jour]],"")&lt;0,"",IFERROR(IF(Str_TypeDonneesCpt5=Cpt_Index,Tab_Compteur_5[[#This Row],[Index]]-E227,Tab_Compteur_5[[#This Row],[Quantité]])/Tab_Compteur_5[[#This Row],[Delta Jour]],""))</f>
        <v/>
      </c>
      <c r="H228" s="186" t="str">
        <f>IFERROR(Tab_Compteur_5[[#This Row],[Montant]]/Tab_Compteur_5[[#This Row],[Delta Jour]],"")</f>
        <v/>
      </c>
      <c r="I228" s="208" t="str">
        <f t="shared" si="10"/>
        <v/>
      </c>
      <c r="J228" s="209"/>
      <c r="K228" s="38"/>
      <c r="L228" s="38"/>
      <c r="M228" s="38"/>
    </row>
    <row r="229" spans="1:13">
      <c r="A229" s="3">
        <f t="shared" si="11"/>
        <v>1</v>
      </c>
      <c r="B229" s="87"/>
      <c r="C229" s="189"/>
      <c r="D229" s="188"/>
      <c r="E229" s="186"/>
      <c r="F229" s="186">
        <f t="shared" si="9"/>
        <v>0</v>
      </c>
      <c r="G229" s="186" t="str">
        <f>IF(IFERROR(IF(Str_TypeDonneesCpt5=Cpt_Index,Tab_Compteur_5[[#This Row],[Index]]-E228,Tab_Compteur_5[[#This Row],[Quantité]])/Tab_Compteur_5[[#This Row],[Delta Jour]],"")&lt;0,"",IFERROR(IF(Str_TypeDonneesCpt5=Cpt_Index,Tab_Compteur_5[[#This Row],[Index]]-E228,Tab_Compteur_5[[#This Row],[Quantité]])/Tab_Compteur_5[[#This Row],[Delta Jour]],""))</f>
        <v/>
      </c>
      <c r="H229" s="186" t="str">
        <f>IFERROR(Tab_Compteur_5[[#This Row],[Montant]]/Tab_Compteur_5[[#This Row],[Delta Jour]],"")</f>
        <v/>
      </c>
      <c r="I229" s="208" t="str">
        <f t="shared" si="10"/>
        <v/>
      </c>
      <c r="J229" s="209"/>
      <c r="K229" s="38"/>
      <c r="L229" s="38"/>
      <c r="M229" s="38"/>
    </row>
    <row r="230" spans="1:13">
      <c r="A230" s="3">
        <f t="shared" si="11"/>
        <v>1</v>
      </c>
      <c r="B230" s="87"/>
      <c r="C230" s="189"/>
      <c r="D230" s="188"/>
      <c r="E230" s="186"/>
      <c r="F230" s="186">
        <f t="shared" si="9"/>
        <v>0</v>
      </c>
      <c r="G230" s="186" t="str">
        <f>IF(IFERROR(IF(Str_TypeDonneesCpt5=Cpt_Index,Tab_Compteur_5[[#This Row],[Index]]-E229,Tab_Compteur_5[[#This Row],[Quantité]])/Tab_Compteur_5[[#This Row],[Delta Jour]],"")&lt;0,"",IFERROR(IF(Str_TypeDonneesCpt5=Cpt_Index,Tab_Compteur_5[[#This Row],[Index]]-E229,Tab_Compteur_5[[#This Row],[Quantité]])/Tab_Compteur_5[[#This Row],[Delta Jour]],""))</f>
        <v/>
      </c>
      <c r="H230" s="186" t="str">
        <f>IFERROR(Tab_Compteur_5[[#This Row],[Montant]]/Tab_Compteur_5[[#This Row],[Delta Jour]],"")</f>
        <v/>
      </c>
      <c r="I230" s="208" t="str">
        <f t="shared" si="10"/>
        <v/>
      </c>
      <c r="J230" s="209"/>
      <c r="K230" s="38"/>
      <c r="L230" s="38"/>
      <c r="M230" s="38"/>
    </row>
    <row r="231" spans="1:13">
      <c r="A231" s="3">
        <f t="shared" si="11"/>
        <v>1</v>
      </c>
      <c r="B231" s="87"/>
      <c r="C231" s="189"/>
      <c r="D231" s="188"/>
      <c r="E231" s="186"/>
      <c r="F231" s="186">
        <f t="shared" si="9"/>
        <v>0</v>
      </c>
      <c r="G231" s="186" t="str">
        <f>IF(IFERROR(IF(Str_TypeDonneesCpt5=Cpt_Index,Tab_Compteur_5[[#This Row],[Index]]-E230,Tab_Compteur_5[[#This Row],[Quantité]])/Tab_Compteur_5[[#This Row],[Delta Jour]],"")&lt;0,"",IFERROR(IF(Str_TypeDonneesCpt5=Cpt_Index,Tab_Compteur_5[[#This Row],[Index]]-E230,Tab_Compteur_5[[#This Row],[Quantité]])/Tab_Compteur_5[[#This Row],[Delta Jour]],""))</f>
        <v/>
      </c>
      <c r="H231" s="186" t="str">
        <f>IFERROR(Tab_Compteur_5[[#This Row],[Montant]]/Tab_Compteur_5[[#This Row],[Delta Jour]],"")</f>
        <v/>
      </c>
      <c r="I231" s="208" t="str">
        <f t="shared" si="10"/>
        <v/>
      </c>
      <c r="J231" s="209"/>
      <c r="K231" s="38"/>
      <c r="L231" s="38"/>
      <c r="M231" s="38"/>
    </row>
    <row r="232" spans="1:13">
      <c r="A232" s="3">
        <f t="shared" si="11"/>
        <v>1</v>
      </c>
      <c r="B232" s="87"/>
      <c r="C232" s="189"/>
      <c r="D232" s="188"/>
      <c r="E232" s="186"/>
      <c r="F232" s="186">
        <f t="shared" si="9"/>
        <v>0</v>
      </c>
      <c r="G232" s="186" t="str">
        <f>IF(IFERROR(IF(Str_TypeDonneesCpt5=Cpt_Index,Tab_Compteur_5[[#This Row],[Index]]-E231,Tab_Compteur_5[[#This Row],[Quantité]])/Tab_Compteur_5[[#This Row],[Delta Jour]],"")&lt;0,"",IFERROR(IF(Str_TypeDonneesCpt5=Cpt_Index,Tab_Compteur_5[[#This Row],[Index]]-E231,Tab_Compteur_5[[#This Row],[Quantité]])/Tab_Compteur_5[[#This Row],[Delta Jour]],""))</f>
        <v/>
      </c>
      <c r="H232" s="186" t="str">
        <f>IFERROR(Tab_Compteur_5[[#This Row],[Montant]]/Tab_Compteur_5[[#This Row],[Delta Jour]],"")</f>
        <v/>
      </c>
      <c r="I232" s="208" t="str">
        <f t="shared" si="10"/>
        <v/>
      </c>
      <c r="J232" s="209"/>
      <c r="K232" s="38"/>
      <c r="L232" s="38"/>
      <c r="M232" s="38"/>
    </row>
    <row r="233" spans="1:13">
      <c r="A233" s="3">
        <f t="shared" si="11"/>
        <v>1</v>
      </c>
      <c r="B233" s="87"/>
      <c r="C233" s="189"/>
      <c r="D233" s="188"/>
      <c r="E233" s="186"/>
      <c r="F233" s="186">
        <f t="shared" si="9"/>
        <v>0</v>
      </c>
      <c r="G233" s="186" t="str">
        <f>IF(IFERROR(IF(Str_TypeDonneesCpt5=Cpt_Index,Tab_Compteur_5[[#This Row],[Index]]-E232,Tab_Compteur_5[[#This Row],[Quantité]])/Tab_Compteur_5[[#This Row],[Delta Jour]],"")&lt;0,"",IFERROR(IF(Str_TypeDonneesCpt5=Cpt_Index,Tab_Compteur_5[[#This Row],[Index]]-E232,Tab_Compteur_5[[#This Row],[Quantité]])/Tab_Compteur_5[[#This Row],[Delta Jour]],""))</f>
        <v/>
      </c>
      <c r="H233" s="186" t="str">
        <f>IFERROR(Tab_Compteur_5[[#This Row],[Montant]]/Tab_Compteur_5[[#This Row],[Delta Jour]],"")</f>
        <v/>
      </c>
      <c r="I233" s="208" t="str">
        <f t="shared" si="10"/>
        <v/>
      </c>
      <c r="J233" s="209"/>
      <c r="K233" s="38"/>
      <c r="L233" s="38"/>
      <c r="M233" s="38"/>
    </row>
    <row r="234" spans="1:13">
      <c r="A234" s="3">
        <f t="shared" si="11"/>
        <v>1</v>
      </c>
      <c r="B234" s="87"/>
      <c r="C234" s="189"/>
      <c r="D234" s="188"/>
      <c r="E234" s="186"/>
      <c r="F234" s="186">
        <f t="shared" si="9"/>
        <v>0</v>
      </c>
      <c r="G234" s="186" t="str">
        <f>IF(IFERROR(IF(Str_TypeDonneesCpt5=Cpt_Index,Tab_Compteur_5[[#This Row],[Index]]-E233,Tab_Compteur_5[[#This Row],[Quantité]])/Tab_Compteur_5[[#This Row],[Delta Jour]],"")&lt;0,"",IFERROR(IF(Str_TypeDonneesCpt5=Cpt_Index,Tab_Compteur_5[[#This Row],[Index]]-E233,Tab_Compteur_5[[#This Row],[Quantité]])/Tab_Compteur_5[[#This Row],[Delta Jour]],""))</f>
        <v/>
      </c>
      <c r="H234" s="186" t="str">
        <f>IFERROR(Tab_Compteur_5[[#This Row],[Montant]]/Tab_Compteur_5[[#This Row],[Delta Jour]],"")</f>
        <v/>
      </c>
      <c r="I234" s="208" t="str">
        <f t="shared" si="10"/>
        <v/>
      </c>
      <c r="J234" s="209"/>
      <c r="K234" s="38"/>
      <c r="L234" s="38"/>
      <c r="M234" s="38"/>
    </row>
    <row r="235" spans="1:13">
      <c r="A235" s="3">
        <f t="shared" si="11"/>
        <v>1</v>
      </c>
      <c r="B235" s="87"/>
      <c r="C235" s="189"/>
      <c r="D235" s="188"/>
      <c r="E235" s="186"/>
      <c r="F235" s="186">
        <f t="shared" si="9"/>
        <v>0</v>
      </c>
      <c r="G235" s="186" t="str">
        <f>IF(IFERROR(IF(Str_TypeDonneesCpt5=Cpt_Index,Tab_Compteur_5[[#This Row],[Index]]-E234,Tab_Compteur_5[[#This Row],[Quantité]])/Tab_Compteur_5[[#This Row],[Delta Jour]],"")&lt;0,"",IFERROR(IF(Str_TypeDonneesCpt5=Cpt_Index,Tab_Compteur_5[[#This Row],[Index]]-E234,Tab_Compteur_5[[#This Row],[Quantité]])/Tab_Compteur_5[[#This Row],[Delta Jour]],""))</f>
        <v/>
      </c>
      <c r="H235" s="186" t="str">
        <f>IFERROR(Tab_Compteur_5[[#This Row],[Montant]]/Tab_Compteur_5[[#This Row],[Delta Jour]],"")</f>
        <v/>
      </c>
      <c r="I235" s="208" t="str">
        <f t="shared" si="10"/>
        <v/>
      </c>
      <c r="J235" s="209"/>
      <c r="K235" s="38"/>
      <c r="L235" s="38"/>
      <c r="M235" s="38"/>
    </row>
    <row r="236" spans="1:13">
      <c r="A236" s="3">
        <f t="shared" si="11"/>
        <v>1</v>
      </c>
      <c r="B236" s="87"/>
      <c r="C236" s="189"/>
      <c r="D236" s="188"/>
      <c r="E236" s="186"/>
      <c r="F236" s="186">
        <f t="shared" si="9"/>
        <v>0</v>
      </c>
      <c r="G236" s="186" t="str">
        <f>IF(IFERROR(IF(Str_TypeDonneesCpt5=Cpt_Index,Tab_Compteur_5[[#This Row],[Index]]-E235,Tab_Compteur_5[[#This Row],[Quantité]])/Tab_Compteur_5[[#This Row],[Delta Jour]],"")&lt;0,"",IFERROR(IF(Str_TypeDonneesCpt5=Cpt_Index,Tab_Compteur_5[[#This Row],[Index]]-E235,Tab_Compteur_5[[#This Row],[Quantité]])/Tab_Compteur_5[[#This Row],[Delta Jour]],""))</f>
        <v/>
      </c>
      <c r="H236" s="186" t="str">
        <f>IFERROR(Tab_Compteur_5[[#This Row],[Montant]]/Tab_Compteur_5[[#This Row],[Delta Jour]],"")</f>
        <v/>
      </c>
      <c r="I236" s="208" t="str">
        <f t="shared" si="10"/>
        <v/>
      </c>
      <c r="J236" s="209"/>
      <c r="K236" s="38"/>
      <c r="L236" s="38"/>
      <c r="M236" s="38"/>
    </row>
    <row r="237" spans="1:13">
      <c r="A237" s="3">
        <f t="shared" si="11"/>
        <v>1</v>
      </c>
      <c r="B237" s="87"/>
      <c r="C237" s="189"/>
      <c r="D237" s="188"/>
      <c r="E237" s="186"/>
      <c r="F237" s="186">
        <f t="shared" si="9"/>
        <v>0</v>
      </c>
      <c r="G237" s="186" t="str">
        <f>IF(IFERROR(IF(Str_TypeDonneesCpt5=Cpt_Index,Tab_Compteur_5[[#This Row],[Index]]-E236,Tab_Compteur_5[[#This Row],[Quantité]])/Tab_Compteur_5[[#This Row],[Delta Jour]],"")&lt;0,"",IFERROR(IF(Str_TypeDonneesCpt5=Cpt_Index,Tab_Compteur_5[[#This Row],[Index]]-E236,Tab_Compteur_5[[#This Row],[Quantité]])/Tab_Compteur_5[[#This Row],[Delta Jour]],""))</f>
        <v/>
      </c>
      <c r="H237" s="186" t="str">
        <f>IFERROR(Tab_Compteur_5[[#This Row],[Montant]]/Tab_Compteur_5[[#This Row],[Delta Jour]],"")</f>
        <v/>
      </c>
      <c r="I237" s="208" t="str">
        <f t="shared" si="10"/>
        <v/>
      </c>
      <c r="J237" s="209"/>
      <c r="K237" s="38"/>
      <c r="L237" s="38"/>
      <c r="M237" s="38"/>
    </row>
    <row r="238" spans="1:13">
      <c r="A238" s="3">
        <f t="shared" si="11"/>
        <v>1</v>
      </c>
      <c r="B238" s="87"/>
      <c r="C238" s="189"/>
      <c r="D238" s="188"/>
      <c r="E238" s="186"/>
      <c r="F238" s="186">
        <f t="shared" si="9"/>
        <v>0</v>
      </c>
      <c r="G238" s="186" t="str">
        <f>IF(IFERROR(IF(Str_TypeDonneesCpt5=Cpt_Index,Tab_Compteur_5[[#This Row],[Index]]-E237,Tab_Compteur_5[[#This Row],[Quantité]])/Tab_Compteur_5[[#This Row],[Delta Jour]],"")&lt;0,"",IFERROR(IF(Str_TypeDonneesCpt5=Cpt_Index,Tab_Compteur_5[[#This Row],[Index]]-E237,Tab_Compteur_5[[#This Row],[Quantité]])/Tab_Compteur_5[[#This Row],[Delta Jour]],""))</f>
        <v/>
      </c>
      <c r="H238" s="186" t="str">
        <f>IFERROR(Tab_Compteur_5[[#This Row],[Montant]]/Tab_Compteur_5[[#This Row],[Delta Jour]],"")</f>
        <v/>
      </c>
      <c r="I238" s="208" t="str">
        <f t="shared" si="10"/>
        <v/>
      </c>
      <c r="J238" s="209"/>
      <c r="K238" s="38"/>
      <c r="L238" s="38"/>
      <c r="M238" s="38"/>
    </row>
    <row r="239" spans="1:13">
      <c r="A239" s="3">
        <f t="shared" si="11"/>
        <v>1</v>
      </c>
      <c r="B239" s="87"/>
      <c r="C239" s="189"/>
      <c r="D239" s="188"/>
      <c r="E239" s="186"/>
      <c r="F239" s="186">
        <f t="shared" si="9"/>
        <v>0</v>
      </c>
      <c r="G239" s="186" t="str">
        <f>IF(IFERROR(IF(Str_TypeDonneesCpt5=Cpt_Index,Tab_Compteur_5[[#This Row],[Index]]-E238,Tab_Compteur_5[[#This Row],[Quantité]])/Tab_Compteur_5[[#This Row],[Delta Jour]],"")&lt;0,"",IFERROR(IF(Str_TypeDonneesCpt5=Cpt_Index,Tab_Compteur_5[[#This Row],[Index]]-E238,Tab_Compteur_5[[#This Row],[Quantité]])/Tab_Compteur_5[[#This Row],[Delta Jour]],""))</f>
        <v/>
      </c>
      <c r="H239" s="186" t="str">
        <f>IFERROR(Tab_Compteur_5[[#This Row],[Montant]]/Tab_Compteur_5[[#This Row],[Delta Jour]],"")</f>
        <v/>
      </c>
      <c r="I239" s="208" t="str">
        <f t="shared" si="10"/>
        <v/>
      </c>
      <c r="J239" s="209"/>
      <c r="K239" s="38"/>
      <c r="L239" s="38"/>
      <c r="M239" s="38"/>
    </row>
    <row r="240" spans="1:13">
      <c r="A240" s="3">
        <f t="shared" si="11"/>
        <v>1</v>
      </c>
      <c r="B240" s="87"/>
      <c r="C240" s="189"/>
      <c r="D240" s="188"/>
      <c r="E240" s="186"/>
      <c r="F240" s="186">
        <f t="shared" si="9"/>
        <v>0</v>
      </c>
      <c r="G240" s="186" t="str">
        <f>IF(IFERROR(IF(Str_TypeDonneesCpt5=Cpt_Index,Tab_Compteur_5[[#This Row],[Index]]-E239,Tab_Compteur_5[[#This Row],[Quantité]])/Tab_Compteur_5[[#This Row],[Delta Jour]],"")&lt;0,"",IFERROR(IF(Str_TypeDonneesCpt5=Cpt_Index,Tab_Compteur_5[[#This Row],[Index]]-E239,Tab_Compteur_5[[#This Row],[Quantité]])/Tab_Compteur_5[[#This Row],[Delta Jour]],""))</f>
        <v/>
      </c>
      <c r="H240" s="186" t="str">
        <f>IFERROR(Tab_Compteur_5[[#This Row],[Montant]]/Tab_Compteur_5[[#This Row],[Delta Jour]],"")</f>
        <v/>
      </c>
      <c r="I240" s="208" t="str">
        <f t="shared" si="10"/>
        <v/>
      </c>
      <c r="J240" s="209"/>
      <c r="K240" s="38"/>
      <c r="L240" s="38"/>
      <c r="M240" s="38"/>
    </row>
    <row r="241" spans="1:13">
      <c r="A241" s="3">
        <f t="shared" si="11"/>
        <v>1</v>
      </c>
      <c r="B241" s="87"/>
      <c r="C241" s="189"/>
      <c r="D241" s="188"/>
      <c r="E241" s="186"/>
      <c r="F241" s="186">
        <f t="shared" si="9"/>
        <v>0</v>
      </c>
      <c r="G241" s="186" t="str">
        <f>IF(IFERROR(IF(Str_TypeDonneesCpt5=Cpt_Index,Tab_Compteur_5[[#This Row],[Index]]-E240,Tab_Compteur_5[[#This Row],[Quantité]])/Tab_Compteur_5[[#This Row],[Delta Jour]],"")&lt;0,"",IFERROR(IF(Str_TypeDonneesCpt5=Cpt_Index,Tab_Compteur_5[[#This Row],[Index]]-E240,Tab_Compteur_5[[#This Row],[Quantité]])/Tab_Compteur_5[[#This Row],[Delta Jour]],""))</f>
        <v/>
      </c>
      <c r="H241" s="186" t="str">
        <f>IFERROR(Tab_Compteur_5[[#This Row],[Montant]]/Tab_Compteur_5[[#This Row],[Delta Jour]],"")</f>
        <v/>
      </c>
      <c r="I241" s="208" t="str">
        <f t="shared" si="10"/>
        <v/>
      </c>
      <c r="J241" s="209"/>
      <c r="K241" s="38"/>
      <c r="L241" s="38"/>
      <c r="M241" s="38"/>
    </row>
    <row r="242" spans="1:13">
      <c r="A242" s="3">
        <f t="shared" si="11"/>
        <v>1</v>
      </c>
      <c r="B242" s="87"/>
      <c r="C242" s="189"/>
      <c r="D242" s="188"/>
      <c r="E242" s="186"/>
      <c r="F242" s="186">
        <f t="shared" si="9"/>
        <v>0</v>
      </c>
      <c r="G242" s="186" t="str">
        <f>IF(IFERROR(IF(Str_TypeDonneesCpt5=Cpt_Index,Tab_Compteur_5[[#This Row],[Index]]-E241,Tab_Compteur_5[[#This Row],[Quantité]])/Tab_Compteur_5[[#This Row],[Delta Jour]],"")&lt;0,"",IFERROR(IF(Str_TypeDonneesCpt5=Cpt_Index,Tab_Compteur_5[[#This Row],[Index]]-E241,Tab_Compteur_5[[#This Row],[Quantité]])/Tab_Compteur_5[[#This Row],[Delta Jour]],""))</f>
        <v/>
      </c>
      <c r="H242" s="186" t="str">
        <f>IFERROR(Tab_Compteur_5[[#This Row],[Montant]]/Tab_Compteur_5[[#This Row],[Delta Jour]],"")</f>
        <v/>
      </c>
      <c r="I242" s="208" t="str">
        <f t="shared" si="10"/>
        <v/>
      </c>
      <c r="J242" s="209"/>
      <c r="K242" s="38"/>
      <c r="L242" s="38"/>
      <c r="M242" s="38"/>
    </row>
    <row r="243" spans="1:13">
      <c r="A243" s="3">
        <f t="shared" si="11"/>
        <v>1</v>
      </c>
      <c r="B243" s="87"/>
      <c r="C243" s="189"/>
      <c r="D243" s="188"/>
      <c r="E243" s="186"/>
      <c r="F243" s="186">
        <f t="shared" si="9"/>
        <v>0</v>
      </c>
      <c r="G243" s="186" t="str">
        <f>IF(IFERROR(IF(Str_TypeDonneesCpt5=Cpt_Index,Tab_Compteur_5[[#This Row],[Index]]-E242,Tab_Compteur_5[[#This Row],[Quantité]])/Tab_Compteur_5[[#This Row],[Delta Jour]],"")&lt;0,"",IFERROR(IF(Str_TypeDonneesCpt5=Cpt_Index,Tab_Compteur_5[[#This Row],[Index]]-E242,Tab_Compteur_5[[#This Row],[Quantité]])/Tab_Compteur_5[[#This Row],[Delta Jour]],""))</f>
        <v/>
      </c>
      <c r="H243" s="186" t="str">
        <f>IFERROR(Tab_Compteur_5[[#This Row],[Montant]]/Tab_Compteur_5[[#This Row],[Delta Jour]],"")</f>
        <v/>
      </c>
      <c r="I243" s="208" t="str">
        <f t="shared" si="10"/>
        <v/>
      </c>
      <c r="J243" s="209"/>
      <c r="K243" s="38"/>
      <c r="L243" s="38"/>
      <c r="M243" s="38"/>
    </row>
  </sheetData>
  <sheetProtection sheet="1" objects="1" scenarios="1" selectLockedCells="1"/>
  <protectedRanges>
    <protectedRange sqref="C6:D143 A4:D5 A6:B243" name="Données_compteur5_1"/>
    <protectedRange sqref="L2:M2 K5:M8 J34:M243 J9:M10 K3:M3 J2:J8 C144:D243 K244:N1048576" name="Données_compteur5"/>
    <protectedRange sqref="J11:M33" name="Données_compteur3_3_1"/>
    <protectedRange sqref="E2" name="Compteur_1_1"/>
    <protectedRange sqref="I2" name="Compteur_1_1_1"/>
    <protectedRange sqref="K4:L4" name="Compteur_1"/>
    <protectedRange sqref="L1 E1 I1" name="Compteur_1_2"/>
  </protectedRanges>
  <mergeCells count="2">
    <mergeCell ref="L2:M2"/>
    <mergeCell ref="K11:M33"/>
  </mergeCells>
  <conditionalFormatting sqref="B4:B243">
    <cfRule type="expression" dxfId="8"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9"/>
  <dimension ref="A1:O243"/>
  <sheetViews>
    <sheetView workbookViewId="0">
      <pane ySplit="3" topLeftCell="A4" activePane="bottomLeft" state="frozen"/>
      <selection pane="bottomLeft" activeCell="B6" sqref="B6"/>
    </sheetView>
  </sheetViews>
  <sheetFormatPr baseColWidth="10" defaultColWidth="0" defaultRowHeight="15" zeroHeight="1"/>
  <cols>
    <col min="1" max="1" width="19.85546875" customWidth="1"/>
    <col min="2" max="2" width="17.140625" style="186" customWidth="1"/>
    <col min="3" max="3" width="13.85546875" customWidth="1"/>
    <col min="4" max="4" width="15.42578125" style="124" customWidth="1"/>
    <col min="5" max="5" width="11.42578125" customWidth="1"/>
    <col min="6" max="6" width="11.5703125" hidden="1" customWidth="1"/>
    <col min="7" max="8" width="11.42578125" hidden="1" customWidth="1"/>
    <col min="9" max="9" width="10.85546875" customWidth="1"/>
    <col min="10" max="10" width="14" customWidth="1"/>
    <col min="11" max="11" width="21.7109375" customWidth="1"/>
    <col min="12" max="13" width="11.42578125" customWidth="1"/>
    <col min="14" max="14" width="21.7109375" customWidth="1"/>
    <col min="15" max="15" width="0" hidden="1" customWidth="1"/>
    <col min="16" max="16384" width="11.42578125" hidden="1"/>
  </cols>
  <sheetData>
    <row r="1" spans="1:13" ht="31.15" customHeight="1">
      <c r="A1" s="57" t="s">
        <v>397</v>
      </c>
      <c r="B1" s="227" t="s">
        <v>398</v>
      </c>
      <c r="C1" s="129" t="s">
        <v>399</v>
      </c>
      <c r="D1" s="59" t="str">
        <f>CONCATENATE("Montant ",Controle_des_données!$A$40)</f>
        <v>Montant TTC</v>
      </c>
      <c r="E1" s="30" t="s">
        <v>215</v>
      </c>
      <c r="F1" s="29" t="s">
        <v>400</v>
      </c>
      <c r="G1" s="30" t="s">
        <v>401</v>
      </c>
      <c r="H1" s="30" t="s">
        <v>402</v>
      </c>
      <c r="I1" s="30" t="s">
        <v>403</v>
      </c>
      <c r="J1" s="181" t="s">
        <v>404</v>
      </c>
      <c r="K1" s="172" t="s">
        <v>19</v>
      </c>
      <c r="L1" s="179" t="str">
        <f>IF(Site!C43="", "Compteur 6",Site!C43)</f>
        <v>Compteur 6</v>
      </c>
    </row>
    <row r="2" spans="1:13" ht="20.25" hidden="1" customHeight="1">
      <c r="A2" s="28" t="s">
        <v>397</v>
      </c>
      <c r="B2" s="85" t="s">
        <v>398</v>
      </c>
      <c r="C2" s="58" t="s">
        <v>399</v>
      </c>
      <c r="D2" s="140" t="s">
        <v>433</v>
      </c>
      <c r="E2" s="30" t="s">
        <v>215</v>
      </c>
      <c r="F2" s="29" t="s">
        <v>400</v>
      </c>
      <c r="G2" s="41" t="s">
        <v>401</v>
      </c>
      <c r="H2" s="42" t="s">
        <v>402</v>
      </c>
      <c r="I2" s="29" t="s">
        <v>403</v>
      </c>
      <c r="J2" s="41" t="s">
        <v>404</v>
      </c>
      <c r="K2" s="172"/>
      <c r="L2" s="600"/>
      <c r="M2" s="601"/>
    </row>
    <row r="3" spans="1:13" hidden="1">
      <c r="A3" s="3"/>
      <c r="B3" s="231">
        <f>A4-1</f>
        <v>-1</v>
      </c>
      <c r="C3" s="56">
        <v>0</v>
      </c>
      <c r="D3" s="124">
        <v>0</v>
      </c>
      <c r="F3">
        <f t="shared" ref="F3:F66" si="0">IFERROR(B3-A3+1,"")</f>
        <v>0</v>
      </c>
      <c r="G3">
        <v>0</v>
      </c>
      <c r="H3">
        <v>0</v>
      </c>
      <c r="I3" s="215">
        <f t="shared" ref="I3:I66" si="1">G3</f>
        <v>0</v>
      </c>
      <c r="J3" s="38"/>
      <c r="K3" s="38"/>
      <c r="L3" s="38"/>
      <c r="M3" s="38"/>
    </row>
    <row r="4" spans="1:13">
      <c r="A4" s="55">
        <f>Site!I43</f>
        <v>0</v>
      </c>
      <c r="B4" s="87"/>
      <c r="C4" s="192"/>
      <c r="D4" s="195"/>
      <c r="E4" s="186"/>
      <c r="F4" s="186">
        <f t="shared" si="0"/>
        <v>1</v>
      </c>
      <c r="G4" s="186">
        <f>IF(IFERROR(IF(Str_TypeDonneesCpt6=Cpt_Index,Tab_Compteur_6[[#This Row],[Index]]-L4,Tab_Compteur_6[[#This Row],[Quantité]])/Tab_Compteur_6[[#This Row],[Delta Jour]],"")&lt;0,"",IFERROR(IF(Str_TypeDonneesCpt6=Cpt_Index,Tab_Compteur_6[[#This Row],[Index]]-L4,Tab_Compteur_6[[#This Row],[Quantité]])/Tab_Compteur_6[[#This Row],[Delta Jour]],""))</f>
        <v>0</v>
      </c>
      <c r="H4" s="186">
        <f>IFERROR(Tab_Compteur_6[[#This Row],[Montant]]/Tab_Compteur_6[[#This Row],[Delta Jour]],"")</f>
        <v>0</v>
      </c>
      <c r="I4" s="212">
        <f t="shared" si="1"/>
        <v>0</v>
      </c>
      <c r="J4" s="209"/>
      <c r="K4" s="216" t="s">
        <v>405</v>
      </c>
      <c r="L4" s="491">
        <v>0</v>
      </c>
    </row>
    <row r="5" spans="1:13">
      <c r="A5" s="55">
        <f>IFERROR(B4+1,0)</f>
        <v>1</v>
      </c>
      <c r="B5" s="87"/>
      <c r="C5" s="192"/>
      <c r="D5" s="195"/>
      <c r="E5" s="186"/>
      <c r="F5" s="186">
        <f t="shared" si="0"/>
        <v>0</v>
      </c>
      <c r="G5" s="186" t="str">
        <f>IF(IFERROR(IF(Str_TypeDonneesCpt6=Cpt_Index,Tab_Compteur_6[[#This Row],[Index]]-E4,Tab_Compteur_6[[#This Row],[Quantité]])/Tab_Compteur_6[[#This Row],[Delta Jour]],"")&lt;0,"",IFERROR(IF(Str_TypeDonneesCpt6=Cpt_Index,Tab_Compteur_6[[#This Row],[Index]]-E4,Tab_Compteur_6[[#This Row],[Quantité]])/Tab_Compteur_6[[#This Row],[Delta Jour]],""))</f>
        <v/>
      </c>
      <c r="H5" s="186" t="str">
        <f>IFERROR(Tab_Compteur_6[[#This Row],[Montant]]/Tab_Compteur_6[[#This Row],[Delta Jour]],"")</f>
        <v/>
      </c>
      <c r="I5" s="212" t="str">
        <f t="shared" si="1"/>
        <v/>
      </c>
      <c r="J5" s="209"/>
      <c r="K5" s="38"/>
      <c r="L5" s="38"/>
      <c r="M5" s="38"/>
    </row>
    <row r="6" spans="1:13">
      <c r="A6" s="55">
        <f t="shared" ref="A6:A69" si="2">IFERROR(B5+1,0)</f>
        <v>1</v>
      </c>
      <c r="B6" s="87"/>
      <c r="C6" s="192"/>
      <c r="D6" s="195"/>
      <c r="E6" s="186"/>
      <c r="F6" s="186">
        <f t="shared" si="0"/>
        <v>0</v>
      </c>
      <c r="G6" s="186" t="str">
        <f>IF(IFERROR(IF(Str_TypeDonneesCpt6=Cpt_Index,Tab_Compteur_6[[#This Row],[Index]]-E5,Tab_Compteur_6[[#This Row],[Quantité]])/Tab_Compteur_6[[#This Row],[Delta Jour]],"")&lt;0,"",IFERROR(IF(Str_TypeDonneesCpt6=Cpt_Index,Tab_Compteur_6[[#This Row],[Index]]-E5,Tab_Compteur_6[[#This Row],[Quantité]])/Tab_Compteur_6[[#This Row],[Delta Jour]],""))</f>
        <v/>
      </c>
      <c r="H6" s="186" t="str">
        <f>IFERROR(Tab_Compteur_6[[#This Row],[Montant]]/Tab_Compteur_6[[#This Row],[Delta Jour]],"")</f>
        <v/>
      </c>
      <c r="I6" s="212" t="str">
        <f t="shared" si="1"/>
        <v/>
      </c>
      <c r="J6" s="209"/>
      <c r="K6" s="38"/>
      <c r="L6" s="38"/>
      <c r="M6" s="38"/>
    </row>
    <row r="7" spans="1:13">
      <c r="A7" s="55">
        <f t="shared" si="2"/>
        <v>1</v>
      </c>
      <c r="B7" s="87"/>
      <c r="C7" s="192"/>
      <c r="D7" s="195"/>
      <c r="E7" s="186"/>
      <c r="F7" s="186">
        <f t="shared" si="0"/>
        <v>0</v>
      </c>
      <c r="G7" s="186" t="str">
        <f>IF(IFERROR(IF(Str_TypeDonneesCpt6=Cpt_Index,Tab_Compteur_6[[#This Row],[Index]]-E6,Tab_Compteur_6[[#This Row],[Quantité]])/Tab_Compteur_6[[#This Row],[Delta Jour]],"")&lt;0,"",IFERROR(IF(Str_TypeDonneesCpt6=Cpt_Index,Tab_Compteur_6[[#This Row],[Index]]-E6,Tab_Compteur_6[[#This Row],[Quantité]])/Tab_Compteur_6[[#This Row],[Delta Jour]],""))</f>
        <v/>
      </c>
      <c r="H7" s="186" t="str">
        <f>IFERROR(Tab_Compteur_6[[#This Row],[Montant]]/Tab_Compteur_6[[#This Row],[Delta Jour]],"")</f>
        <v/>
      </c>
      <c r="I7" s="212" t="str">
        <f t="shared" si="1"/>
        <v/>
      </c>
      <c r="J7" s="209"/>
      <c r="K7" s="38"/>
      <c r="L7" s="38"/>
      <c r="M7" s="38"/>
    </row>
    <row r="8" spans="1:13">
      <c r="A8" s="55">
        <f t="shared" si="2"/>
        <v>1</v>
      </c>
      <c r="B8" s="87"/>
      <c r="C8" s="192"/>
      <c r="D8" s="195"/>
      <c r="E8" s="186"/>
      <c r="F8" s="186">
        <f t="shared" si="0"/>
        <v>0</v>
      </c>
      <c r="G8" s="186" t="str">
        <f>IF(IFERROR(IF(Str_TypeDonneesCpt6=Cpt_Index,Tab_Compteur_6[[#This Row],[Index]]-E7,Tab_Compteur_6[[#This Row],[Quantité]])/Tab_Compteur_6[[#This Row],[Delta Jour]],"")&lt;0,"",IFERROR(IF(Str_TypeDonneesCpt6=Cpt_Index,Tab_Compteur_6[[#This Row],[Index]]-E7,Tab_Compteur_6[[#This Row],[Quantité]])/Tab_Compteur_6[[#This Row],[Delta Jour]],""))</f>
        <v/>
      </c>
      <c r="H8" s="186" t="str">
        <f>IFERROR(Tab_Compteur_6[[#This Row],[Montant]]/Tab_Compteur_6[[#This Row],[Delta Jour]],"")</f>
        <v/>
      </c>
      <c r="I8" s="212" t="str">
        <f t="shared" si="1"/>
        <v/>
      </c>
      <c r="J8" s="209"/>
      <c r="K8" s="173"/>
      <c r="L8" s="173"/>
      <c r="M8" s="173"/>
    </row>
    <row r="9" spans="1:13">
      <c r="A9" s="55">
        <f t="shared" si="2"/>
        <v>1</v>
      </c>
      <c r="B9" s="87"/>
      <c r="C9" s="192"/>
      <c r="D9" s="195"/>
      <c r="E9" s="186"/>
      <c r="F9" s="186">
        <f t="shared" si="0"/>
        <v>0</v>
      </c>
      <c r="G9" s="186" t="str">
        <f>IF(IFERROR(IF(Str_TypeDonneesCpt6=Cpt_Index,Tab_Compteur_6[[#This Row],[Index]]-E8,Tab_Compteur_6[[#This Row],[Quantité]])/Tab_Compteur_6[[#This Row],[Delta Jour]],"")&lt;0,"",IFERROR(IF(Str_TypeDonneesCpt6=Cpt_Index,Tab_Compteur_6[[#This Row],[Index]]-E8,Tab_Compteur_6[[#This Row],[Quantité]])/Tab_Compteur_6[[#This Row],[Delta Jour]],""))</f>
        <v/>
      </c>
      <c r="H9" s="186" t="str">
        <f>IFERROR(Tab_Compteur_6[[#This Row],[Montant]]/Tab_Compteur_6[[#This Row],[Delta Jour]],"")</f>
        <v/>
      </c>
      <c r="I9" s="212" t="str">
        <f t="shared" si="1"/>
        <v/>
      </c>
      <c r="J9" s="209"/>
      <c r="K9" s="173"/>
      <c r="L9" s="173"/>
      <c r="M9" s="173"/>
    </row>
    <row r="10" spans="1:13">
      <c r="A10" s="55">
        <f t="shared" si="2"/>
        <v>1</v>
      </c>
      <c r="B10" s="87"/>
      <c r="C10" s="192"/>
      <c r="D10" s="195"/>
      <c r="E10" s="186"/>
      <c r="F10" s="186">
        <f t="shared" si="0"/>
        <v>0</v>
      </c>
      <c r="G10" s="186" t="str">
        <f>IF(IFERROR(IF(Str_TypeDonneesCpt6=Cpt_Index,Tab_Compteur_6[[#This Row],[Index]]-E9,Tab_Compteur_6[[#This Row],[Quantité]])/Tab_Compteur_6[[#This Row],[Delta Jour]],"")&lt;0,"",IFERROR(IF(Str_TypeDonneesCpt6=Cpt_Index,Tab_Compteur_6[[#This Row],[Index]]-E9,Tab_Compteur_6[[#This Row],[Quantité]])/Tab_Compteur_6[[#This Row],[Delta Jour]],""))</f>
        <v/>
      </c>
      <c r="H10" s="186" t="str">
        <f>IFERROR(Tab_Compteur_6[[#This Row],[Montant]]/Tab_Compteur_6[[#This Row],[Delta Jour]],"")</f>
        <v/>
      </c>
      <c r="I10" s="212" t="str">
        <f t="shared" si="1"/>
        <v/>
      </c>
      <c r="J10" s="209"/>
      <c r="K10" s="173"/>
      <c r="L10" s="173"/>
      <c r="M10" s="173"/>
    </row>
    <row r="11" spans="1:13">
      <c r="A11" s="55">
        <f t="shared" si="2"/>
        <v>1</v>
      </c>
      <c r="B11" s="87"/>
      <c r="C11" s="192"/>
      <c r="D11" s="195"/>
      <c r="E11" s="186"/>
      <c r="F11" s="186">
        <f t="shared" si="0"/>
        <v>0</v>
      </c>
      <c r="G11" s="186" t="str">
        <f>IF(IFERROR(IF(Str_TypeDonneesCpt6=Cpt_Index,Tab_Compteur_6[[#This Row],[Index]]-E10,Tab_Compteur_6[[#This Row],[Quantité]])/Tab_Compteur_6[[#This Row],[Delta Jour]],"")&lt;0,"",IFERROR(IF(Str_TypeDonneesCpt6=Cpt_Index,Tab_Compteur_6[[#This Row],[Index]]-E10,Tab_Compteur_6[[#This Row],[Quantité]])/Tab_Compteur_6[[#This Row],[Delta Jour]],""))</f>
        <v/>
      </c>
      <c r="H11" s="186" t="str">
        <f>IFERROR(Tab_Compteur_6[[#This Row],[Montant]]/Tab_Compteur_6[[#This Row],[Delta Jour]],"")</f>
        <v/>
      </c>
      <c r="I11" s="212" t="str">
        <f t="shared" si="1"/>
        <v/>
      </c>
      <c r="J11" s="209"/>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55">
        <f t="shared" si="2"/>
        <v>1</v>
      </c>
      <c r="B12" s="87"/>
      <c r="C12" s="192"/>
      <c r="D12" s="195"/>
      <c r="E12" s="186"/>
      <c r="F12" s="186">
        <f t="shared" si="0"/>
        <v>0</v>
      </c>
      <c r="G12" s="186" t="str">
        <f>IF(IFERROR(IF(Str_TypeDonneesCpt6=Cpt_Index,Tab_Compteur_6[[#This Row],[Index]]-E11,Tab_Compteur_6[[#This Row],[Quantité]])/Tab_Compteur_6[[#This Row],[Delta Jour]],"")&lt;0,"",IFERROR(IF(Str_TypeDonneesCpt6=Cpt_Index,Tab_Compteur_6[[#This Row],[Index]]-E11,Tab_Compteur_6[[#This Row],[Quantité]])/Tab_Compteur_6[[#This Row],[Delta Jour]],""))</f>
        <v/>
      </c>
      <c r="H12" s="186" t="str">
        <f>IFERROR(Tab_Compteur_6[[#This Row],[Montant]]/Tab_Compteur_6[[#This Row],[Delta Jour]],"")</f>
        <v/>
      </c>
      <c r="I12" s="212" t="str">
        <f t="shared" si="1"/>
        <v/>
      </c>
      <c r="J12" s="209"/>
      <c r="K12" s="599"/>
      <c r="L12" s="599"/>
      <c r="M12" s="599"/>
    </row>
    <row r="13" spans="1:13">
      <c r="A13" s="55">
        <f t="shared" si="2"/>
        <v>1</v>
      </c>
      <c r="B13" s="87"/>
      <c r="C13" s="192"/>
      <c r="D13" s="195"/>
      <c r="E13" s="186"/>
      <c r="F13" s="186">
        <f t="shared" si="0"/>
        <v>0</v>
      </c>
      <c r="G13" s="186" t="str">
        <f>IF(IFERROR(IF(Str_TypeDonneesCpt6=Cpt_Index,Tab_Compteur_6[[#This Row],[Index]]-E12,Tab_Compteur_6[[#This Row],[Quantité]])/Tab_Compteur_6[[#This Row],[Delta Jour]],"")&lt;0,"",IFERROR(IF(Str_TypeDonneesCpt6=Cpt_Index,Tab_Compteur_6[[#This Row],[Index]]-E12,Tab_Compteur_6[[#This Row],[Quantité]])/Tab_Compteur_6[[#This Row],[Delta Jour]],""))</f>
        <v/>
      </c>
      <c r="H13" s="186" t="str">
        <f>IFERROR(Tab_Compteur_6[[#This Row],[Montant]]/Tab_Compteur_6[[#This Row],[Delta Jour]],"")</f>
        <v/>
      </c>
      <c r="I13" s="212" t="str">
        <f t="shared" si="1"/>
        <v/>
      </c>
      <c r="J13" s="209"/>
      <c r="K13" s="599"/>
      <c r="L13" s="599"/>
      <c r="M13" s="599"/>
    </row>
    <row r="14" spans="1:13">
      <c r="A14" s="55">
        <f t="shared" si="2"/>
        <v>1</v>
      </c>
      <c r="B14" s="87"/>
      <c r="C14" s="192"/>
      <c r="D14" s="195"/>
      <c r="E14" s="186"/>
      <c r="F14" s="186">
        <f t="shared" si="0"/>
        <v>0</v>
      </c>
      <c r="G14" s="186" t="str">
        <f>IF(IFERROR(IF(Str_TypeDonneesCpt6=Cpt_Index,Tab_Compteur_6[[#This Row],[Index]]-E13,Tab_Compteur_6[[#This Row],[Quantité]])/Tab_Compteur_6[[#This Row],[Delta Jour]],"")&lt;0,"",IFERROR(IF(Str_TypeDonneesCpt6=Cpt_Index,Tab_Compteur_6[[#This Row],[Index]]-E13,Tab_Compteur_6[[#This Row],[Quantité]])/Tab_Compteur_6[[#This Row],[Delta Jour]],""))</f>
        <v/>
      </c>
      <c r="H14" s="186" t="str">
        <f>IFERROR(Tab_Compteur_6[[#This Row],[Montant]]/Tab_Compteur_6[[#This Row],[Delta Jour]],"")</f>
        <v/>
      </c>
      <c r="I14" s="212" t="str">
        <f t="shared" si="1"/>
        <v/>
      </c>
      <c r="J14" s="209"/>
      <c r="K14" s="599"/>
      <c r="L14" s="599"/>
      <c r="M14" s="599"/>
    </row>
    <row r="15" spans="1:13">
      <c r="A15" s="55">
        <f t="shared" si="2"/>
        <v>1</v>
      </c>
      <c r="B15" s="87"/>
      <c r="C15" s="192"/>
      <c r="D15" s="195"/>
      <c r="E15" s="186"/>
      <c r="F15" s="186">
        <f t="shared" si="0"/>
        <v>0</v>
      </c>
      <c r="G15" s="186" t="str">
        <f>IF(IFERROR(IF(Str_TypeDonneesCpt6=Cpt_Index,Tab_Compteur_6[[#This Row],[Index]]-E14,Tab_Compteur_6[[#This Row],[Quantité]])/Tab_Compteur_6[[#This Row],[Delta Jour]],"")&lt;0,"",IFERROR(IF(Str_TypeDonneesCpt6=Cpt_Index,Tab_Compteur_6[[#This Row],[Index]]-E14,Tab_Compteur_6[[#This Row],[Quantité]])/Tab_Compteur_6[[#This Row],[Delta Jour]],""))</f>
        <v/>
      </c>
      <c r="H15" s="186" t="str">
        <f>IFERROR(Tab_Compteur_6[[#This Row],[Montant]]/Tab_Compteur_6[[#This Row],[Delta Jour]],"")</f>
        <v/>
      </c>
      <c r="I15" s="212" t="str">
        <f t="shared" si="1"/>
        <v/>
      </c>
      <c r="J15" s="209"/>
      <c r="K15" s="599"/>
      <c r="L15" s="599"/>
      <c r="M15" s="599"/>
    </row>
    <row r="16" spans="1:13">
      <c r="A16" s="55">
        <f t="shared" si="2"/>
        <v>1</v>
      </c>
      <c r="B16" s="87"/>
      <c r="C16" s="192"/>
      <c r="D16" s="195"/>
      <c r="E16" s="186"/>
      <c r="F16" s="186">
        <f t="shared" si="0"/>
        <v>0</v>
      </c>
      <c r="G16" s="186" t="str">
        <f>IF(IFERROR(IF(Str_TypeDonneesCpt6=Cpt_Index,Tab_Compteur_6[[#This Row],[Index]]-E15,Tab_Compteur_6[[#This Row],[Quantité]])/Tab_Compteur_6[[#This Row],[Delta Jour]],"")&lt;0,"",IFERROR(IF(Str_TypeDonneesCpt6=Cpt_Index,Tab_Compteur_6[[#This Row],[Index]]-E15,Tab_Compteur_6[[#This Row],[Quantité]])/Tab_Compteur_6[[#This Row],[Delta Jour]],""))</f>
        <v/>
      </c>
      <c r="H16" s="186" t="str">
        <f>IFERROR(Tab_Compteur_6[[#This Row],[Montant]]/Tab_Compteur_6[[#This Row],[Delta Jour]],"")</f>
        <v/>
      </c>
      <c r="I16" s="212" t="str">
        <f t="shared" si="1"/>
        <v/>
      </c>
      <c r="J16" s="209"/>
      <c r="K16" s="599"/>
      <c r="L16" s="599"/>
      <c r="M16" s="599"/>
    </row>
    <row r="17" spans="1:13">
      <c r="A17" s="55">
        <f t="shared" si="2"/>
        <v>1</v>
      </c>
      <c r="B17" s="87"/>
      <c r="C17" s="192"/>
      <c r="D17" s="195"/>
      <c r="E17" s="186"/>
      <c r="F17" s="186">
        <f t="shared" si="0"/>
        <v>0</v>
      </c>
      <c r="G17" s="186" t="str">
        <f>IF(IFERROR(IF(Str_TypeDonneesCpt6=Cpt_Index,Tab_Compteur_6[[#This Row],[Index]]-E16,Tab_Compteur_6[[#This Row],[Quantité]])/Tab_Compteur_6[[#This Row],[Delta Jour]],"")&lt;0,"",IFERROR(IF(Str_TypeDonneesCpt6=Cpt_Index,Tab_Compteur_6[[#This Row],[Index]]-E16,Tab_Compteur_6[[#This Row],[Quantité]])/Tab_Compteur_6[[#This Row],[Delta Jour]],""))</f>
        <v/>
      </c>
      <c r="H17" s="186" t="str">
        <f>IFERROR(Tab_Compteur_6[[#This Row],[Montant]]/Tab_Compteur_6[[#This Row],[Delta Jour]],"")</f>
        <v/>
      </c>
      <c r="I17" s="212" t="str">
        <f t="shared" si="1"/>
        <v/>
      </c>
      <c r="J17" s="209"/>
      <c r="K17" s="599"/>
      <c r="L17" s="599"/>
      <c r="M17" s="599"/>
    </row>
    <row r="18" spans="1:13">
      <c r="A18" s="55">
        <f t="shared" si="2"/>
        <v>1</v>
      </c>
      <c r="B18" s="87"/>
      <c r="C18" s="192"/>
      <c r="D18" s="195"/>
      <c r="E18" s="186"/>
      <c r="F18" s="186">
        <f t="shared" si="0"/>
        <v>0</v>
      </c>
      <c r="G18" s="186" t="str">
        <f>IF(IFERROR(IF(Str_TypeDonneesCpt6=Cpt_Index,Tab_Compteur_6[[#This Row],[Index]]-E17,Tab_Compteur_6[[#This Row],[Quantité]])/Tab_Compteur_6[[#This Row],[Delta Jour]],"")&lt;0,"",IFERROR(IF(Str_TypeDonneesCpt6=Cpt_Index,Tab_Compteur_6[[#This Row],[Index]]-E17,Tab_Compteur_6[[#This Row],[Quantité]])/Tab_Compteur_6[[#This Row],[Delta Jour]],""))</f>
        <v/>
      </c>
      <c r="H18" s="186" t="str">
        <f>IFERROR(Tab_Compteur_6[[#This Row],[Montant]]/Tab_Compteur_6[[#This Row],[Delta Jour]],"")</f>
        <v/>
      </c>
      <c r="I18" s="212" t="str">
        <f t="shared" si="1"/>
        <v/>
      </c>
      <c r="J18" s="209"/>
      <c r="K18" s="599"/>
      <c r="L18" s="599"/>
      <c r="M18" s="599"/>
    </row>
    <row r="19" spans="1:13">
      <c r="A19" s="55">
        <f t="shared" si="2"/>
        <v>1</v>
      </c>
      <c r="B19" s="87"/>
      <c r="C19" s="192"/>
      <c r="D19" s="195"/>
      <c r="E19" s="186"/>
      <c r="F19" s="186">
        <f t="shared" si="0"/>
        <v>0</v>
      </c>
      <c r="G19" s="186" t="str">
        <f>IF(IFERROR(IF(Str_TypeDonneesCpt6=Cpt_Index,Tab_Compteur_6[[#This Row],[Index]]-E18,Tab_Compteur_6[[#This Row],[Quantité]])/Tab_Compteur_6[[#This Row],[Delta Jour]],"")&lt;0,"",IFERROR(IF(Str_TypeDonneesCpt6=Cpt_Index,Tab_Compteur_6[[#This Row],[Index]]-E18,Tab_Compteur_6[[#This Row],[Quantité]])/Tab_Compteur_6[[#This Row],[Delta Jour]],""))</f>
        <v/>
      </c>
      <c r="H19" s="186" t="str">
        <f>IFERROR(Tab_Compteur_6[[#This Row],[Montant]]/Tab_Compteur_6[[#This Row],[Delta Jour]],"")</f>
        <v/>
      </c>
      <c r="I19" s="212" t="str">
        <f t="shared" si="1"/>
        <v/>
      </c>
      <c r="J19" s="209"/>
      <c r="K19" s="599"/>
      <c r="L19" s="599"/>
      <c r="M19" s="599"/>
    </row>
    <row r="20" spans="1:13">
      <c r="A20" s="55">
        <f t="shared" si="2"/>
        <v>1</v>
      </c>
      <c r="B20" s="87"/>
      <c r="C20" s="192"/>
      <c r="D20" s="195"/>
      <c r="E20" s="186"/>
      <c r="F20" s="186">
        <f t="shared" si="0"/>
        <v>0</v>
      </c>
      <c r="G20" s="186" t="str">
        <f>IF(IFERROR(IF(Str_TypeDonneesCpt6=Cpt_Index,Tab_Compteur_6[[#This Row],[Index]]-E19,Tab_Compteur_6[[#This Row],[Quantité]])/Tab_Compteur_6[[#This Row],[Delta Jour]],"")&lt;0,"",IFERROR(IF(Str_TypeDonneesCpt6=Cpt_Index,Tab_Compteur_6[[#This Row],[Index]]-E19,Tab_Compteur_6[[#This Row],[Quantité]])/Tab_Compteur_6[[#This Row],[Delta Jour]],""))</f>
        <v/>
      </c>
      <c r="H20" s="186" t="str">
        <f>IFERROR(Tab_Compteur_6[[#This Row],[Montant]]/Tab_Compteur_6[[#This Row],[Delta Jour]],"")</f>
        <v/>
      </c>
      <c r="I20" s="212" t="str">
        <f t="shared" si="1"/>
        <v/>
      </c>
      <c r="J20" s="209"/>
      <c r="K20" s="599"/>
      <c r="L20" s="599"/>
      <c r="M20" s="599"/>
    </row>
    <row r="21" spans="1:13">
      <c r="A21" s="55">
        <f t="shared" si="2"/>
        <v>1</v>
      </c>
      <c r="B21" s="87"/>
      <c r="C21" s="192"/>
      <c r="D21" s="195"/>
      <c r="E21" s="186"/>
      <c r="F21" s="186">
        <f t="shared" si="0"/>
        <v>0</v>
      </c>
      <c r="G21" s="186" t="str">
        <f>IF(IFERROR(IF(Str_TypeDonneesCpt6=Cpt_Index,Tab_Compteur_6[[#This Row],[Index]]-E20,Tab_Compteur_6[[#This Row],[Quantité]])/Tab_Compteur_6[[#This Row],[Delta Jour]],"")&lt;0,"",IFERROR(IF(Str_TypeDonneesCpt6=Cpt_Index,Tab_Compteur_6[[#This Row],[Index]]-E20,Tab_Compteur_6[[#This Row],[Quantité]])/Tab_Compteur_6[[#This Row],[Delta Jour]],""))</f>
        <v/>
      </c>
      <c r="H21" s="186" t="str">
        <f>IFERROR(Tab_Compteur_6[[#This Row],[Montant]]/Tab_Compteur_6[[#This Row],[Delta Jour]],"")</f>
        <v/>
      </c>
      <c r="I21" s="212" t="str">
        <f t="shared" si="1"/>
        <v/>
      </c>
      <c r="J21" s="209"/>
      <c r="K21" s="599"/>
      <c r="L21" s="599"/>
      <c r="M21" s="599"/>
    </row>
    <row r="22" spans="1:13">
      <c r="A22" s="55">
        <f t="shared" si="2"/>
        <v>1</v>
      </c>
      <c r="B22" s="87"/>
      <c r="C22" s="192"/>
      <c r="D22" s="195"/>
      <c r="E22" s="186"/>
      <c r="F22" s="186">
        <f t="shared" si="0"/>
        <v>0</v>
      </c>
      <c r="G22" s="186" t="str">
        <f>IF(IFERROR(IF(Str_TypeDonneesCpt6=Cpt_Index,Tab_Compteur_6[[#This Row],[Index]]-E21,Tab_Compteur_6[[#This Row],[Quantité]])/Tab_Compteur_6[[#This Row],[Delta Jour]],"")&lt;0,"",IFERROR(IF(Str_TypeDonneesCpt6=Cpt_Index,Tab_Compteur_6[[#This Row],[Index]]-E21,Tab_Compteur_6[[#This Row],[Quantité]])/Tab_Compteur_6[[#This Row],[Delta Jour]],""))</f>
        <v/>
      </c>
      <c r="H22" s="186" t="str">
        <f>IFERROR(Tab_Compteur_6[[#This Row],[Montant]]/Tab_Compteur_6[[#This Row],[Delta Jour]],"")</f>
        <v/>
      </c>
      <c r="I22" s="212" t="str">
        <f t="shared" si="1"/>
        <v/>
      </c>
      <c r="J22" s="209"/>
      <c r="K22" s="599"/>
      <c r="L22" s="599"/>
      <c r="M22" s="599"/>
    </row>
    <row r="23" spans="1:13">
      <c r="A23" s="55">
        <f t="shared" si="2"/>
        <v>1</v>
      </c>
      <c r="B23" s="87"/>
      <c r="C23" s="192"/>
      <c r="D23" s="195"/>
      <c r="E23" s="186"/>
      <c r="F23" s="186">
        <f t="shared" si="0"/>
        <v>0</v>
      </c>
      <c r="G23" s="186" t="str">
        <f>IF(IFERROR(IF(Str_TypeDonneesCpt6=Cpt_Index,Tab_Compteur_6[[#This Row],[Index]]-E22,Tab_Compteur_6[[#This Row],[Quantité]])/Tab_Compteur_6[[#This Row],[Delta Jour]],"")&lt;0,"",IFERROR(IF(Str_TypeDonneesCpt6=Cpt_Index,Tab_Compteur_6[[#This Row],[Index]]-E22,Tab_Compteur_6[[#This Row],[Quantité]])/Tab_Compteur_6[[#This Row],[Delta Jour]],""))</f>
        <v/>
      </c>
      <c r="H23" s="186" t="str">
        <f>IFERROR(Tab_Compteur_6[[#This Row],[Montant]]/Tab_Compteur_6[[#This Row],[Delta Jour]],"")</f>
        <v/>
      </c>
      <c r="I23" s="212" t="str">
        <f t="shared" si="1"/>
        <v/>
      </c>
      <c r="J23" s="209"/>
      <c r="K23" s="599"/>
      <c r="L23" s="599"/>
      <c r="M23" s="599"/>
    </row>
    <row r="24" spans="1:13">
      <c r="A24" s="55">
        <f t="shared" si="2"/>
        <v>1</v>
      </c>
      <c r="B24" s="87"/>
      <c r="C24" s="192"/>
      <c r="D24" s="195"/>
      <c r="E24" s="186"/>
      <c r="F24" s="186">
        <f t="shared" si="0"/>
        <v>0</v>
      </c>
      <c r="G24" s="186" t="str">
        <f>IF(IFERROR(IF(Str_TypeDonneesCpt6=Cpt_Index,Tab_Compteur_6[[#This Row],[Index]]-E23,Tab_Compteur_6[[#This Row],[Quantité]])/Tab_Compteur_6[[#This Row],[Delta Jour]],"")&lt;0,"",IFERROR(IF(Str_TypeDonneesCpt6=Cpt_Index,Tab_Compteur_6[[#This Row],[Index]]-E23,Tab_Compteur_6[[#This Row],[Quantité]])/Tab_Compteur_6[[#This Row],[Delta Jour]],""))</f>
        <v/>
      </c>
      <c r="H24" s="186" t="str">
        <f>IFERROR(Tab_Compteur_6[[#This Row],[Montant]]/Tab_Compteur_6[[#This Row],[Delta Jour]],"")</f>
        <v/>
      </c>
      <c r="I24" s="212" t="str">
        <f t="shared" si="1"/>
        <v/>
      </c>
      <c r="J24" s="209"/>
      <c r="K24" s="599"/>
      <c r="L24" s="599"/>
      <c r="M24" s="599"/>
    </row>
    <row r="25" spans="1:13">
      <c r="A25" s="55">
        <f t="shared" si="2"/>
        <v>1</v>
      </c>
      <c r="B25" s="87"/>
      <c r="C25" s="192"/>
      <c r="D25" s="195"/>
      <c r="E25" s="186"/>
      <c r="F25" s="186">
        <f t="shared" si="0"/>
        <v>0</v>
      </c>
      <c r="G25" s="186" t="str">
        <f>IF(IFERROR(IF(Str_TypeDonneesCpt6=Cpt_Index,Tab_Compteur_6[[#This Row],[Index]]-E24,Tab_Compteur_6[[#This Row],[Quantité]])/Tab_Compteur_6[[#This Row],[Delta Jour]],"")&lt;0,"",IFERROR(IF(Str_TypeDonneesCpt6=Cpt_Index,Tab_Compteur_6[[#This Row],[Index]]-E24,Tab_Compteur_6[[#This Row],[Quantité]])/Tab_Compteur_6[[#This Row],[Delta Jour]],""))</f>
        <v/>
      </c>
      <c r="H25" s="186" t="str">
        <f>IFERROR(Tab_Compteur_6[[#This Row],[Montant]]/Tab_Compteur_6[[#This Row],[Delta Jour]],"")</f>
        <v/>
      </c>
      <c r="I25" s="212" t="str">
        <f t="shared" si="1"/>
        <v/>
      </c>
      <c r="J25" s="209"/>
      <c r="K25" s="599"/>
      <c r="L25" s="599"/>
      <c r="M25" s="599"/>
    </row>
    <row r="26" spans="1:13">
      <c r="A26" s="55">
        <f t="shared" si="2"/>
        <v>1</v>
      </c>
      <c r="B26" s="87"/>
      <c r="C26" s="192"/>
      <c r="D26" s="195"/>
      <c r="E26" s="186"/>
      <c r="F26" s="186">
        <f t="shared" si="0"/>
        <v>0</v>
      </c>
      <c r="G26" s="186" t="str">
        <f>IF(IFERROR(IF(Str_TypeDonneesCpt6=Cpt_Index,Tab_Compteur_6[[#This Row],[Index]]-E25,Tab_Compteur_6[[#This Row],[Quantité]])/Tab_Compteur_6[[#This Row],[Delta Jour]],"")&lt;0,"",IFERROR(IF(Str_TypeDonneesCpt6=Cpt_Index,Tab_Compteur_6[[#This Row],[Index]]-E25,Tab_Compteur_6[[#This Row],[Quantité]])/Tab_Compteur_6[[#This Row],[Delta Jour]],""))</f>
        <v/>
      </c>
      <c r="H26" s="186" t="str">
        <f>IFERROR(Tab_Compteur_6[[#This Row],[Montant]]/Tab_Compteur_6[[#This Row],[Delta Jour]],"")</f>
        <v/>
      </c>
      <c r="I26" s="212" t="str">
        <f t="shared" si="1"/>
        <v/>
      </c>
      <c r="J26" s="209"/>
      <c r="K26" s="599"/>
      <c r="L26" s="599"/>
      <c r="M26" s="599"/>
    </row>
    <row r="27" spans="1:13">
      <c r="A27" s="55">
        <f t="shared" si="2"/>
        <v>1</v>
      </c>
      <c r="B27" s="87"/>
      <c r="C27" s="192"/>
      <c r="D27" s="195"/>
      <c r="E27" s="186"/>
      <c r="F27" s="186">
        <f t="shared" si="0"/>
        <v>0</v>
      </c>
      <c r="G27" s="186" t="str">
        <f>IF(IFERROR(IF(Str_TypeDonneesCpt6=Cpt_Index,Tab_Compteur_6[[#This Row],[Index]]-E26,Tab_Compteur_6[[#This Row],[Quantité]])/Tab_Compteur_6[[#This Row],[Delta Jour]],"")&lt;0,"",IFERROR(IF(Str_TypeDonneesCpt6=Cpt_Index,Tab_Compteur_6[[#This Row],[Index]]-E26,Tab_Compteur_6[[#This Row],[Quantité]])/Tab_Compteur_6[[#This Row],[Delta Jour]],""))</f>
        <v/>
      </c>
      <c r="H27" s="186" t="str">
        <f>IFERROR(Tab_Compteur_6[[#This Row],[Montant]]/Tab_Compteur_6[[#This Row],[Delta Jour]],"")</f>
        <v/>
      </c>
      <c r="I27" s="212" t="str">
        <f t="shared" si="1"/>
        <v/>
      </c>
      <c r="J27" s="209"/>
      <c r="K27" s="599"/>
      <c r="L27" s="599"/>
      <c r="M27" s="599"/>
    </row>
    <row r="28" spans="1:13">
      <c r="A28" s="55">
        <f t="shared" si="2"/>
        <v>1</v>
      </c>
      <c r="B28" s="87"/>
      <c r="C28" s="192"/>
      <c r="D28" s="195"/>
      <c r="E28" s="186"/>
      <c r="F28" s="186">
        <f t="shared" si="0"/>
        <v>0</v>
      </c>
      <c r="G28" s="186" t="str">
        <f>IF(IFERROR(IF(Str_TypeDonneesCpt6=Cpt_Index,Tab_Compteur_6[[#This Row],[Index]]-E27,Tab_Compteur_6[[#This Row],[Quantité]])/Tab_Compteur_6[[#This Row],[Delta Jour]],"")&lt;0,"",IFERROR(IF(Str_TypeDonneesCpt6=Cpt_Index,Tab_Compteur_6[[#This Row],[Index]]-E27,Tab_Compteur_6[[#This Row],[Quantité]])/Tab_Compteur_6[[#This Row],[Delta Jour]],""))</f>
        <v/>
      </c>
      <c r="H28" s="186" t="str">
        <f>IFERROR(Tab_Compteur_6[[#This Row],[Montant]]/Tab_Compteur_6[[#This Row],[Delta Jour]],"")</f>
        <v/>
      </c>
      <c r="I28" s="212" t="str">
        <f t="shared" si="1"/>
        <v/>
      </c>
      <c r="J28" s="209"/>
      <c r="K28" s="599"/>
      <c r="L28" s="599"/>
      <c r="M28" s="599"/>
    </row>
    <row r="29" spans="1:13">
      <c r="A29" s="55">
        <f t="shared" si="2"/>
        <v>1</v>
      </c>
      <c r="B29" s="87"/>
      <c r="C29" s="192"/>
      <c r="D29" s="195"/>
      <c r="E29" s="186"/>
      <c r="F29" s="186">
        <f t="shared" si="0"/>
        <v>0</v>
      </c>
      <c r="G29" s="186" t="str">
        <f>IF(IFERROR(IF(Str_TypeDonneesCpt6=Cpt_Index,Tab_Compteur_6[[#This Row],[Index]]-E28,Tab_Compteur_6[[#This Row],[Quantité]])/Tab_Compteur_6[[#This Row],[Delta Jour]],"")&lt;0,"",IFERROR(IF(Str_TypeDonneesCpt6=Cpt_Index,Tab_Compteur_6[[#This Row],[Index]]-E28,Tab_Compteur_6[[#This Row],[Quantité]])/Tab_Compteur_6[[#This Row],[Delta Jour]],""))</f>
        <v/>
      </c>
      <c r="H29" s="186" t="str">
        <f>IFERROR(Tab_Compteur_6[[#This Row],[Montant]]/Tab_Compteur_6[[#This Row],[Delta Jour]],"")</f>
        <v/>
      </c>
      <c r="I29" s="212" t="str">
        <f t="shared" si="1"/>
        <v/>
      </c>
      <c r="J29" s="209"/>
      <c r="K29" s="599"/>
      <c r="L29" s="599"/>
      <c r="M29" s="599"/>
    </row>
    <row r="30" spans="1:13">
      <c r="A30" s="55">
        <f t="shared" si="2"/>
        <v>1</v>
      </c>
      <c r="B30" s="87"/>
      <c r="C30" s="192"/>
      <c r="D30" s="195"/>
      <c r="E30" s="186"/>
      <c r="F30" s="186">
        <f t="shared" si="0"/>
        <v>0</v>
      </c>
      <c r="G30" s="186" t="str">
        <f>IF(IFERROR(IF(Str_TypeDonneesCpt6=Cpt_Index,Tab_Compteur_6[[#This Row],[Index]]-E29,Tab_Compteur_6[[#This Row],[Quantité]])/Tab_Compteur_6[[#This Row],[Delta Jour]],"")&lt;0,"",IFERROR(IF(Str_TypeDonneesCpt6=Cpt_Index,Tab_Compteur_6[[#This Row],[Index]]-E29,Tab_Compteur_6[[#This Row],[Quantité]])/Tab_Compteur_6[[#This Row],[Delta Jour]],""))</f>
        <v/>
      </c>
      <c r="H30" s="186" t="str">
        <f>IFERROR(Tab_Compteur_6[[#This Row],[Montant]]/Tab_Compteur_6[[#This Row],[Delta Jour]],"")</f>
        <v/>
      </c>
      <c r="I30" s="212" t="str">
        <f t="shared" si="1"/>
        <v/>
      </c>
      <c r="J30" s="209"/>
      <c r="K30" s="599"/>
      <c r="L30" s="599"/>
      <c r="M30" s="599"/>
    </row>
    <row r="31" spans="1:13">
      <c r="A31" s="55">
        <f t="shared" si="2"/>
        <v>1</v>
      </c>
      <c r="B31" s="87"/>
      <c r="C31" s="192"/>
      <c r="D31" s="195"/>
      <c r="E31" s="186"/>
      <c r="F31" s="186">
        <f t="shared" si="0"/>
        <v>0</v>
      </c>
      <c r="G31" s="186" t="str">
        <f>IF(IFERROR(IF(Str_TypeDonneesCpt6=Cpt_Index,Tab_Compteur_6[[#This Row],[Index]]-E30,Tab_Compteur_6[[#This Row],[Quantité]])/Tab_Compteur_6[[#This Row],[Delta Jour]],"")&lt;0,"",IFERROR(IF(Str_TypeDonneesCpt6=Cpt_Index,Tab_Compteur_6[[#This Row],[Index]]-E30,Tab_Compteur_6[[#This Row],[Quantité]])/Tab_Compteur_6[[#This Row],[Delta Jour]],""))</f>
        <v/>
      </c>
      <c r="H31" s="186" t="str">
        <f>IFERROR(Tab_Compteur_6[[#This Row],[Montant]]/Tab_Compteur_6[[#This Row],[Delta Jour]],"")</f>
        <v/>
      </c>
      <c r="I31" s="212" t="str">
        <f t="shared" si="1"/>
        <v/>
      </c>
      <c r="J31" s="209"/>
      <c r="K31" s="599"/>
      <c r="L31" s="599"/>
      <c r="M31" s="599"/>
    </row>
    <row r="32" spans="1:13">
      <c r="A32" s="55">
        <f t="shared" si="2"/>
        <v>1</v>
      </c>
      <c r="B32" s="87"/>
      <c r="C32" s="192"/>
      <c r="D32" s="195"/>
      <c r="E32" s="186"/>
      <c r="F32" s="186">
        <f t="shared" si="0"/>
        <v>0</v>
      </c>
      <c r="G32" s="186" t="str">
        <f>IF(IFERROR(IF(Str_TypeDonneesCpt6=Cpt_Index,Tab_Compteur_6[[#This Row],[Index]]-E31,Tab_Compteur_6[[#This Row],[Quantité]])/Tab_Compteur_6[[#This Row],[Delta Jour]],"")&lt;0,"",IFERROR(IF(Str_TypeDonneesCpt6=Cpt_Index,Tab_Compteur_6[[#This Row],[Index]]-E31,Tab_Compteur_6[[#This Row],[Quantité]])/Tab_Compteur_6[[#This Row],[Delta Jour]],""))</f>
        <v/>
      </c>
      <c r="H32" s="186" t="str">
        <f>IFERROR(Tab_Compteur_6[[#This Row],[Montant]]/Tab_Compteur_6[[#This Row],[Delta Jour]],"")</f>
        <v/>
      </c>
      <c r="I32" s="212" t="str">
        <f t="shared" si="1"/>
        <v/>
      </c>
      <c r="J32" s="209"/>
      <c r="K32" s="599"/>
      <c r="L32" s="599"/>
      <c r="M32" s="599"/>
    </row>
    <row r="33" spans="1:13">
      <c r="A33" s="55">
        <f t="shared" si="2"/>
        <v>1</v>
      </c>
      <c r="B33" s="87"/>
      <c r="C33" s="192"/>
      <c r="D33" s="195"/>
      <c r="E33" s="186"/>
      <c r="F33" s="186">
        <f t="shared" si="0"/>
        <v>0</v>
      </c>
      <c r="G33" s="186" t="str">
        <f>IF(IFERROR(IF(Str_TypeDonneesCpt6=Cpt_Index,Tab_Compteur_6[[#This Row],[Index]]-E32,Tab_Compteur_6[[#This Row],[Quantité]])/Tab_Compteur_6[[#This Row],[Delta Jour]],"")&lt;0,"",IFERROR(IF(Str_TypeDonneesCpt6=Cpt_Index,Tab_Compteur_6[[#This Row],[Index]]-E32,Tab_Compteur_6[[#This Row],[Quantité]])/Tab_Compteur_6[[#This Row],[Delta Jour]],""))</f>
        <v/>
      </c>
      <c r="H33" s="186" t="str">
        <f>IFERROR(Tab_Compteur_6[[#This Row],[Montant]]/Tab_Compteur_6[[#This Row],[Delta Jour]],"")</f>
        <v/>
      </c>
      <c r="I33" s="212" t="str">
        <f t="shared" si="1"/>
        <v/>
      </c>
      <c r="J33" s="209"/>
      <c r="K33" s="599"/>
      <c r="L33" s="599"/>
      <c r="M33" s="599"/>
    </row>
    <row r="34" spans="1:13">
      <c r="A34" s="55">
        <f t="shared" si="2"/>
        <v>1</v>
      </c>
      <c r="B34" s="87"/>
      <c r="C34" s="192"/>
      <c r="D34" s="195"/>
      <c r="E34" s="186"/>
      <c r="F34" s="186">
        <f t="shared" si="0"/>
        <v>0</v>
      </c>
      <c r="G34" s="186" t="str">
        <f>IF(IFERROR(IF(Str_TypeDonneesCpt6=Cpt_Index,Tab_Compteur_6[[#This Row],[Index]]-E33,Tab_Compteur_6[[#This Row],[Quantité]])/Tab_Compteur_6[[#This Row],[Delta Jour]],"")&lt;0,"",IFERROR(IF(Str_TypeDonneesCpt6=Cpt_Index,Tab_Compteur_6[[#This Row],[Index]]-E33,Tab_Compteur_6[[#This Row],[Quantité]])/Tab_Compteur_6[[#This Row],[Delta Jour]],""))</f>
        <v/>
      </c>
      <c r="H34" s="186" t="str">
        <f>IFERROR(Tab_Compteur_6[[#This Row],[Montant]]/Tab_Compteur_6[[#This Row],[Delta Jour]],"")</f>
        <v/>
      </c>
      <c r="I34" s="212" t="str">
        <f t="shared" si="1"/>
        <v/>
      </c>
      <c r="J34" s="209"/>
      <c r="K34" s="38"/>
      <c r="L34" s="38"/>
      <c r="M34" s="38"/>
    </row>
    <row r="35" spans="1:13">
      <c r="A35" s="55">
        <f t="shared" si="2"/>
        <v>1</v>
      </c>
      <c r="B35" s="87"/>
      <c r="C35" s="192"/>
      <c r="D35" s="195"/>
      <c r="E35" s="186"/>
      <c r="F35" s="186">
        <f t="shared" si="0"/>
        <v>0</v>
      </c>
      <c r="G35" s="186" t="str">
        <f>IF(IFERROR(IF(Str_TypeDonneesCpt6=Cpt_Index,Tab_Compteur_6[[#This Row],[Index]]-E34,Tab_Compteur_6[[#This Row],[Quantité]])/Tab_Compteur_6[[#This Row],[Delta Jour]],"")&lt;0,"",IFERROR(IF(Str_TypeDonneesCpt6=Cpt_Index,Tab_Compteur_6[[#This Row],[Index]]-E34,Tab_Compteur_6[[#This Row],[Quantité]])/Tab_Compteur_6[[#This Row],[Delta Jour]],""))</f>
        <v/>
      </c>
      <c r="H35" s="186" t="str">
        <f>IFERROR(Tab_Compteur_6[[#This Row],[Montant]]/Tab_Compteur_6[[#This Row],[Delta Jour]],"")</f>
        <v/>
      </c>
      <c r="I35" s="212" t="str">
        <f t="shared" si="1"/>
        <v/>
      </c>
      <c r="J35" s="209"/>
      <c r="K35" s="38"/>
      <c r="L35" s="38"/>
      <c r="M35" s="38"/>
    </row>
    <row r="36" spans="1:13">
      <c r="A36" s="55">
        <f t="shared" si="2"/>
        <v>1</v>
      </c>
      <c r="B36" s="87"/>
      <c r="C36" s="192"/>
      <c r="D36" s="195"/>
      <c r="E36" s="186"/>
      <c r="F36" s="186">
        <f t="shared" si="0"/>
        <v>0</v>
      </c>
      <c r="G36" s="186" t="str">
        <f>IF(IFERROR(IF(Str_TypeDonneesCpt6=Cpt_Index,Tab_Compteur_6[[#This Row],[Index]]-E35,Tab_Compteur_6[[#This Row],[Quantité]])/Tab_Compteur_6[[#This Row],[Delta Jour]],"")&lt;0,"",IFERROR(IF(Str_TypeDonneesCpt6=Cpt_Index,Tab_Compteur_6[[#This Row],[Index]]-E35,Tab_Compteur_6[[#This Row],[Quantité]])/Tab_Compteur_6[[#This Row],[Delta Jour]],""))</f>
        <v/>
      </c>
      <c r="H36" s="186" t="str">
        <f>IFERROR(Tab_Compteur_6[[#This Row],[Montant]]/Tab_Compteur_6[[#This Row],[Delta Jour]],"")</f>
        <v/>
      </c>
      <c r="I36" s="212" t="str">
        <f t="shared" si="1"/>
        <v/>
      </c>
      <c r="J36" s="209"/>
      <c r="K36" s="38"/>
      <c r="L36" s="38"/>
      <c r="M36" s="38"/>
    </row>
    <row r="37" spans="1:13">
      <c r="A37" s="55">
        <f t="shared" si="2"/>
        <v>1</v>
      </c>
      <c r="B37" s="87"/>
      <c r="C37" s="192"/>
      <c r="D37" s="195"/>
      <c r="E37" s="186"/>
      <c r="F37" s="186">
        <f t="shared" si="0"/>
        <v>0</v>
      </c>
      <c r="G37" s="186" t="str">
        <f>IF(IFERROR(IF(Str_TypeDonneesCpt6=Cpt_Index,Tab_Compteur_6[[#This Row],[Index]]-E36,Tab_Compteur_6[[#This Row],[Quantité]])/Tab_Compteur_6[[#This Row],[Delta Jour]],"")&lt;0,"",IFERROR(IF(Str_TypeDonneesCpt6=Cpt_Index,Tab_Compteur_6[[#This Row],[Index]]-E36,Tab_Compteur_6[[#This Row],[Quantité]])/Tab_Compteur_6[[#This Row],[Delta Jour]],""))</f>
        <v/>
      </c>
      <c r="H37" s="186" t="str">
        <f>IFERROR(Tab_Compteur_6[[#This Row],[Montant]]/Tab_Compteur_6[[#This Row],[Delta Jour]],"")</f>
        <v/>
      </c>
      <c r="I37" s="212" t="str">
        <f t="shared" si="1"/>
        <v/>
      </c>
      <c r="J37" s="209"/>
      <c r="K37" s="38"/>
      <c r="L37" s="38"/>
      <c r="M37" s="38"/>
    </row>
    <row r="38" spans="1:13">
      <c r="A38" s="55">
        <f t="shared" si="2"/>
        <v>1</v>
      </c>
      <c r="B38" s="87"/>
      <c r="C38" s="192"/>
      <c r="D38" s="195"/>
      <c r="E38" s="186"/>
      <c r="F38" s="186">
        <f t="shared" si="0"/>
        <v>0</v>
      </c>
      <c r="G38" s="186" t="str">
        <f>IF(IFERROR(IF(Str_TypeDonneesCpt6=Cpt_Index,Tab_Compteur_6[[#This Row],[Index]]-E37,Tab_Compteur_6[[#This Row],[Quantité]])/Tab_Compteur_6[[#This Row],[Delta Jour]],"")&lt;0,"",IFERROR(IF(Str_TypeDonneesCpt6=Cpt_Index,Tab_Compteur_6[[#This Row],[Index]]-E37,Tab_Compteur_6[[#This Row],[Quantité]])/Tab_Compteur_6[[#This Row],[Delta Jour]],""))</f>
        <v/>
      </c>
      <c r="H38" s="186" t="str">
        <f>IFERROR(Tab_Compteur_6[[#This Row],[Montant]]/Tab_Compteur_6[[#This Row],[Delta Jour]],"")</f>
        <v/>
      </c>
      <c r="I38" s="212" t="str">
        <f t="shared" si="1"/>
        <v/>
      </c>
      <c r="J38" s="209"/>
      <c r="K38" s="38"/>
      <c r="L38" s="38"/>
      <c r="M38" s="38"/>
    </row>
    <row r="39" spans="1:13">
      <c r="A39" s="55">
        <f t="shared" si="2"/>
        <v>1</v>
      </c>
      <c r="B39" s="87"/>
      <c r="C39" s="192"/>
      <c r="D39" s="195"/>
      <c r="E39" s="186"/>
      <c r="F39" s="186">
        <f t="shared" si="0"/>
        <v>0</v>
      </c>
      <c r="G39" s="186" t="str">
        <f>IF(IFERROR(IF(Str_TypeDonneesCpt6=Cpt_Index,Tab_Compteur_6[[#This Row],[Index]]-E38,Tab_Compteur_6[[#This Row],[Quantité]])/Tab_Compteur_6[[#This Row],[Delta Jour]],"")&lt;0,"",IFERROR(IF(Str_TypeDonneesCpt6=Cpt_Index,Tab_Compteur_6[[#This Row],[Index]]-E38,Tab_Compteur_6[[#This Row],[Quantité]])/Tab_Compteur_6[[#This Row],[Delta Jour]],""))</f>
        <v/>
      </c>
      <c r="H39" s="186" t="str">
        <f>IFERROR(Tab_Compteur_6[[#This Row],[Montant]]/Tab_Compteur_6[[#This Row],[Delta Jour]],"")</f>
        <v/>
      </c>
      <c r="I39" s="212" t="str">
        <f t="shared" si="1"/>
        <v/>
      </c>
      <c r="J39" s="209"/>
      <c r="K39" s="38"/>
      <c r="L39" s="38"/>
      <c r="M39" s="38"/>
    </row>
    <row r="40" spans="1:13">
      <c r="A40" s="55">
        <f t="shared" si="2"/>
        <v>1</v>
      </c>
      <c r="B40" s="87"/>
      <c r="C40" s="192"/>
      <c r="D40" s="195"/>
      <c r="E40" s="186"/>
      <c r="F40" s="186">
        <f t="shared" si="0"/>
        <v>0</v>
      </c>
      <c r="G40" s="186" t="str">
        <f>IF(IFERROR(IF(Str_TypeDonneesCpt6=Cpt_Index,Tab_Compteur_6[[#This Row],[Index]]-E39,Tab_Compteur_6[[#This Row],[Quantité]])/Tab_Compteur_6[[#This Row],[Delta Jour]],"")&lt;0,"",IFERROR(IF(Str_TypeDonneesCpt6=Cpt_Index,Tab_Compteur_6[[#This Row],[Index]]-E39,Tab_Compteur_6[[#This Row],[Quantité]])/Tab_Compteur_6[[#This Row],[Delta Jour]],""))</f>
        <v/>
      </c>
      <c r="H40" s="186" t="str">
        <f>IFERROR(Tab_Compteur_6[[#This Row],[Montant]]/Tab_Compteur_6[[#This Row],[Delta Jour]],"")</f>
        <v/>
      </c>
      <c r="I40" s="212" t="str">
        <f t="shared" si="1"/>
        <v/>
      </c>
      <c r="J40" s="209"/>
      <c r="K40" s="38"/>
      <c r="L40" s="38"/>
      <c r="M40" s="38"/>
    </row>
    <row r="41" spans="1:13">
      <c r="A41" s="55">
        <f t="shared" si="2"/>
        <v>1</v>
      </c>
      <c r="B41" s="87"/>
      <c r="C41" s="192"/>
      <c r="D41" s="195"/>
      <c r="E41" s="186"/>
      <c r="F41" s="186">
        <f t="shared" si="0"/>
        <v>0</v>
      </c>
      <c r="G41" s="186" t="str">
        <f>IF(IFERROR(IF(Str_TypeDonneesCpt6=Cpt_Index,Tab_Compteur_6[[#This Row],[Index]]-E40,Tab_Compteur_6[[#This Row],[Quantité]])/Tab_Compteur_6[[#This Row],[Delta Jour]],"")&lt;0,"",IFERROR(IF(Str_TypeDonneesCpt6=Cpt_Index,Tab_Compteur_6[[#This Row],[Index]]-E40,Tab_Compteur_6[[#This Row],[Quantité]])/Tab_Compteur_6[[#This Row],[Delta Jour]],""))</f>
        <v/>
      </c>
      <c r="H41" s="186" t="str">
        <f>IFERROR(Tab_Compteur_6[[#This Row],[Montant]]/Tab_Compteur_6[[#This Row],[Delta Jour]],"")</f>
        <v/>
      </c>
      <c r="I41" s="212" t="str">
        <f t="shared" si="1"/>
        <v/>
      </c>
      <c r="J41" s="209"/>
      <c r="K41" s="38"/>
      <c r="L41" s="38"/>
      <c r="M41" s="38"/>
    </row>
    <row r="42" spans="1:13">
      <c r="A42" s="55">
        <f t="shared" si="2"/>
        <v>1</v>
      </c>
      <c r="B42" s="87"/>
      <c r="C42" s="192"/>
      <c r="D42" s="195"/>
      <c r="E42" s="186"/>
      <c r="F42" s="186">
        <f t="shared" si="0"/>
        <v>0</v>
      </c>
      <c r="G42" s="186" t="str">
        <f>IF(IFERROR(IF(Str_TypeDonneesCpt6=Cpt_Index,Tab_Compteur_6[[#This Row],[Index]]-E41,Tab_Compteur_6[[#This Row],[Quantité]])/Tab_Compteur_6[[#This Row],[Delta Jour]],"")&lt;0,"",IFERROR(IF(Str_TypeDonneesCpt6=Cpt_Index,Tab_Compteur_6[[#This Row],[Index]]-E41,Tab_Compteur_6[[#This Row],[Quantité]])/Tab_Compteur_6[[#This Row],[Delta Jour]],""))</f>
        <v/>
      </c>
      <c r="H42" s="186" t="str">
        <f>IFERROR(Tab_Compteur_6[[#This Row],[Montant]]/Tab_Compteur_6[[#This Row],[Delta Jour]],"")</f>
        <v/>
      </c>
      <c r="I42" s="212" t="str">
        <f t="shared" si="1"/>
        <v/>
      </c>
      <c r="J42" s="209"/>
      <c r="K42" s="38"/>
      <c r="L42" s="38"/>
      <c r="M42" s="38"/>
    </row>
    <row r="43" spans="1:13">
      <c r="A43" s="55">
        <f t="shared" si="2"/>
        <v>1</v>
      </c>
      <c r="B43" s="87"/>
      <c r="C43" s="192"/>
      <c r="D43" s="195"/>
      <c r="E43" s="186"/>
      <c r="F43" s="186">
        <f t="shared" si="0"/>
        <v>0</v>
      </c>
      <c r="G43" s="186" t="str">
        <f>IF(IFERROR(IF(Str_TypeDonneesCpt6=Cpt_Index,Tab_Compteur_6[[#This Row],[Index]]-E42,Tab_Compteur_6[[#This Row],[Quantité]])/Tab_Compteur_6[[#This Row],[Delta Jour]],"")&lt;0,"",IFERROR(IF(Str_TypeDonneesCpt6=Cpt_Index,Tab_Compteur_6[[#This Row],[Index]]-E42,Tab_Compteur_6[[#This Row],[Quantité]])/Tab_Compteur_6[[#This Row],[Delta Jour]],""))</f>
        <v/>
      </c>
      <c r="H43" s="186" t="str">
        <f>IFERROR(Tab_Compteur_6[[#This Row],[Montant]]/Tab_Compteur_6[[#This Row],[Delta Jour]],"")</f>
        <v/>
      </c>
      <c r="I43" s="212" t="str">
        <f t="shared" si="1"/>
        <v/>
      </c>
      <c r="J43" s="209"/>
      <c r="K43" s="38"/>
      <c r="L43" s="38"/>
      <c r="M43" s="38"/>
    </row>
    <row r="44" spans="1:13">
      <c r="A44" s="55">
        <f t="shared" si="2"/>
        <v>1</v>
      </c>
      <c r="B44" s="87"/>
      <c r="C44" s="192"/>
      <c r="D44" s="195"/>
      <c r="E44" s="186"/>
      <c r="F44" s="186">
        <f t="shared" si="0"/>
        <v>0</v>
      </c>
      <c r="G44" s="186" t="str">
        <f>IF(IFERROR(IF(Str_TypeDonneesCpt6=Cpt_Index,Tab_Compteur_6[[#This Row],[Index]]-E43,Tab_Compteur_6[[#This Row],[Quantité]])/Tab_Compteur_6[[#This Row],[Delta Jour]],"")&lt;0,"",IFERROR(IF(Str_TypeDonneesCpt6=Cpt_Index,Tab_Compteur_6[[#This Row],[Index]]-E43,Tab_Compteur_6[[#This Row],[Quantité]])/Tab_Compteur_6[[#This Row],[Delta Jour]],""))</f>
        <v/>
      </c>
      <c r="H44" s="186" t="str">
        <f>IFERROR(Tab_Compteur_6[[#This Row],[Montant]]/Tab_Compteur_6[[#This Row],[Delta Jour]],"")</f>
        <v/>
      </c>
      <c r="I44" s="212" t="str">
        <f t="shared" si="1"/>
        <v/>
      </c>
      <c r="J44" s="209"/>
      <c r="K44" s="38"/>
      <c r="L44" s="38"/>
      <c r="M44" s="38"/>
    </row>
    <row r="45" spans="1:13">
      <c r="A45" s="55">
        <f t="shared" si="2"/>
        <v>1</v>
      </c>
      <c r="B45" s="87"/>
      <c r="C45" s="192"/>
      <c r="D45" s="195"/>
      <c r="E45" s="186"/>
      <c r="F45" s="186">
        <f t="shared" si="0"/>
        <v>0</v>
      </c>
      <c r="G45" s="186" t="str">
        <f>IF(IFERROR(IF(Str_TypeDonneesCpt6=Cpt_Index,Tab_Compteur_6[[#This Row],[Index]]-E44,Tab_Compteur_6[[#This Row],[Quantité]])/Tab_Compteur_6[[#This Row],[Delta Jour]],"")&lt;0,"",IFERROR(IF(Str_TypeDonneesCpt6=Cpt_Index,Tab_Compteur_6[[#This Row],[Index]]-E44,Tab_Compteur_6[[#This Row],[Quantité]])/Tab_Compteur_6[[#This Row],[Delta Jour]],""))</f>
        <v/>
      </c>
      <c r="H45" s="186" t="str">
        <f>IFERROR(Tab_Compteur_6[[#This Row],[Montant]]/Tab_Compteur_6[[#This Row],[Delta Jour]],"")</f>
        <v/>
      </c>
      <c r="I45" s="212" t="str">
        <f t="shared" si="1"/>
        <v/>
      </c>
      <c r="J45" s="209"/>
      <c r="K45" s="38"/>
      <c r="L45" s="38"/>
      <c r="M45" s="38"/>
    </row>
    <row r="46" spans="1:13">
      <c r="A46" s="55">
        <f t="shared" si="2"/>
        <v>1</v>
      </c>
      <c r="B46" s="87"/>
      <c r="C46" s="192"/>
      <c r="D46" s="195"/>
      <c r="E46" s="186"/>
      <c r="F46" s="186">
        <f t="shared" si="0"/>
        <v>0</v>
      </c>
      <c r="G46" s="186" t="str">
        <f>IF(IFERROR(IF(Str_TypeDonneesCpt6=Cpt_Index,Tab_Compteur_6[[#This Row],[Index]]-E45,Tab_Compteur_6[[#This Row],[Quantité]])/Tab_Compteur_6[[#This Row],[Delta Jour]],"")&lt;0,"",IFERROR(IF(Str_TypeDonneesCpt6=Cpt_Index,Tab_Compteur_6[[#This Row],[Index]]-E45,Tab_Compteur_6[[#This Row],[Quantité]])/Tab_Compteur_6[[#This Row],[Delta Jour]],""))</f>
        <v/>
      </c>
      <c r="H46" s="186" t="str">
        <f>IFERROR(Tab_Compteur_6[[#This Row],[Montant]]/Tab_Compteur_6[[#This Row],[Delta Jour]],"")</f>
        <v/>
      </c>
      <c r="I46" s="212" t="str">
        <f t="shared" si="1"/>
        <v/>
      </c>
      <c r="J46" s="209"/>
      <c r="K46" s="38"/>
      <c r="L46" s="38"/>
      <c r="M46" s="38"/>
    </row>
    <row r="47" spans="1:13">
      <c r="A47" s="55">
        <f t="shared" si="2"/>
        <v>1</v>
      </c>
      <c r="B47" s="87"/>
      <c r="C47" s="192"/>
      <c r="D47" s="195"/>
      <c r="E47" s="186"/>
      <c r="F47" s="186">
        <f t="shared" si="0"/>
        <v>0</v>
      </c>
      <c r="G47" s="186" t="str">
        <f>IF(IFERROR(IF(Str_TypeDonneesCpt6=Cpt_Index,Tab_Compteur_6[[#This Row],[Index]]-E46,Tab_Compteur_6[[#This Row],[Quantité]])/Tab_Compteur_6[[#This Row],[Delta Jour]],"")&lt;0,"",IFERROR(IF(Str_TypeDonneesCpt6=Cpt_Index,Tab_Compteur_6[[#This Row],[Index]]-E46,Tab_Compteur_6[[#This Row],[Quantité]])/Tab_Compteur_6[[#This Row],[Delta Jour]],""))</f>
        <v/>
      </c>
      <c r="H47" s="186" t="str">
        <f>IFERROR(Tab_Compteur_6[[#This Row],[Montant]]/Tab_Compteur_6[[#This Row],[Delta Jour]],"")</f>
        <v/>
      </c>
      <c r="I47" s="212" t="str">
        <f t="shared" si="1"/>
        <v/>
      </c>
      <c r="J47" s="209"/>
      <c r="K47" s="38"/>
      <c r="L47" s="38"/>
      <c r="M47" s="38"/>
    </row>
    <row r="48" spans="1:13">
      <c r="A48" s="55">
        <f t="shared" si="2"/>
        <v>1</v>
      </c>
      <c r="B48" s="87"/>
      <c r="C48" s="192"/>
      <c r="D48" s="195"/>
      <c r="E48" s="186"/>
      <c r="F48" s="186">
        <f t="shared" si="0"/>
        <v>0</v>
      </c>
      <c r="G48" s="186" t="str">
        <f>IF(IFERROR(IF(Str_TypeDonneesCpt6=Cpt_Index,Tab_Compteur_6[[#This Row],[Index]]-E47,Tab_Compteur_6[[#This Row],[Quantité]])/Tab_Compteur_6[[#This Row],[Delta Jour]],"")&lt;0,"",IFERROR(IF(Str_TypeDonneesCpt6=Cpt_Index,Tab_Compteur_6[[#This Row],[Index]]-E47,Tab_Compteur_6[[#This Row],[Quantité]])/Tab_Compteur_6[[#This Row],[Delta Jour]],""))</f>
        <v/>
      </c>
      <c r="H48" s="186" t="str">
        <f>IFERROR(Tab_Compteur_6[[#This Row],[Montant]]/Tab_Compteur_6[[#This Row],[Delta Jour]],"")</f>
        <v/>
      </c>
      <c r="I48" s="212" t="str">
        <f t="shared" si="1"/>
        <v/>
      </c>
      <c r="J48" s="209"/>
      <c r="K48" s="38"/>
      <c r="L48" s="38"/>
      <c r="M48" s="38"/>
    </row>
    <row r="49" spans="1:13">
      <c r="A49" s="55">
        <f t="shared" si="2"/>
        <v>1</v>
      </c>
      <c r="B49" s="87"/>
      <c r="C49" s="192"/>
      <c r="D49" s="195"/>
      <c r="E49" s="186"/>
      <c r="F49" s="186">
        <f t="shared" si="0"/>
        <v>0</v>
      </c>
      <c r="G49" s="186" t="str">
        <f>IF(IFERROR(IF(Str_TypeDonneesCpt6=Cpt_Index,Tab_Compteur_6[[#This Row],[Index]]-E48,Tab_Compteur_6[[#This Row],[Quantité]])/Tab_Compteur_6[[#This Row],[Delta Jour]],"")&lt;0,"",IFERROR(IF(Str_TypeDonneesCpt6=Cpt_Index,Tab_Compteur_6[[#This Row],[Index]]-E48,Tab_Compteur_6[[#This Row],[Quantité]])/Tab_Compteur_6[[#This Row],[Delta Jour]],""))</f>
        <v/>
      </c>
      <c r="H49" s="186" t="str">
        <f>IFERROR(Tab_Compteur_6[[#This Row],[Montant]]/Tab_Compteur_6[[#This Row],[Delta Jour]],"")</f>
        <v/>
      </c>
      <c r="I49" s="212" t="str">
        <f t="shared" si="1"/>
        <v/>
      </c>
      <c r="J49" s="209"/>
      <c r="K49" s="38"/>
      <c r="L49" s="38"/>
      <c r="M49" s="38"/>
    </row>
    <row r="50" spans="1:13">
      <c r="A50" s="55">
        <f t="shared" si="2"/>
        <v>1</v>
      </c>
      <c r="B50" s="87"/>
      <c r="C50" s="192"/>
      <c r="D50" s="195"/>
      <c r="E50" s="186"/>
      <c r="F50" s="186">
        <f t="shared" si="0"/>
        <v>0</v>
      </c>
      <c r="G50" s="186" t="str">
        <f>IF(IFERROR(IF(Str_TypeDonneesCpt6=Cpt_Index,Tab_Compteur_6[[#This Row],[Index]]-E49,Tab_Compteur_6[[#This Row],[Quantité]])/Tab_Compteur_6[[#This Row],[Delta Jour]],"")&lt;0,"",IFERROR(IF(Str_TypeDonneesCpt6=Cpt_Index,Tab_Compteur_6[[#This Row],[Index]]-E49,Tab_Compteur_6[[#This Row],[Quantité]])/Tab_Compteur_6[[#This Row],[Delta Jour]],""))</f>
        <v/>
      </c>
      <c r="H50" s="186" t="str">
        <f>IFERROR(Tab_Compteur_6[[#This Row],[Montant]]/Tab_Compteur_6[[#This Row],[Delta Jour]],"")</f>
        <v/>
      </c>
      <c r="I50" s="212" t="str">
        <f t="shared" si="1"/>
        <v/>
      </c>
      <c r="J50" s="209"/>
      <c r="K50" s="38"/>
      <c r="L50" s="38"/>
      <c r="M50" s="38"/>
    </row>
    <row r="51" spans="1:13">
      <c r="A51" s="55">
        <f t="shared" si="2"/>
        <v>1</v>
      </c>
      <c r="B51" s="87"/>
      <c r="C51" s="192"/>
      <c r="D51" s="195"/>
      <c r="E51" s="186"/>
      <c r="F51" s="186">
        <f t="shared" si="0"/>
        <v>0</v>
      </c>
      <c r="G51" s="186" t="str">
        <f>IF(IFERROR(IF(Str_TypeDonneesCpt6=Cpt_Index,Tab_Compteur_6[[#This Row],[Index]]-E50,Tab_Compteur_6[[#This Row],[Quantité]])/Tab_Compteur_6[[#This Row],[Delta Jour]],"")&lt;0,"",IFERROR(IF(Str_TypeDonneesCpt6=Cpt_Index,Tab_Compteur_6[[#This Row],[Index]]-E50,Tab_Compteur_6[[#This Row],[Quantité]])/Tab_Compteur_6[[#This Row],[Delta Jour]],""))</f>
        <v/>
      </c>
      <c r="H51" s="186" t="str">
        <f>IFERROR(Tab_Compteur_6[[#This Row],[Montant]]/Tab_Compteur_6[[#This Row],[Delta Jour]],"")</f>
        <v/>
      </c>
      <c r="I51" s="212" t="str">
        <f t="shared" si="1"/>
        <v/>
      </c>
      <c r="J51" s="209"/>
      <c r="K51" s="38"/>
      <c r="L51" s="38"/>
      <c r="M51" s="38"/>
    </row>
    <row r="52" spans="1:13">
      <c r="A52" s="55">
        <f t="shared" si="2"/>
        <v>1</v>
      </c>
      <c r="B52" s="87"/>
      <c r="C52" s="192"/>
      <c r="D52" s="195"/>
      <c r="E52" s="186"/>
      <c r="F52" s="186">
        <f t="shared" si="0"/>
        <v>0</v>
      </c>
      <c r="G52" s="186" t="str">
        <f>IF(IFERROR(IF(Str_TypeDonneesCpt6=Cpt_Index,Tab_Compteur_6[[#This Row],[Index]]-E51,Tab_Compteur_6[[#This Row],[Quantité]])/Tab_Compteur_6[[#This Row],[Delta Jour]],"")&lt;0,"",IFERROR(IF(Str_TypeDonneesCpt6=Cpt_Index,Tab_Compteur_6[[#This Row],[Index]]-E51,Tab_Compteur_6[[#This Row],[Quantité]])/Tab_Compteur_6[[#This Row],[Delta Jour]],""))</f>
        <v/>
      </c>
      <c r="H52" s="186" t="str">
        <f>IFERROR(Tab_Compteur_6[[#This Row],[Montant]]/Tab_Compteur_6[[#This Row],[Delta Jour]],"")</f>
        <v/>
      </c>
      <c r="I52" s="212" t="str">
        <f t="shared" si="1"/>
        <v/>
      </c>
      <c r="J52" s="209"/>
      <c r="K52" s="38"/>
      <c r="L52" s="38"/>
      <c r="M52" s="38"/>
    </row>
    <row r="53" spans="1:13">
      <c r="A53" s="55">
        <f t="shared" si="2"/>
        <v>1</v>
      </c>
      <c r="B53" s="87"/>
      <c r="C53" s="192"/>
      <c r="D53" s="195"/>
      <c r="E53" s="186"/>
      <c r="F53" s="186">
        <f t="shared" si="0"/>
        <v>0</v>
      </c>
      <c r="G53" s="186" t="str">
        <f>IF(IFERROR(IF(Str_TypeDonneesCpt6=Cpt_Index,Tab_Compteur_6[[#This Row],[Index]]-E52,Tab_Compteur_6[[#This Row],[Quantité]])/Tab_Compteur_6[[#This Row],[Delta Jour]],"")&lt;0,"",IFERROR(IF(Str_TypeDonneesCpt6=Cpt_Index,Tab_Compteur_6[[#This Row],[Index]]-E52,Tab_Compteur_6[[#This Row],[Quantité]])/Tab_Compteur_6[[#This Row],[Delta Jour]],""))</f>
        <v/>
      </c>
      <c r="H53" s="186" t="str">
        <f>IFERROR(Tab_Compteur_6[[#This Row],[Montant]]/Tab_Compteur_6[[#This Row],[Delta Jour]],"")</f>
        <v/>
      </c>
      <c r="I53" s="212" t="str">
        <f t="shared" si="1"/>
        <v/>
      </c>
      <c r="J53" s="209"/>
      <c r="K53" s="38"/>
      <c r="L53" s="38"/>
      <c r="M53" s="38"/>
    </row>
    <row r="54" spans="1:13">
      <c r="A54" s="55">
        <f t="shared" si="2"/>
        <v>1</v>
      </c>
      <c r="B54" s="87"/>
      <c r="C54" s="192"/>
      <c r="D54" s="195"/>
      <c r="E54" s="186"/>
      <c r="F54" s="186">
        <f t="shared" si="0"/>
        <v>0</v>
      </c>
      <c r="G54" s="186" t="str">
        <f>IF(IFERROR(IF(Str_TypeDonneesCpt6=Cpt_Index,Tab_Compteur_6[[#This Row],[Index]]-E53,Tab_Compteur_6[[#This Row],[Quantité]])/Tab_Compteur_6[[#This Row],[Delta Jour]],"")&lt;0,"",IFERROR(IF(Str_TypeDonneesCpt6=Cpt_Index,Tab_Compteur_6[[#This Row],[Index]]-E53,Tab_Compteur_6[[#This Row],[Quantité]])/Tab_Compteur_6[[#This Row],[Delta Jour]],""))</f>
        <v/>
      </c>
      <c r="H54" s="186" t="str">
        <f>IFERROR(Tab_Compteur_6[[#This Row],[Montant]]/Tab_Compteur_6[[#This Row],[Delta Jour]],"")</f>
        <v/>
      </c>
      <c r="I54" s="212" t="str">
        <f t="shared" si="1"/>
        <v/>
      </c>
      <c r="J54" s="209"/>
      <c r="K54" s="38"/>
      <c r="L54" s="38"/>
      <c r="M54" s="38"/>
    </row>
    <row r="55" spans="1:13">
      <c r="A55" s="55">
        <f t="shared" si="2"/>
        <v>1</v>
      </c>
      <c r="B55" s="87"/>
      <c r="C55" s="192"/>
      <c r="D55" s="195"/>
      <c r="E55" s="186"/>
      <c r="F55" s="186">
        <f t="shared" si="0"/>
        <v>0</v>
      </c>
      <c r="G55" s="186" t="str">
        <f>IF(IFERROR(IF(Str_TypeDonneesCpt6=Cpt_Index,Tab_Compteur_6[[#This Row],[Index]]-E54,Tab_Compteur_6[[#This Row],[Quantité]])/Tab_Compteur_6[[#This Row],[Delta Jour]],"")&lt;0,"",IFERROR(IF(Str_TypeDonneesCpt6=Cpt_Index,Tab_Compteur_6[[#This Row],[Index]]-E54,Tab_Compteur_6[[#This Row],[Quantité]])/Tab_Compteur_6[[#This Row],[Delta Jour]],""))</f>
        <v/>
      </c>
      <c r="H55" s="186" t="str">
        <f>IFERROR(Tab_Compteur_6[[#This Row],[Montant]]/Tab_Compteur_6[[#This Row],[Delta Jour]],"")</f>
        <v/>
      </c>
      <c r="I55" s="212" t="str">
        <f t="shared" si="1"/>
        <v/>
      </c>
      <c r="J55" s="209"/>
      <c r="K55" s="38"/>
      <c r="L55" s="38"/>
      <c r="M55" s="38"/>
    </row>
    <row r="56" spans="1:13">
      <c r="A56" s="55">
        <f t="shared" si="2"/>
        <v>1</v>
      </c>
      <c r="B56" s="87"/>
      <c r="C56" s="192"/>
      <c r="D56" s="195"/>
      <c r="E56" s="186"/>
      <c r="F56" s="186">
        <f t="shared" si="0"/>
        <v>0</v>
      </c>
      <c r="G56" s="186" t="str">
        <f>IF(IFERROR(IF(Str_TypeDonneesCpt6=Cpt_Index,Tab_Compteur_6[[#This Row],[Index]]-E55,Tab_Compteur_6[[#This Row],[Quantité]])/Tab_Compteur_6[[#This Row],[Delta Jour]],"")&lt;0,"",IFERROR(IF(Str_TypeDonneesCpt6=Cpt_Index,Tab_Compteur_6[[#This Row],[Index]]-E55,Tab_Compteur_6[[#This Row],[Quantité]])/Tab_Compteur_6[[#This Row],[Delta Jour]],""))</f>
        <v/>
      </c>
      <c r="H56" s="186" t="str">
        <f>IFERROR(Tab_Compteur_6[[#This Row],[Montant]]/Tab_Compteur_6[[#This Row],[Delta Jour]],"")</f>
        <v/>
      </c>
      <c r="I56" s="212" t="str">
        <f t="shared" si="1"/>
        <v/>
      </c>
      <c r="J56" s="209"/>
      <c r="K56" s="38"/>
      <c r="L56" s="38"/>
      <c r="M56" s="38"/>
    </row>
    <row r="57" spans="1:13">
      <c r="A57" s="55">
        <f t="shared" si="2"/>
        <v>1</v>
      </c>
      <c r="B57" s="87"/>
      <c r="C57" s="192"/>
      <c r="D57" s="195"/>
      <c r="E57" s="186"/>
      <c r="F57" s="186">
        <f t="shared" si="0"/>
        <v>0</v>
      </c>
      <c r="G57" s="186" t="str">
        <f>IF(IFERROR(IF(Str_TypeDonneesCpt6=Cpt_Index,Tab_Compteur_6[[#This Row],[Index]]-E56,Tab_Compteur_6[[#This Row],[Quantité]])/Tab_Compteur_6[[#This Row],[Delta Jour]],"")&lt;0,"",IFERROR(IF(Str_TypeDonneesCpt6=Cpt_Index,Tab_Compteur_6[[#This Row],[Index]]-E56,Tab_Compteur_6[[#This Row],[Quantité]])/Tab_Compteur_6[[#This Row],[Delta Jour]],""))</f>
        <v/>
      </c>
      <c r="H57" s="186" t="str">
        <f>IFERROR(Tab_Compteur_6[[#This Row],[Montant]]/Tab_Compteur_6[[#This Row],[Delta Jour]],"")</f>
        <v/>
      </c>
      <c r="I57" s="212" t="str">
        <f t="shared" si="1"/>
        <v/>
      </c>
      <c r="J57" s="209"/>
      <c r="K57" s="38"/>
      <c r="L57" s="38"/>
      <c r="M57" s="38"/>
    </row>
    <row r="58" spans="1:13">
      <c r="A58" s="55">
        <f t="shared" si="2"/>
        <v>1</v>
      </c>
      <c r="B58" s="87"/>
      <c r="C58" s="192"/>
      <c r="D58" s="195"/>
      <c r="E58" s="186"/>
      <c r="F58" s="186">
        <f t="shared" si="0"/>
        <v>0</v>
      </c>
      <c r="G58" s="186" t="str">
        <f>IF(IFERROR(IF(Str_TypeDonneesCpt6=Cpt_Index,Tab_Compteur_6[[#This Row],[Index]]-E57,Tab_Compteur_6[[#This Row],[Quantité]])/Tab_Compteur_6[[#This Row],[Delta Jour]],"")&lt;0,"",IFERROR(IF(Str_TypeDonneesCpt6=Cpt_Index,Tab_Compteur_6[[#This Row],[Index]]-E57,Tab_Compteur_6[[#This Row],[Quantité]])/Tab_Compteur_6[[#This Row],[Delta Jour]],""))</f>
        <v/>
      </c>
      <c r="H58" s="186" t="str">
        <f>IFERROR(Tab_Compteur_6[[#This Row],[Montant]]/Tab_Compteur_6[[#This Row],[Delta Jour]],"")</f>
        <v/>
      </c>
      <c r="I58" s="212" t="str">
        <f t="shared" si="1"/>
        <v/>
      </c>
      <c r="J58" s="209"/>
      <c r="K58" s="38"/>
      <c r="L58" s="38"/>
      <c r="M58" s="38"/>
    </row>
    <row r="59" spans="1:13">
      <c r="A59" s="55">
        <f t="shared" si="2"/>
        <v>1</v>
      </c>
      <c r="B59" s="87"/>
      <c r="C59" s="192"/>
      <c r="D59" s="195"/>
      <c r="E59" s="186"/>
      <c r="F59" s="186">
        <f t="shared" si="0"/>
        <v>0</v>
      </c>
      <c r="G59" s="186" t="str">
        <f>IF(IFERROR(IF(Str_TypeDonneesCpt6=Cpt_Index,Tab_Compteur_6[[#This Row],[Index]]-E58,Tab_Compteur_6[[#This Row],[Quantité]])/Tab_Compteur_6[[#This Row],[Delta Jour]],"")&lt;0,"",IFERROR(IF(Str_TypeDonneesCpt6=Cpt_Index,Tab_Compteur_6[[#This Row],[Index]]-E58,Tab_Compteur_6[[#This Row],[Quantité]])/Tab_Compteur_6[[#This Row],[Delta Jour]],""))</f>
        <v/>
      </c>
      <c r="H59" s="186" t="str">
        <f>IFERROR(Tab_Compteur_6[[#This Row],[Montant]]/Tab_Compteur_6[[#This Row],[Delta Jour]],"")</f>
        <v/>
      </c>
      <c r="I59" s="212" t="str">
        <f t="shared" si="1"/>
        <v/>
      </c>
      <c r="J59" s="209"/>
      <c r="K59" s="38"/>
      <c r="L59" s="38"/>
      <c r="M59" s="38"/>
    </row>
    <row r="60" spans="1:13">
      <c r="A60" s="55">
        <f t="shared" si="2"/>
        <v>1</v>
      </c>
      <c r="B60" s="87"/>
      <c r="C60" s="192"/>
      <c r="D60" s="195"/>
      <c r="E60" s="186"/>
      <c r="F60" s="186">
        <f t="shared" si="0"/>
        <v>0</v>
      </c>
      <c r="G60" s="186" t="str">
        <f>IF(IFERROR(IF(Str_TypeDonneesCpt6=Cpt_Index,Tab_Compteur_6[[#This Row],[Index]]-E59,Tab_Compteur_6[[#This Row],[Quantité]])/Tab_Compteur_6[[#This Row],[Delta Jour]],"")&lt;0,"",IFERROR(IF(Str_TypeDonneesCpt6=Cpt_Index,Tab_Compteur_6[[#This Row],[Index]]-E59,Tab_Compteur_6[[#This Row],[Quantité]])/Tab_Compteur_6[[#This Row],[Delta Jour]],""))</f>
        <v/>
      </c>
      <c r="H60" s="186" t="str">
        <f>IFERROR(Tab_Compteur_6[[#This Row],[Montant]]/Tab_Compteur_6[[#This Row],[Delta Jour]],"")</f>
        <v/>
      </c>
      <c r="I60" s="212" t="str">
        <f t="shared" si="1"/>
        <v/>
      </c>
      <c r="J60" s="209"/>
      <c r="K60" s="38"/>
      <c r="L60" s="38"/>
      <c r="M60" s="38"/>
    </row>
    <row r="61" spans="1:13">
      <c r="A61" s="55">
        <f t="shared" si="2"/>
        <v>1</v>
      </c>
      <c r="B61" s="87"/>
      <c r="C61" s="192"/>
      <c r="D61" s="195"/>
      <c r="E61" s="186"/>
      <c r="F61" s="186">
        <f t="shared" si="0"/>
        <v>0</v>
      </c>
      <c r="G61" s="186" t="str">
        <f>IF(IFERROR(IF(Str_TypeDonneesCpt6=Cpt_Index,Tab_Compteur_6[[#This Row],[Index]]-E60,Tab_Compteur_6[[#This Row],[Quantité]])/Tab_Compteur_6[[#This Row],[Delta Jour]],"")&lt;0,"",IFERROR(IF(Str_TypeDonneesCpt6=Cpt_Index,Tab_Compteur_6[[#This Row],[Index]]-E60,Tab_Compteur_6[[#This Row],[Quantité]])/Tab_Compteur_6[[#This Row],[Delta Jour]],""))</f>
        <v/>
      </c>
      <c r="H61" s="186" t="str">
        <f>IFERROR(Tab_Compteur_6[[#This Row],[Montant]]/Tab_Compteur_6[[#This Row],[Delta Jour]],"")</f>
        <v/>
      </c>
      <c r="I61" s="212" t="str">
        <f t="shared" si="1"/>
        <v/>
      </c>
      <c r="J61" s="209"/>
      <c r="K61" s="38"/>
      <c r="L61" s="38"/>
      <c r="M61" s="38"/>
    </row>
    <row r="62" spans="1:13">
      <c r="A62" s="55">
        <f t="shared" si="2"/>
        <v>1</v>
      </c>
      <c r="B62" s="87"/>
      <c r="C62" s="192"/>
      <c r="D62" s="195"/>
      <c r="E62" s="186"/>
      <c r="F62" s="186">
        <f t="shared" si="0"/>
        <v>0</v>
      </c>
      <c r="G62" s="186" t="str">
        <f>IF(IFERROR(IF(Str_TypeDonneesCpt6=Cpt_Index,Tab_Compteur_6[[#This Row],[Index]]-E61,Tab_Compteur_6[[#This Row],[Quantité]])/Tab_Compteur_6[[#This Row],[Delta Jour]],"")&lt;0,"",IFERROR(IF(Str_TypeDonneesCpt6=Cpt_Index,Tab_Compteur_6[[#This Row],[Index]]-E61,Tab_Compteur_6[[#This Row],[Quantité]])/Tab_Compteur_6[[#This Row],[Delta Jour]],""))</f>
        <v/>
      </c>
      <c r="H62" s="186" t="str">
        <f>IFERROR(Tab_Compteur_6[[#This Row],[Montant]]/Tab_Compteur_6[[#This Row],[Delta Jour]],"")</f>
        <v/>
      </c>
      <c r="I62" s="212" t="str">
        <f t="shared" si="1"/>
        <v/>
      </c>
      <c r="J62" s="209"/>
      <c r="K62" s="38"/>
      <c r="L62" s="38"/>
      <c r="M62" s="38"/>
    </row>
    <row r="63" spans="1:13">
      <c r="A63" s="55">
        <f t="shared" si="2"/>
        <v>1</v>
      </c>
      <c r="B63" s="87"/>
      <c r="C63" s="192"/>
      <c r="D63" s="195"/>
      <c r="E63" s="186"/>
      <c r="F63" s="186">
        <f t="shared" si="0"/>
        <v>0</v>
      </c>
      <c r="G63" s="186" t="str">
        <f>IF(IFERROR(IF(Str_TypeDonneesCpt6=Cpt_Index,Tab_Compteur_6[[#This Row],[Index]]-E62,Tab_Compteur_6[[#This Row],[Quantité]])/Tab_Compteur_6[[#This Row],[Delta Jour]],"")&lt;0,"",IFERROR(IF(Str_TypeDonneesCpt6=Cpt_Index,Tab_Compteur_6[[#This Row],[Index]]-E62,Tab_Compteur_6[[#This Row],[Quantité]])/Tab_Compteur_6[[#This Row],[Delta Jour]],""))</f>
        <v/>
      </c>
      <c r="H63" s="186" t="str">
        <f>IFERROR(Tab_Compteur_6[[#This Row],[Montant]]/Tab_Compteur_6[[#This Row],[Delta Jour]],"")</f>
        <v/>
      </c>
      <c r="I63" s="212" t="str">
        <f t="shared" si="1"/>
        <v/>
      </c>
      <c r="J63" s="209"/>
      <c r="K63" s="38"/>
      <c r="L63" s="38"/>
      <c r="M63" s="38"/>
    </row>
    <row r="64" spans="1:13">
      <c r="A64" s="55">
        <f t="shared" si="2"/>
        <v>1</v>
      </c>
      <c r="B64" s="87"/>
      <c r="C64" s="192"/>
      <c r="D64" s="195"/>
      <c r="E64" s="186"/>
      <c r="F64" s="186">
        <f t="shared" si="0"/>
        <v>0</v>
      </c>
      <c r="G64" s="186" t="str">
        <f>IF(IFERROR(IF(Str_TypeDonneesCpt6=Cpt_Index,Tab_Compteur_6[[#This Row],[Index]]-E63,Tab_Compteur_6[[#This Row],[Quantité]])/Tab_Compteur_6[[#This Row],[Delta Jour]],"")&lt;0,"",IFERROR(IF(Str_TypeDonneesCpt6=Cpt_Index,Tab_Compteur_6[[#This Row],[Index]]-E63,Tab_Compteur_6[[#This Row],[Quantité]])/Tab_Compteur_6[[#This Row],[Delta Jour]],""))</f>
        <v/>
      </c>
      <c r="H64" s="186" t="str">
        <f>IFERROR(Tab_Compteur_6[[#This Row],[Montant]]/Tab_Compteur_6[[#This Row],[Delta Jour]],"")</f>
        <v/>
      </c>
      <c r="I64" s="212" t="str">
        <f t="shared" si="1"/>
        <v/>
      </c>
      <c r="J64" s="209"/>
      <c r="K64" s="38"/>
      <c r="L64" s="38"/>
      <c r="M64" s="38"/>
    </row>
    <row r="65" spans="1:13">
      <c r="A65" s="55">
        <f t="shared" si="2"/>
        <v>1</v>
      </c>
      <c r="B65" s="87"/>
      <c r="C65" s="192"/>
      <c r="D65" s="195"/>
      <c r="E65" s="186"/>
      <c r="F65" s="186">
        <f t="shared" si="0"/>
        <v>0</v>
      </c>
      <c r="G65" s="186" t="str">
        <f>IF(IFERROR(IF(Str_TypeDonneesCpt6=Cpt_Index,Tab_Compteur_6[[#This Row],[Index]]-E64,Tab_Compteur_6[[#This Row],[Quantité]])/Tab_Compteur_6[[#This Row],[Delta Jour]],"")&lt;0,"",IFERROR(IF(Str_TypeDonneesCpt6=Cpt_Index,Tab_Compteur_6[[#This Row],[Index]]-E64,Tab_Compteur_6[[#This Row],[Quantité]])/Tab_Compteur_6[[#This Row],[Delta Jour]],""))</f>
        <v/>
      </c>
      <c r="H65" s="186" t="str">
        <f>IFERROR(Tab_Compteur_6[[#This Row],[Montant]]/Tab_Compteur_6[[#This Row],[Delta Jour]],"")</f>
        <v/>
      </c>
      <c r="I65" s="212" t="str">
        <f t="shared" si="1"/>
        <v/>
      </c>
      <c r="J65" s="209"/>
      <c r="K65" s="38"/>
      <c r="L65" s="38"/>
      <c r="M65" s="38"/>
    </row>
    <row r="66" spans="1:13">
      <c r="A66" s="55">
        <f t="shared" si="2"/>
        <v>1</v>
      </c>
      <c r="B66" s="87"/>
      <c r="C66" s="192"/>
      <c r="D66" s="195"/>
      <c r="E66" s="186"/>
      <c r="F66" s="186">
        <f t="shared" si="0"/>
        <v>0</v>
      </c>
      <c r="G66" s="186" t="str">
        <f>IF(IFERROR(IF(Str_TypeDonneesCpt6=Cpt_Index,Tab_Compteur_6[[#This Row],[Index]]-E65,Tab_Compteur_6[[#This Row],[Quantité]])/Tab_Compteur_6[[#This Row],[Delta Jour]],"")&lt;0,"",IFERROR(IF(Str_TypeDonneesCpt6=Cpt_Index,Tab_Compteur_6[[#This Row],[Index]]-E65,Tab_Compteur_6[[#This Row],[Quantité]])/Tab_Compteur_6[[#This Row],[Delta Jour]],""))</f>
        <v/>
      </c>
      <c r="H66" s="186" t="str">
        <f>IFERROR(Tab_Compteur_6[[#This Row],[Montant]]/Tab_Compteur_6[[#This Row],[Delta Jour]],"")</f>
        <v/>
      </c>
      <c r="I66" s="212" t="str">
        <f t="shared" si="1"/>
        <v/>
      </c>
      <c r="J66" s="209"/>
      <c r="K66" s="38"/>
      <c r="L66" s="38"/>
      <c r="M66" s="38"/>
    </row>
    <row r="67" spans="1:13">
      <c r="A67" s="55">
        <f t="shared" si="2"/>
        <v>1</v>
      </c>
      <c r="B67" s="87"/>
      <c r="C67" s="192"/>
      <c r="D67" s="195"/>
      <c r="E67" s="186"/>
      <c r="F67" s="186">
        <f t="shared" ref="F67:F130" si="3">IFERROR(B67-A67+1,"")</f>
        <v>0</v>
      </c>
      <c r="G67" s="186" t="str">
        <f>IF(IFERROR(IF(Str_TypeDonneesCpt6=Cpt_Index,Tab_Compteur_6[[#This Row],[Index]]-E66,Tab_Compteur_6[[#This Row],[Quantité]])/Tab_Compteur_6[[#This Row],[Delta Jour]],"")&lt;0,"",IFERROR(IF(Str_TypeDonneesCpt6=Cpt_Index,Tab_Compteur_6[[#This Row],[Index]]-E66,Tab_Compteur_6[[#This Row],[Quantité]])/Tab_Compteur_6[[#This Row],[Delta Jour]],""))</f>
        <v/>
      </c>
      <c r="H67" s="186" t="str">
        <f>IFERROR(Tab_Compteur_6[[#This Row],[Montant]]/Tab_Compteur_6[[#This Row],[Delta Jour]],"")</f>
        <v/>
      </c>
      <c r="I67" s="212" t="str">
        <f t="shared" ref="I67:I130" si="4">G67</f>
        <v/>
      </c>
      <c r="J67" s="209"/>
      <c r="K67" s="38"/>
      <c r="L67" s="38"/>
      <c r="M67" s="38"/>
    </row>
    <row r="68" spans="1:13">
      <c r="A68" s="55">
        <f t="shared" si="2"/>
        <v>1</v>
      </c>
      <c r="B68" s="87"/>
      <c r="C68" s="192"/>
      <c r="D68" s="195"/>
      <c r="E68" s="186"/>
      <c r="F68" s="186">
        <f t="shared" si="3"/>
        <v>0</v>
      </c>
      <c r="G68" s="186" t="str">
        <f>IF(IFERROR(IF(Str_TypeDonneesCpt6=Cpt_Index,Tab_Compteur_6[[#This Row],[Index]]-E67,Tab_Compteur_6[[#This Row],[Quantité]])/Tab_Compteur_6[[#This Row],[Delta Jour]],"")&lt;0,"",IFERROR(IF(Str_TypeDonneesCpt6=Cpt_Index,Tab_Compteur_6[[#This Row],[Index]]-E67,Tab_Compteur_6[[#This Row],[Quantité]])/Tab_Compteur_6[[#This Row],[Delta Jour]],""))</f>
        <v/>
      </c>
      <c r="H68" s="186" t="str">
        <f>IFERROR(Tab_Compteur_6[[#This Row],[Montant]]/Tab_Compteur_6[[#This Row],[Delta Jour]],"")</f>
        <v/>
      </c>
      <c r="I68" s="212" t="str">
        <f t="shared" si="4"/>
        <v/>
      </c>
      <c r="J68" s="209"/>
      <c r="K68" s="38"/>
      <c r="L68" s="38"/>
      <c r="M68" s="38"/>
    </row>
    <row r="69" spans="1:13">
      <c r="A69" s="55">
        <f t="shared" si="2"/>
        <v>1</v>
      </c>
      <c r="B69" s="87"/>
      <c r="C69" s="192"/>
      <c r="D69" s="195"/>
      <c r="E69" s="186"/>
      <c r="F69" s="186">
        <f t="shared" si="3"/>
        <v>0</v>
      </c>
      <c r="G69" s="186" t="str">
        <f>IF(IFERROR(IF(Str_TypeDonneesCpt6=Cpt_Index,Tab_Compteur_6[[#This Row],[Index]]-E68,Tab_Compteur_6[[#This Row],[Quantité]])/Tab_Compteur_6[[#This Row],[Delta Jour]],"")&lt;0,"",IFERROR(IF(Str_TypeDonneesCpt6=Cpt_Index,Tab_Compteur_6[[#This Row],[Index]]-E68,Tab_Compteur_6[[#This Row],[Quantité]])/Tab_Compteur_6[[#This Row],[Delta Jour]],""))</f>
        <v/>
      </c>
      <c r="H69" s="186" t="str">
        <f>IFERROR(Tab_Compteur_6[[#This Row],[Montant]]/Tab_Compteur_6[[#This Row],[Delta Jour]],"")</f>
        <v/>
      </c>
      <c r="I69" s="212" t="str">
        <f t="shared" si="4"/>
        <v/>
      </c>
      <c r="J69" s="209"/>
      <c r="K69" s="38"/>
      <c r="L69" s="38"/>
      <c r="M69" s="38"/>
    </row>
    <row r="70" spans="1:13">
      <c r="A70" s="55">
        <f t="shared" ref="A70:A133" si="5">IFERROR(B69+1,0)</f>
        <v>1</v>
      </c>
      <c r="B70" s="87"/>
      <c r="C70" s="192"/>
      <c r="D70" s="195"/>
      <c r="E70" s="186"/>
      <c r="F70" s="186">
        <f t="shared" si="3"/>
        <v>0</v>
      </c>
      <c r="G70" s="186" t="str">
        <f>IF(IFERROR(IF(Str_TypeDonneesCpt6=Cpt_Index,Tab_Compteur_6[[#This Row],[Index]]-E69,Tab_Compteur_6[[#This Row],[Quantité]])/Tab_Compteur_6[[#This Row],[Delta Jour]],"")&lt;0,"",IFERROR(IF(Str_TypeDonneesCpt6=Cpt_Index,Tab_Compteur_6[[#This Row],[Index]]-E69,Tab_Compteur_6[[#This Row],[Quantité]])/Tab_Compteur_6[[#This Row],[Delta Jour]],""))</f>
        <v/>
      </c>
      <c r="H70" s="186" t="str">
        <f>IFERROR(Tab_Compteur_6[[#This Row],[Montant]]/Tab_Compteur_6[[#This Row],[Delta Jour]],"")</f>
        <v/>
      </c>
      <c r="I70" s="212" t="str">
        <f t="shared" si="4"/>
        <v/>
      </c>
      <c r="J70" s="209"/>
      <c r="K70" s="38"/>
      <c r="L70" s="38"/>
      <c r="M70" s="38"/>
    </row>
    <row r="71" spans="1:13">
      <c r="A71" s="55">
        <f t="shared" si="5"/>
        <v>1</v>
      </c>
      <c r="B71" s="87"/>
      <c r="C71" s="192"/>
      <c r="D71" s="195"/>
      <c r="E71" s="186"/>
      <c r="F71" s="186">
        <f t="shared" si="3"/>
        <v>0</v>
      </c>
      <c r="G71" s="186" t="str">
        <f>IF(IFERROR(IF(Str_TypeDonneesCpt6=Cpt_Index,Tab_Compteur_6[[#This Row],[Index]]-E70,Tab_Compteur_6[[#This Row],[Quantité]])/Tab_Compteur_6[[#This Row],[Delta Jour]],"")&lt;0,"",IFERROR(IF(Str_TypeDonneesCpt6=Cpt_Index,Tab_Compteur_6[[#This Row],[Index]]-E70,Tab_Compteur_6[[#This Row],[Quantité]])/Tab_Compteur_6[[#This Row],[Delta Jour]],""))</f>
        <v/>
      </c>
      <c r="H71" s="186" t="str">
        <f>IFERROR(Tab_Compteur_6[[#This Row],[Montant]]/Tab_Compteur_6[[#This Row],[Delta Jour]],"")</f>
        <v/>
      </c>
      <c r="I71" s="212" t="str">
        <f t="shared" si="4"/>
        <v/>
      </c>
      <c r="J71" s="209"/>
      <c r="K71" s="38"/>
      <c r="L71" s="38"/>
      <c r="M71" s="38"/>
    </row>
    <row r="72" spans="1:13">
      <c r="A72" s="55">
        <f t="shared" si="5"/>
        <v>1</v>
      </c>
      <c r="B72" s="87"/>
      <c r="C72" s="192"/>
      <c r="D72" s="195"/>
      <c r="E72" s="186"/>
      <c r="F72" s="186">
        <f t="shared" si="3"/>
        <v>0</v>
      </c>
      <c r="G72" s="186" t="str">
        <f>IF(IFERROR(IF(Str_TypeDonneesCpt6=Cpt_Index,Tab_Compteur_6[[#This Row],[Index]]-E71,Tab_Compteur_6[[#This Row],[Quantité]])/Tab_Compteur_6[[#This Row],[Delta Jour]],"")&lt;0,"",IFERROR(IF(Str_TypeDonneesCpt6=Cpt_Index,Tab_Compteur_6[[#This Row],[Index]]-E71,Tab_Compteur_6[[#This Row],[Quantité]])/Tab_Compteur_6[[#This Row],[Delta Jour]],""))</f>
        <v/>
      </c>
      <c r="H72" s="186" t="str">
        <f>IFERROR(Tab_Compteur_6[[#This Row],[Montant]]/Tab_Compteur_6[[#This Row],[Delta Jour]],"")</f>
        <v/>
      </c>
      <c r="I72" s="212" t="str">
        <f t="shared" si="4"/>
        <v/>
      </c>
      <c r="J72" s="209"/>
      <c r="K72" s="38"/>
      <c r="L72" s="38"/>
      <c r="M72" s="38"/>
    </row>
    <row r="73" spans="1:13">
      <c r="A73" s="55">
        <f t="shared" si="5"/>
        <v>1</v>
      </c>
      <c r="B73" s="87"/>
      <c r="C73" s="192"/>
      <c r="D73" s="195"/>
      <c r="E73" s="186"/>
      <c r="F73" s="186">
        <f t="shared" si="3"/>
        <v>0</v>
      </c>
      <c r="G73" s="186" t="str">
        <f>IF(IFERROR(IF(Str_TypeDonneesCpt6=Cpt_Index,Tab_Compteur_6[[#This Row],[Index]]-E72,Tab_Compteur_6[[#This Row],[Quantité]])/Tab_Compteur_6[[#This Row],[Delta Jour]],"")&lt;0,"",IFERROR(IF(Str_TypeDonneesCpt6=Cpt_Index,Tab_Compteur_6[[#This Row],[Index]]-E72,Tab_Compteur_6[[#This Row],[Quantité]])/Tab_Compteur_6[[#This Row],[Delta Jour]],""))</f>
        <v/>
      </c>
      <c r="H73" s="186" t="str">
        <f>IFERROR(Tab_Compteur_6[[#This Row],[Montant]]/Tab_Compteur_6[[#This Row],[Delta Jour]],"")</f>
        <v/>
      </c>
      <c r="I73" s="212" t="str">
        <f t="shared" si="4"/>
        <v/>
      </c>
      <c r="J73" s="209"/>
      <c r="K73" s="38"/>
      <c r="L73" s="38"/>
      <c r="M73" s="38"/>
    </row>
    <row r="74" spans="1:13">
      <c r="A74" s="55">
        <f t="shared" si="5"/>
        <v>1</v>
      </c>
      <c r="B74" s="87"/>
      <c r="C74" s="192"/>
      <c r="D74" s="195"/>
      <c r="E74" s="186"/>
      <c r="F74" s="186">
        <f t="shared" si="3"/>
        <v>0</v>
      </c>
      <c r="G74" s="186" t="str">
        <f>IF(IFERROR(IF(Str_TypeDonneesCpt6=Cpt_Index,Tab_Compteur_6[[#This Row],[Index]]-E73,Tab_Compteur_6[[#This Row],[Quantité]])/Tab_Compteur_6[[#This Row],[Delta Jour]],"")&lt;0,"",IFERROR(IF(Str_TypeDonneesCpt6=Cpt_Index,Tab_Compteur_6[[#This Row],[Index]]-E73,Tab_Compteur_6[[#This Row],[Quantité]])/Tab_Compteur_6[[#This Row],[Delta Jour]],""))</f>
        <v/>
      </c>
      <c r="H74" s="186" t="str">
        <f>IFERROR(Tab_Compteur_6[[#This Row],[Montant]]/Tab_Compteur_6[[#This Row],[Delta Jour]],"")</f>
        <v/>
      </c>
      <c r="I74" s="212" t="str">
        <f t="shared" si="4"/>
        <v/>
      </c>
      <c r="J74" s="209"/>
      <c r="K74" s="38"/>
      <c r="L74" s="38"/>
      <c r="M74" s="38"/>
    </row>
    <row r="75" spans="1:13">
      <c r="A75" s="55">
        <f t="shared" si="5"/>
        <v>1</v>
      </c>
      <c r="B75" s="87"/>
      <c r="C75" s="192"/>
      <c r="D75" s="195"/>
      <c r="E75" s="186"/>
      <c r="F75" s="186">
        <f t="shared" si="3"/>
        <v>0</v>
      </c>
      <c r="G75" s="186" t="str">
        <f>IF(IFERROR(IF(Str_TypeDonneesCpt6=Cpt_Index,Tab_Compteur_6[[#This Row],[Index]]-E74,Tab_Compteur_6[[#This Row],[Quantité]])/Tab_Compteur_6[[#This Row],[Delta Jour]],"")&lt;0,"",IFERROR(IF(Str_TypeDonneesCpt6=Cpt_Index,Tab_Compteur_6[[#This Row],[Index]]-E74,Tab_Compteur_6[[#This Row],[Quantité]])/Tab_Compteur_6[[#This Row],[Delta Jour]],""))</f>
        <v/>
      </c>
      <c r="H75" s="186" t="str">
        <f>IFERROR(Tab_Compteur_6[[#This Row],[Montant]]/Tab_Compteur_6[[#This Row],[Delta Jour]],"")</f>
        <v/>
      </c>
      <c r="I75" s="212" t="str">
        <f t="shared" si="4"/>
        <v/>
      </c>
      <c r="J75" s="209"/>
      <c r="K75" s="38"/>
      <c r="L75" s="38"/>
      <c r="M75" s="38"/>
    </row>
    <row r="76" spans="1:13">
      <c r="A76" s="55">
        <f t="shared" si="5"/>
        <v>1</v>
      </c>
      <c r="B76" s="87"/>
      <c r="C76" s="192"/>
      <c r="D76" s="195"/>
      <c r="E76" s="186"/>
      <c r="F76" s="186">
        <f t="shared" si="3"/>
        <v>0</v>
      </c>
      <c r="G76" s="186" t="str">
        <f>IF(IFERROR(IF(Str_TypeDonneesCpt6=Cpt_Index,Tab_Compteur_6[[#This Row],[Index]]-E75,Tab_Compteur_6[[#This Row],[Quantité]])/Tab_Compteur_6[[#This Row],[Delta Jour]],"")&lt;0,"",IFERROR(IF(Str_TypeDonneesCpt6=Cpt_Index,Tab_Compteur_6[[#This Row],[Index]]-E75,Tab_Compteur_6[[#This Row],[Quantité]])/Tab_Compteur_6[[#This Row],[Delta Jour]],""))</f>
        <v/>
      </c>
      <c r="H76" s="186" t="str">
        <f>IFERROR(Tab_Compteur_6[[#This Row],[Montant]]/Tab_Compteur_6[[#This Row],[Delta Jour]],"")</f>
        <v/>
      </c>
      <c r="I76" s="212" t="str">
        <f t="shared" si="4"/>
        <v/>
      </c>
      <c r="J76" s="209"/>
      <c r="K76" s="38"/>
      <c r="L76" s="38"/>
      <c r="M76" s="38"/>
    </row>
    <row r="77" spans="1:13">
      <c r="A77" s="55">
        <f t="shared" si="5"/>
        <v>1</v>
      </c>
      <c r="B77" s="87"/>
      <c r="C77" s="192"/>
      <c r="D77" s="195"/>
      <c r="E77" s="186"/>
      <c r="F77" s="186">
        <f t="shared" si="3"/>
        <v>0</v>
      </c>
      <c r="G77" s="186" t="str">
        <f>IF(IFERROR(IF(Str_TypeDonneesCpt6=Cpt_Index,Tab_Compteur_6[[#This Row],[Index]]-E76,Tab_Compteur_6[[#This Row],[Quantité]])/Tab_Compteur_6[[#This Row],[Delta Jour]],"")&lt;0,"",IFERROR(IF(Str_TypeDonneesCpt6=Cpt_Index,Tab_Compteur_6[[#This Row],[Index]]-E76,Tab_Compteur_6[[#This Row],[Quantité]])/Tab_Compteur_6[[#This Row],[Delta Jour]],""))</f>
        <v/>
      </c>
      <c r="H77" s="186" t="str">
        <f>IFERROR(Tab_Compteur_6[[#This Row],[Montant]]/Tab_Compteur_6[[#This Row],[Delta Jour]],"")</f>
        <v/>
      </c>
      <c r="I77" s="212" t="str">
        <f t="shared" si="4"/>
        <v/>
      </c>
      <c r="J77" s="209"/>
      <c r="K77" s="38"/>
      <c r="L77" s="38"/>
      <c r="M77" s="38"/>
    </row>
    <row r="78" spans="1:13">
      <c r="A78" s="55">
        <f t="shared" si="5"/>
        <v>1</v>
      </c>
      <c r="B78" s="87"/>
      <c r="C78" s="192"/>
      <c r="D78" s="195"/>
      <c r="E78" s="186"/>
      <c r="F78" s="186">
        <f t="shared" si="3"/>
        <v>0</v>
      </c>
      <c r="G78" s="186" t="str">
        <f>IF(IFERROR(IF(Str_TypeDonneesCpt6=Cpt_Index,Tab_Compteur_6[[#This Row],[Index]]-E77,Tab_Compteur_6[[#This Row],[Quantité]])/Tab_Compteur_6[[#This Row],[Delta Jour]],"")&lt;0,"",IFERROR(IF(Str_TypeDonneesCpt6=Cpt_Index,Tab_Compteur_6[[#This Row],[Index]]-E77,Tab_Compteur_6[[#This Row],[Quantité]])/Tab_Compteur_6[[#This Row],[Delta Jour]],""))</f>
        <v/>
      </c>
      <c r="H78" s="186" t="str">
        <f>IFERROR(Tab_Compteur_6[[#This Row],[Montant]]/Tab_Compteur_6[[#This Row],[Delta Jour]],"")</f>
        <v/>
      </c>
      <c r="I78" s="212" t="str">
        <f t="shared" si="4"/>
        <v/>
      </c>
      <c r="J78" s="209"/>
      <c r="K78" s="38"/>
      <c r="L78" s="38"/>
      <c r="M78" s="38"/>
    </row>
    <row r="79" spans="1:13">
      <c r="A79" s="55">
        <f t="shared" si="5"/>
        <v>1</v>
      </c>
      <c r="B79" s="87"/>
      <c r="C79" s="192"/>
      <c r="D79" s="195"/>
      <c r="E79" s="186"/>
      <c r="F79" s="186">
        <f t="shared" si="3"/>
        <v>0</v>
      </c>
      <c r="G79" s="186" t="str">
        <f>IF(IFERROR(IF(Str_TypeDonneesCpt6=Cpt_Index,Tab_Compteur_6[[#This Row],[Index]]-E78,Tab_Compteur_6[[#This Row],[Quantité]])/Tab_Compteur_6[[#This Row],[Delta Jour]],"")&lt;0,"",IFERROR(IF(Str_TypeDonneesCpt6=Cpt_Index,Tab_Compteur_6[[#This Row],[Index]]-E78,Tab_Compteur_6[[#This Row],[Quantité]])/Tab_Compteur_6[[#This Row],[Delta Jour]],""))</f>
        <v/>
      </c>
      <c r="H79" s="186" t="str">
        <f>IFERROR(Tab_Compteur_6[[#This Row],[Montant]]/Tab_Compteur_6[[#This Row],[Delta Jour]],"")</f>
        <v/>
      </c>
      <c r="I79" s="212" t="str">
        <f t="shared" si="4"/>
        <v/>
      </c>
      <c r="J79" s="209"/>
      <c r="K79" s="38"/>
      <c r="L79" s="38"/>
      <c r="M79" s="38"/>
    </row>
    <row r="80" spans="1:13">
      <c r="A80" s="55">
        <f t="shared" si="5"/>
        <v>1</v>
      </c>
      <c r="B80" s="87"/>
      <c r="C80" s="192"/>
      <c r="D80" s="195"/>
      <c r="E80" s="186"/>
      <c r="F80" s="186">
        <f t="shared" si="3"/>
        <v>0</v>
      </c>
      <c r="G80" s="186" t="str">
        <f>IF(IFERROR(IF(Str_TypeDonneesCpt6=Cpt_Index,Tab_Compteur_6[[#This Row],[Index]]-E79,Tab_Compteur_6[[#This Row],[Quantité]])/Tab_Compteur_6[[#This Row],[Delta Jour]],"")&lt;0,"",IFERROR(IF(Str_TypeDonneesCpt6=Cpt_Index,Tab_Compteur_6[[#This Row],[Index]]-E79,Tab_Compteur_6[[#This Row],[Quantité]])/Tab_Compteur_6[[#This Row],[Delta Jour]],""))</f>
        <v/>
      </c>
      <c r="H80" s="186" t="str">
        <f>IFERROR(Tab_Compteur_6[[#This Row],[Montant]]/Tab_Compteur_6[[#This Row],[Delta Jour]],"")</f>
        <v/>
      </c>
      <c r="I80" s="212" t="str">
        <f t="shared" si="4"/>
        <v/>
      </c>
      <c r="J80" s="209"/>
      <c r="K80" s="38"/>
      <c r="L80" s="38"/>
      <c r="M80" s="38"/>
    </row>
    <row r="81" spans="1:13">
      <c r="A81" s="55">
        <f t="shared" si="5"/>
        <v>1</v>
      </c>
      <c r="B81" s="87"/>
      <c r="C81" s="192"/>
      <c r="D81" s="195"/>
      <c r="E81" s="186"/>
      <c r="F81" s="186">
        <f t="shared" si="3"/>
        <v>0</v>
      </c>
      <c r="G81" s="186" t="str">
        <f>IF(IFERROR(IF(Str_TypeDonneesCpt6=Cpt_Index,Tab_Compteur_6[[#This Row],[Index]]-E80,Tab_Compteur_6[[#This Row],[Quantité]])/Tab_Compteur_6[[#This Row],[Delta Jour]],"")&lt;0,"",IFERROR(IF(Str_TypeDonneesCpt6=Cpt_Index,Tab_Compteur_6[[#This Row],[Index]]-E80,Tab_Compteur_6[[#This Row],[Quantité]])/Tab_Compteur_6[[#This Row],[Delta Jour]],""))</f>
        <v/>
      </c>
      <c r="H81" s="186" t="str">
        <f>IFERROR(Tab_Compteur_6[[#This Row],[Montant]]/Tab_Compteur_6[[#This Row],[Delta Jour]],"")</f>
        <v/>
      </c>
      <c r="I81" s="212" t="str">
        <f t="shared" si="4"/>
        <v/>
      </c>
      <c r="J81" s="209"/>
      <c r="K81" s="38"/>
      <c r="L81" s="38"/>
      <c r="M81" s="38"/>
    </row>
    <row r="82" spans="1:13">
      <c r="A82" s="55">
        <f t="shared" si="5"/>
        <v>1</v>
      </c>
      <c r="B82" s="87"/>
      <c r="C82" s="192"/>
      <c r="D82" s="195"/>
      <c r="E82" s="186"/>
      <c r="F82" s="186">
        <f t="shared" si="3"/>
        <v>0</v>
      </c>
      <c r="G82" s="186" t="str">
        <f>IF(IFERROR(IF(Str_TypeDonneesCpt6=Cpt_Index,Tab_Compteur_6[[#This Row],[Index]]-E81,Tab_Compteur_6[[#This Row],[Quantité]])/Tab_Compteur_6[[#This Row],[Delta Jour]],"")&lt;0,"",IFERROR(IF(Str_TypeDonneesCpt6=Cpt_Index,Tab_Compteur_6[[#This Row],[Index]]-E81,Tab_Compteur_6[[#This Row],[Quantité]])/Tab_Compteur_6[[#This Row],[Delta Jour]],""))</f>
        <v/>
      </c>
      <c r="H82" s="186" t="str">
        <f>IFERROR(Tab_Compteur_6[[#This Row],[Montant]]/Tab_Compteur_6[[#This Row],[Delta Jour]],"")</f>
        <v/>
      </c>
      <c r="I82" s="212" t="str">
        <f t="shared" si="4"/>
        <v/>
      </c>
      <c r="J82" s="209"/>
      <c r="K82" s="38"/>
      <c r="L82" s="38"/>
      <c r="M82" s="38"/>
    </row>
    <row r="83" spans="1:13">
      <c r="A83" s="55">
        <f t="shared" si="5"/>
        <v>1</v>
      </c>
      <c r="B83" s="87"/>
      <c r="C83" s="192"/>
      <c r="D83" s="195"/>
      <c r="E83" s="186"/>
      <c r="F83" s="186">
        <f t="shared" si="3"/>
        <v>0</v>
      </c>
      <c r="G83" s="186" t="str">
        <f>IF(IFERROR(IF(Str_TypeDonneesCpt6=Cpt_Index,Tab_Compteur_6[[#This Row],[Index]]-E82,Tab_Compteur_6[[#This Row],[Quantité]])/Tab_Compteur_6[[#This Row],[Delta Jour]],"")&lt;0,"",IFERROR(IF(Str_TypeDonneesCpt6=Cpt_Index,Tab_Compteur_6[[#This Row],[Index]]-E82,Tab_Compteur_6[[#This Row],[Quantité]])/Tab_Compteur_6[[#This Row],[Delta Jour]],""))</f>
        <v/>
      </c>
      <c r="H83" s="186" t="str">
        <f>IFERROR(Tab_Compteur_6[[#This Row],[Montant]]/Tab_Compteur_6[[#This Row],[Delta Jour]],"")</f>
        <v/>
      </c>
      <c r="I83" s="212" t="str">
        <f t="shared" si="4"/>
        <v/>
      </c>
      <c r="J83" s="209"/>
      <c r="K83" s="38"/>
      <c r="L83" s="38"/>
      <c r="M83" s="38"/>
    </row>
    <row r="84" spans="1:13">
      <c r="A84" s="55">
        <f t="shared" si="5"/>
        <v>1</v>
      </c>
      <c r="B84" s="87"/>
      <c r="C84" s="192"/>
      <c r="D84" s="195"/>
      <c r="E84" s="186"/>
      <c r="F84" s="186">
        <f t="shared" si="3"/>
        <v>0</v>
      </c>
      <c r="G84" s="186" t="str">
        <f>IF(IFERROR(IF(Str_TypeDonneesCpt6=Cpt_Index,Tab_Compteur_6[[#This Row],[Index]]-E83,Tab_Compteur_6[[#This Row],[Quantité]])/Tab_Compteur_6[[#This Row],[Delta Jour]],"")&lt;0,"",IFERROR(IF(Str_TypeDonneesCpt6=Cpt_Index,Tab_Compteur_6[[#This Row],[Index]]-E83,Tab_Compteur_6[[#This Row],[Quantité]])/Tab_Compteur_6[[#This Row],[Delta Jour]],""))</f>
        <v/>
      </c>
      <c r="H84" s="186" t="str">
        <f>IFERROR(Tab_Compteur_6[[#This Row],[Montant]]/Tab_Compteur_6[[#This Row],[Delta Jour]],"")</f>
        <v/>
      </c>
      <c r="I84" s="212" t="str">
        <f t="shared" si="4"/>
        <v/>
      </c>
      <c r="J84" s="209"/>
      <c r="K84" s="38"/>
      <c r="L84" s="38"/>
      <c r="M84" s="38"/>
    </row>
    <row r="85" spans="1:13">
      <c r="A85" s="55">
        <f t="shared" si="5"/>
        <v>1</v>
      </c>
      <c r="B85" s="87"/>
      <c r="C85" s="192"/>
      <c r="D85" s="195"/>
      <c r="E85" s="186"/>
      <c r="F85" s="186">
        <f t="shared" si="3"/>
        <v>0</v>
      </c>
      <c r="G85" s="186" t="str">
        <f>IF(IFERROR(IF(Str_TypeDonneesCpt6=Cpt_Index,Tab_Compteur_6[[#This Row],[Index]]-E84,Tab_Compteur_6[[#This Row],[Quantité]])/Tab_Compteur_6[[#This Row],[Delta Jour]],"")&lt;0,"",IFERROR(IF(Str_TypeDonneesCpt6=Cpt_Index,Tab_Compteur_6[[#This Row],[Index]]-E84,Tab_Compteur_6[[#This Row],[Quantité]])/Tab_Compteur_6[[#This Row],[Delta Jour]],""))</f>
        <v/>
      </c>
      <c r="H85" s="186" t="str">
        <f>IFERROR(Tab_Compteur_6[[#This Row],[Montant]]/Tab_Compteur_6[[#This Row],[Delta Jour]],"")</f>
        <v/>
      </c>
      <c r="I85" s="212" t="str">
        <f t="shared" si="4"/>
        <v/>
      </c>
      <c r="J85" s="209"/>
      <c r="K85" s="38"/>
      <c r="L85" s="38"/>
      <c r="M85" s="38"/>
    </row>
    <row r="86" spans="1:13">
      <c r="A86" s="55">
        <f t="shared" si="5"/>
        <v>1</v>
      </c>
      <c r="B86" s="87"/>
      <c r="C86" s="192"/>
      <c r="D86" s="195"/>
      <c r="E86" s="186"/>
      <c r="F86" s="186">
        <f t="shared" si="3"/>
        <v>0</v>
      </c>
      <c r="G86" s="186" t="str">
        <f>IF(IFERROR(IF(Str_TypeDonneesCpt6=Cpt_Index,Tab_Compteur_6[[#This Row],[Index]]-E85,Tab_Compteur_6[[#This Row],[Quantité]])/Tab_Compteur_6[[#This Row],[Delta Jour]],"")&lt;0,"",IFERROR(IF(Str_TypeDonneesCpt6=Cpt_Index,Tab_Compteur_6[[#This Row],[Index]]-E85,Tab_Compteur_6[[#This Row],[Quantité]])/Tab_Compteur_6[[#This Row],[Delta Jour]],""))</f>
        <v/>
      </c>
      <c r="H86" s="186" t="str">
        <f>IFERROR(Tab_Compteur_6[[#This Row],[Montant]]/Tab_Compteur_6[[#This Row],[Delta Jour]],"")</f>
        <v/>
      </c>
      <c r="I86" s="212" t="str">
        <f t="shared" si="4"/>
        <v/>
      </c>
      <c r="J86" s="209"/>
      <c r="K86" s="38"/>
      <c r="L86" s="38"/>
      <c r="M86" s="38"/>
    </row>
    <row r="87" spans="1:13">
      <c r="A87" s="55">
        <f t="shared" si="5"/>
        <v>1</v>
      </c>
      <c r="B87" s="87"/>
      <c r="C87" s="192"/>
      <c r="D87" s="195"/>
      <c r="E87" s="186"/>
      <c r="F87" s="186">
        <f t="shared" si="3"/>
        <v>0</v>
      </c>
      <c r="G87" s="186" t="str">
        <f>IF(IFERROR(IF(Str_TypeDonneesCpt6=Cpt_Index,Tab_Compteur_6[[#This Row],[Index]]-E86,Tab_Compteur_6[[#This Row],[Quantité]])/Tab_Compteur_6[[#This Row],[Delta Jour]],"")&lt;0,"",IFERROR(IF(Str_TypeDonneesCpt6=Cpt_Index,Tab_Compteur_6[[#This Row],[Index]]-E86,Tab_Compteur_6[[#This Row],[Quantité]])/Tab_Compteur_6[[#This Row],[Delta Jour]],""))</f>
        <v/>
      </c>
      <c r="H87" s="186" t="str">
        <f>IFERROR(Tab_Compteur_6[[#This Row],[Montant]]/Tab_Compteur_6[[#This Row],[Delta Jour]],"")</f>
        <v/>
      </c>
      <c r="I87" s="212" t="str">
        <f t="shared" si="4"/>
        <v/>
      </c>
      <c r="J87" s="209"/>
      <c r="K87" s="38"/>
      <c r="L87" s="38"/>
      <c r="M87" s="38"/>
    </row>
    <row r="88" spans="1:13">
      <c r="A88" s="55">
        <f t="shared" si="5"/>
        <v>1</v>
      </c>
      <c r="B88" s="87"/>
      <c r="C88" s="192"/>
      <c r="D88" s="195"/>
      <c r="E88" s="186"/>
      <c r="F88" s="186">
        <f t="shared" si="3"/>
        <v>0</v>
      </c>
      <c r="G88" s="186" t="str">
        <f>IF(IFERROR(IF(Str_TypeDonneesCpt6=Cpt_Index,Tab_Compteur_6[[#This Row],[Index]]-E87,Tab_Compteur_6[[#This Row],[Quantité]])/Tab_Compteur_6[[#This Row],[Delta Jour]],"")&lt;0,"",IFERROR(IF(Str_TypeDonneesCpt6=Cpt_Index,Tab_Compteur_6[[#This Row],[Index]]-E87,Tab_Compteur_6[[#This Row],[Quantité]])/Tab_Compteur_6[[#This Row],[Delta Jour]],""))</f>
        <v/>
      </c>
      <c r="H88" s="186" t="str">
        <f>IFERROR(Tab_Compteur_6[[#This Row],[Montant]]/Tab_Compteur_6[[#This Row],[Delta Jour]],"")</f>
        <v/>
      </c>
      <c r="I88" s="212" t="str">
        <f t="shared" si="4"/>
        <v/>
      </c>
      <c r="J88" s="209"/>
      <c r="K88" s="38"/>
      <c r="L88" s="38"/>
      <c r="M88" s="38"/>
    </row>
    <row r="89" spans="1:13">
      <c r="A89" s="55">
        <f t="shared" si="5"/>
        <v>1</v>
      </c>
      <c r="B89" s="87"/>
      <c r="C89" s="192"/>
      <c r="D89" s="195"/>
      <c r="E89" s="186"/>
      <c r="F89" s="186">
        <f t="shared" si="3"/>
        <v>0</v>
      </c>
      <c r="G89" s="186" t="str">
        <f>IF(IFERROR(IF(Str_TypeDonneesCpt6=Cpt_Index,Tab_Compteur_6[[#This Row],[Index]]-E88,Tab_Compteur_6[[#This Row],[Quantité]])/Tab_Compteur_6[[#This Row],[Delta Jour]],"")&lt;0,"",IFERROR(IF(Str_TypeDonneesCpt6=Cpt_Index,Tab_Compteur_6[[#This Row],[Index]]-E88,Tab_Compteur_6[[#This Row],[Quantité]])/Tab_Compteur_6[[#This Row],[Delta Jour]],""))</f>
        <v/>
      </c>
      <c r="H89" s="186" t="str">
        <f>IFERROR(Tab_Compteur_6[[#This Row],[Montant]]/Tab_Compteur_6[[#This Row],[Delta Jour]],"")</f>
        <v/>
      </c>
      <c r="I89" s="212" t="str">
        <f t="shared" si="4"/>
        <v/>
      </c>
      <c r="J89" s="209"/>
      <c r="K89" s="38"/>
      <c r="L89" s="38"/>
      <c r="M89" s="38"/>
    </row>
    <row r="90" spans="1:13">
      <c r="A90" s="55">
        <f t="shared" si="5"/>
        <v>1</v>
      </c>
      <c r="B90" s="87"/>
      <c r="C90" s="192"/>
      <c r="D90" s="195"/>
      <c r="E90" s="186"/>
      <c r="F90" s="186">
        <f t="shared" si="3"/>
        <v>0</v>
      </c>
      <c r="G90" s="186" t="str">
        <f>IF(IFERROR(IF(Str_TypeDonneesCpt6=Cpt_Index,Tab_Compteur_6[[#This Row],[Index]]-E89,Tab_Compteur_6[[#This Row],[Quantité]])/Tab_Compteur_6[[#This Row],[Delta Jour]],"")&lt;0,"",IFERROR(IF(Str_TypeDonneesCpt6=Cpt_Index,Tab_Compteur_6[[#This Row],[Index]]-E89,Tab_Compteur_6[[#This Row],[Quantité]])/Tab_Compteur_6[[#This Row],[Delta Jour]],""))</f>
        <v/>
      </c>
      <c r="H90" s="186" t="str">
        <f>IFERROR(Tab_Compteur_6[[#This Row],[Montant]]/Tab_Compteur_6[[#This Row],[Delta Jour]],"")</f>
        <v/>
      </c>
      <c r="I90" s="212" t="str">
        <f t="shared" si="4"/>
        <v/>
      </c>
      <c r="J90" s="209"/>
      <c r="K90" s="38"/>
      <c r="L90" s="38"/>
      <c r="M90" s="38"/>
    </row>
    <row r="91" spans="1:13">
      <c r="A91" s="55">
        <f t="shared" si="5"/>
        <v>1</v>
      </c>
      <c r="B91" s="87"/>
      <c r="C91" s="192"/>
      <c r="D91" s="195"/>
      <c r="E91" s="186"/>
      <c r="F91" s="186">
        <f t="shared" si="3"/>
        <v>0</v>
      </c>
      <c r="G91" s="186" t="str">
        <f>IF(IFERROR(IF(Str_TypeDonneesCpt6=Cpt_Index,Tab_Compteur_6[[#This Row],[Index]]-E90,Tab_Compteur_6[[#This Row],[Quantité]])/Tab_Compteur_6[[#This Row],[Delta Jour]],"")&lt;0,"",IFERROR(IF(Str_TypeDonneesCpt6=Cpt_Index,Tab_Compteur_6[[#This Row],[Index]]-E90,Tab_Compteur_6[[#This Row],[Quantité]])/Tab_Compteur_6[[#This Row],[Delta Jour]],""))</f>
        <v/>
      </c>
      <c r="H91" s="186" t="str">
        <f>IFERROR(Tab_Compteur_6[[#This Row],[Montant]]/Tab_Compteur_6[[#This Row],[Delta Jour]],"")</f>
        <v/>
      </c>
      <c r="I91" s="212" t="str">
        <f t="shared" si="4"/>
        <v/>
      </c>
      <c r="J91" s="209"/>
      <c r="K91" s="38"/>
      <c r="L91" s="38"/>
      <c r="M91" s="38"/>
    </row>
    <row r="92" spans="1:13">
      <c r="A92" s="55">
        <f t="shared" si="5"/>
        <v>1</v>
      </c>
      <c r="B92" s="87"/>
      <c r="C92" s="192"/>
      <c r="D92" s="195"/>
      <c r="E92" s="186"/>
      <c r="F92" s="186">
        <f t="shared" si="3"/>
        <v>0</v>
      </c>
      <c r="G92" s="186" t="str">
        <f>IF(IFERROR(IF(Str_TypeDonneesCpt6=Cpt_Index,Tab_Compteur_6[[#This Row],[Index]]-E91,Tab_Compteur_6[[#This Row],[Quantité]])/Tab_Compteur_6[[#This Row],[Delta Jour]],"")&lt;0,"",IFERROR(IF(Str_TypeDonneesCpt6=Cpt_Index,Tab_Compteur_6[[#This Row],[Index]]-E91,Tab_Compteur_6[[#This Row],[Quantité]])/Tab_Compteur_6[[#This Row],[Delta Jour]],""))</f>
        <v/>
      </c>
      <c r="H92" s="186" t="str">
        <f>IFERROR(Tab_Compteur_6[[#This Row],[Montant]]/Tab_Compteur_6[[#This Row],[Delta Jour]],"")</f>
        <v/>
      </c>
      <c r="I92" s="212" t="str">
        <f t="shared" si="4"/>
        <v/>
      </c>
      <c r="J92" s="209"/>
      <c r="K92" s="38"/>
      <c r="L92" s="38"/>
      <c r="M92" s="38"/>
    </row>
    <row r="93" spans="1:13">
      <c r="A93" s="55">
        <f t="shared" si="5"/>
        <v>1</v>
      </c>
      <c r="B93" s="87"/>
      <c r="C93" s="192"/>
      <c r="D93" s="195"/>
      <c r="E93" s="186"/>
      <c r="F93" s="186">
        <f t="shared" si="3"/>
        <v>0</v>
      </c>
      <c r="G93" s="186" t="str">
        <f>IF(IFERROR(IF(Str_TypeDonneesCpt6=Cpt_Index,Tab_Compteur_6[[#This Row],[Index]]-E92,Tab_Compteur_6[[#This Row],[Quantité]])/Tab_Compteur_6[[#This Row],[Delta Jour]],"")&lt;0,"",IFERROR(IF(Str_TypeDonneesCpt6=Cpt_Index,Tab_Compteur_6[[#This Row],[Index]]-E92,Tab_Compteur_6[[#This Row],[Quantité]])/Tab_Compteur_6[[#This Row],[Delta Jour]],""))</f>
        <v/>
      </c>
      <c r="H93" s="186" t="str">
        <f>IFERROR(Tab_Compteur_6[[#This Row],[Montant]]/Tab_Compteur_6[[#This Row],[Delta Jour]],"")</f>
        <v/>
      </c>
      <c r="I93" s="212" t="str">
        <f t="shared" si="4"/>
        <v/>
      </c>
      <c r="J93" s="209"/>
      <c r="K93" s="38"/>
      <c r="L93" s="38"/>
      <c r="M93" s="38"/>
    </row>
    <row r="94" spans="1:13">
      <c r="A94" s="55">
        <f t="shared" si="5"/>
        <v>1</v>
      </c>
      <c r="B94" s="87"/>
      <c r="C94" s="192"/>
      <c r="D94" s="195"/>
      <c r="E94" s="186"/>
      <c r="F94" s="186">
        <f t="shared" si="3"/>
        <v>0</v>
      </c>
      <c r="G94" s="186" t="str">
        <f>IF(IFERROR(IF(Str_TypeDonneesCpt6=Cpt_Index,Tab_Compteur_6[[#This Row],[Index]]-E93,Tab_Compteur_6[[#This Row],[Quantité]])/Tab_Compteur_6[[#This Row],[Delta Jour]],"")&lt;0,"",IFERROR(IF(Str_TypeDonneesCpt6=Cpt_Index,Tab_Compteur_6[[#This Row],[Index]]-E93,Tab_Compteur_6[[#This Row],[Quantité]])/Tab_Compteur_6[[#This Row],[Delta Jour]],""))</f>
        <v/>
      </c>
      <c r="H94" s="186" t="str">
        <f>IFERROR(Tab_Compteur_6[[#This Row],[Montant]]/Tab_Compteur_6[[#This Row],[Delta Jour]],"")</f>
        <v/>
      </c>
      <c r="I94" s="212" t="str">
        <f t="shared" si="4"/>
        <v/>
      </c>
      <c r="J94" s="209"/>
      <c r="K94" s="38"/>
      <c r="L94" s="38"/>
      <c r="M94" s="38"/>
    </row>
    <row r="95" spans="1:13">
      <c r="A95" s="55">
        <f t="shared" si="5"/>
        <v>1</v>
      </c>
      <c r="B95" s="87"/>
      <c r="C95" s="192"/>
      <c r="D95" s="195"/>
      <c r="E95" s="186"/>
      <c r="F95" s="186">
        <f t="shared" si="3"/>
        <v>0</v>
      </c>
      <c r="G95" s="186" t="str">
        <f>IF(IFERROR(IF(Str_TypeDonneesCpt6=Cpt_Index,Tab_Compteur_6[[#This Row],[Index]]-E94,Tab_Compteur_6[[#This Row],[Quantité]])/Tab_Compteur_6[[#This Row],[Delta Jour]],"")&lt;0,"",IFERROR(IF(Str_TypeDonneesCpt6=Cpt_Index,Tab_Compteur_6[[#This Row],[Index]]-E94,Tab_Compteur_6[[#This Row],[Quantité]])/Tab_Compteur_6[[#This Row],[Delta Jour]],""))</f>
        <v/>
      </c>
      <c r="H95" s="186" t="str">
        <f>IFERROR(Tab_Compteur_6[[#This Row],[Montant]]/Tab_Compteur_6[[#This Row],[Delta Jour]],"")</f>
        <v/>
      </c>
      <c r="I95" s="212" t="str">
        <f t="shared" si="4"/>
        <v/>
      </c>
      <c r="J95" s="209"/>
      <c r="K95" s="38"/>
      <c r="L95" s="38"/>
      <c r="M95" s="38"/>
    </row>
    <row r="96" spans="1:13">
      <c r="A96" s="55">
        <f t="shared" si="5"/>
        <v>1</v>
      </c>
      <c r="B96" s="87"/>
      <c r="C96" s="192"/>
      <c r="D96" s="195"/>
      <c r="E96" s="186"/>
      <c r="F96" s="186">
        <f t="shared" si="3"/>
        <v>0</v>
      </c>
      <c r="G96" s="186" t="str">
        <f>IF(IFERROR(IF(Str_TypeDonneesCpt6=Cpt_Index,Tab_Compteur_6[[#This Row],[Index]]-E95,Tab_Compteur_6[[#This Row],[Quantité]])/Tab_Compteur_6[[#This Row],[Delta Jour]],"")&lt;0,"",IFERROR(IF(Str_TypeDonneesCpt6=Cpt_Index,Tab_Compteur_6[[#This Row],[Index]]-E95,Tab_Compteur_6[[#This Row],[Quantité]])/Tab_Compteur_6[[#This Row],[Delta Jour]],""))</f>
        <v/>
      </c>
      <c r="H96" s="186" t="str">
        <f>IFERROR(Tab_Compteur_6[[#This Row],[Montant]]/Tab_Compteur_6[[#This Row],[Delta Jour]],"")</f>
        <v/>
      </c>
      <c r="I96" s="212" t="str">
        <f t="shared" si="4"/>
        <v/>
      </c>
      <c r="J96" s="209"/>
      <c r="K96" s="38"/>
      <c r="L96" s="38"/>
      <c r="M96" s="38"/>
    </row>
    <row r="97" spans="1:13">
      <c r="A97" s="55">
        <f t="shared" si="5"/>
        <v>1</v>
      </c>
      <c r="B97" s="87"/>
      <c r="C97" s="192"/>
      <c r="D97" s="195"/>
      <c r="E97" s="186"/>
      <c r="F97" s="186">
        <f t="shared" si="3"/>
        <v>0</v>
      </c>
      <c r="G97" s="186" t="str">
        <f>IF(IFERROR(IF(Str_TypeDonneesCpt6=Cpt_Index,Tab_Compteur_6[[#This Row],[Index]]-E96,Tab_Compteur_6[[#This Row],[Quantité]])/Tab_Compteur_6[[#This Row],[Delta Jour]],"")&lt;0,"",IFERROR(IF(Str_TypeDonneesCpt6=Cpt_Index,Tab_Compteur_6[[#This Row],[Index]]-E96,Tab_Compteur_6[[#This Row],[Quantité]])/Tab_Compteur_6[[#This Row],[Delta Jour]],""))</f>
        <v/>
      </c>
      <c r="H97" s="186" t="str">
        <f>IFERROR(Tab_Compteur_6[[#This Row],[Montant]]/Tab_Compteur_6[[#This Row],[Delta Jour]],"")</f>
        <v/>
      </c>
      <c r="I97" s="212" t="str">
        <f t="shared" si="4"/>
        <v/>
      </c>
      <c r="J97" s="209"/>
      <c r="K97" s="38"/>
      <c r="L97" s="38"/>
      <c r="M97" s="38"/>
    </row>
    <row r="98" spans="1:13">
      <c r="A98" s="55">
        <f t="shared" si="5"/>
        <v>1</v>
      </c>
      <c r="B98" s="87"/>
      <c r="C98" s="192"/>
      <c r="D98" s="195"/>
      <c r="E98" s="186"/>
      <c r="F98" s="186">
        <f t="shared" si="3"/>
        <v>0</v>
      </c>
      <c r="G98" s="186" t="str">
        <f>IF(IFERROR(IF(Str_TypeDonneesCpt6=Cpt_Index,Tab_Compteur_6[[#This Row],[Index]]-E97,Tab_Compteur_6[[#This Row],[Quantité]])/Tab_Compteur_6[[#This Row],[Delta Jour]],"")&lt;0,"",IFERROR(IF(Str_TypeDonneesCpt6=Cpt_Index,Tab_Compteur_6[[#This Row],[Index]]-E97,Tab_Compteur_6[[#This Row],[Quantité]])/Tab_Compteur_6[[#This Row],[Delta Jour]],""))</f>
        <v/>
      </c>
      <c r="H98" s="186" t="str">
        <f>IFERROR(Tab_Compteur_6[[#This Row],[Montant]]/Tab_Compteur_6[[#This Row],[Delta Jour]],"")</f>
        <v/>
      </c>
      <c r="I98" s="212" t="str">
        <f t="shared" si="4"/>
        <v/>
      </c>
      <c r="J98" s="209"/>
      <c r="K98" s="38"/>
      <c r="L98" s="38"/>
      <c r="M98" s="38"/>
    </row>
    <row r="99" spans="1:13">
      <c r="A99" s="55">
        <f t="shared" si="5"/>
        <v>1</v>
      </c>
      <c r="B99" s="87"/>
      <c r="C99" s="192"/>
      <c r="D99" s="195"/>
      <c r="E99" s="186"/>
      <c r="F99" s="186">
        <f t="shared" si="3"/>
        <v>0</v>
      </c>
      <c r="G99" s="186" t="str">
        <f>IF(IFERROR(IF(Str_TypeDonneesCpt6=Cpt_Index,Tab_Compteur_6[[#This Row],[Index]]-E98,Tab_Compteur_6[[#This Row],[Quantité]])/Tab_Compteur_6[[#This Row],[Delta Jour]],"")&lt;0,"",IFERROR(IF(Str_TypeDonneesCpt6=Cpt_Index,Tab_Compteur_6[[#This Row],[Index]]-E98,Tab_Compteur_6[[#This Row],[Quantité]])/Tab_Compteur_6[[#This Row],[Delta Jour]],""))</f>
        <v/>
      </c>
      <c r="H99" s="186" t="str">
        <f>IFERROR(Tab_Compteur_6[[#This Row],[Montant]]/Tab_Compteur_6[[#This Row],[Delta Jour]],"")</f>
        <v/>
      </c>
      <c r="I99" s="212" t="str">
        <f t="shared" si="4"/>
        <v/>
      </c>
      <c r="J99" s="209"/>
      <c r="K99" s="38"/>
      <c r="L99" s="38"/>
      <c r="M99" s="38"/>
    </row>
    <row r="100" spans="1:13">
      <c r="A100" s="55">
        <f t="shared" si="5"/>
        <v>1</v>
      </c>
      <c r="B100" s="87"/>
      <c r="C100" s="192"/>
      <c r="D100" s="195"/>
      <c r="E100" s="186"/>
      <c r="F100" s="186">
        <f t="shared" si="3"/>
        <v>0</v>
      </c>
      <c r="G100" s="186" t="str">
        <f>IF(IFERROR(IF(Str_TypeDonneesCpt6=Cpt_Index,Tab_Compteur_6[[#This Row],[Index]]-E99,Tab_Compteur_6[[#This Row],[Quantité]])/Tab_Compteur_6[[#This Row],[Delta Jour]],"")&lt;0,"",IFERROR(IF(Str_TypeDonneesCpt6=Cpt_Index,Tab_Compteur_6[[#This Row],[Index]]-E99,Tab_Compteur_6[[#This Row],[Quantité]])/Tab_Compteur_6[[#This Row],[Delta Jour]],""))</f>
        <v/>
      </c>
      <c r="H100" s="186" t="str">
        <f>IFERROR(Tab_Compteur_6[[#This Row],[Montant]]/Tab_Compteur_6[[#This Row],[Delta Jour]],"")</f>
        <v/>
      </c>
      <c r="I100" s="212" t="str">
        <f t="shared" si="4"/>
        <v/>
      </c>
      <c r="J100" s="209"/>
      <c r="K100" s="38"/>
      <c r="L100" s="38"/>
      <c r="M100" s="38"/>
    </row>
    <row r="101" spans="1:13">
      <c r="A101" s="55">
        <f t="shared" si="5"/>
        <v>1</v>
      </c>
      <c r="B101" s="87"/>
      <c r="C101" s="192"/>
      <c r="D101" s="195"/>
      <c r="E101" s="186"/>
      <c r="F101" s="186">
        <f t="shared" si="3"/>
        <v>0</v>
      </c>
      <c r="G101" s="186" t="str">
        <f>IF(IFERROR(IF(Str_TypeDonneesCpt6=Cpt_Index,Tab_Compteur_6[[#This Row],[Index]]-E100,Tab_Compteur_6[[#This Row],[Quantité]])/Tab_Compteur_6[[#This Row],[Delta Jour]],"")&lt;0,"",IFERROR(IF(Str_TypeDonneesCpt6=Cpt_Index,Tab_Compteur_6[[#This Row],[Index]]-E100,Tab_Compteur_6[[#This Row],[Quantité]])/Tab_Compteur_6[[#This Row],[Delta Jour]],""))</f>
        <v/>
      </c>
      <c r="H101" s="186" t="str">
        <f>IFERROR(Tab_Compteur_6[[#This Row],[Montant]]/Tab_Compteur_6[[#This Row],[Delta Jour]],"")</f>
        <v/>
      </c>
      <c r="I101" s="212" t="str">
        <f t="shared" si="4"/>
        <v/>
      </c>
      <c r="J101" s="209"/>
      <c r="K101" s="38"/>
      <c r="L101" s="38"/>
      <c r="M101" s="38"/>
    </row>
    <row r="102" spans="1:13">
      <c r="A102" s="55">
        <f t="shared" si="5"/>
        <v>1</v>
      </c>
      <c r="B102" s="87"/>
      <c r="C102" s="192"/>
      <c r="D102" s="195"/>
      <c r="E102" s="186"/>
      <c r="F102" s="186">
        <f t="shared" si="3"/>
        <v>0</v>
      </c>
      <c r="G102" s="186" t="str">
        <f>IF(IFERROR(IF(Str_TypeDonneesCpt6=Cpt_Index,Tab_Compteur_6[[#This Row],[Index]]-E101,Tab_Compteur_6[[#This Row],[Quantité]])/Tab_Compteur_6[[#This Row],[Delta Jour]],"")&lt;0,"",IFERROR(IF(Str_TypeDonneesCpt6=Cpt_Index,Tab_Compteur_6[[#This Row],[Index]]-E101,Tab_Compteur_6[[#This Row],[Quantité]])/Tab_Compteur_6[[#This Row],[Delta Jour]],""))</f>
        <v/>
      </c>
      <c r="H102" s="186" t="str">
        <f>IFERROR(Tab_Compteur_6[[#This Row],[Montant]]/Tab_Compteur_6[[#This Row],[Delta Jour]],"")</f>
        <v/>
      </c>
      <c r="I102" s="212" t="str">
        <f t="shared" si="4"/>
        <v/>
      </c>
      <c r="J102" s="209"/>
      <c r="K102" s="38"/>
      <c r="L102" s="38"/>
      <c r="M102" s="38"/>
    </row>
    <row r="103" spans="1:13">
      <c r="A103" s="55">
        <f t="shared" si="5"/>
        <v>1</v>
      </c>
      <c r="B103" s="87"/>
      <c r="C103" s="192"/>
      <c r="D103" s="195"/>
      <c r="E103" s="186"/>
      <c r="F103" s="186">
        <f t="shared" si="3"/>
        <v>0</v>
      </c>
      <c r="G103" s="186" t="str">
        <f>IF(IFERROR(IF(Str_TypeDonneesCpt6=Cpt_Index,Tab_Compteur_6[[#This Row],[Index]]-E102,Tab_Compteur_6[[#This Row],[Quantité]])/Tab_Compteur_6[[#This Row],[Delta Jour]],"")&lt;0,"",IFERROR(IF(Str_TypeDonneesCpt6=Cpt_Index,Tab_Compteur_6[[#This Row],[Index]]-E102,Tab_Compteur_6[[#This Row],[Quantité]])/Tab_Compteur_6[[#This Row],[Delta Jour]],""))</f>
        <v/>
      </c>
      <c r="H103" s="186" t="str">
        <f>IFERROR(Tab_Compteur_6[[#This Row],[Montant]]/Tab_Compteur_6[[#This Row],[Delta Jour]],"")</f>
        <v/>
      </c>
      <c r="I103" s="212" t="str">
        <f t="shared" si="4"/>
        <v/>
      </c>
      <c r="J103" s="209"/>
      <c r="K103" s="38"/>
      <c r="L103" s="38"/>
      <c r="M103" s="38"/>
    </row>
    <row r="104" spans="1:13">
      <c r="A104" s="55">
        <f t="shared" si="5"/>
        <v>1</v>
      </c>
      <c r="B104" s="87"/>
      <c r="C104" s="192"/>
      <c r="D104" s="195"/>
      <c r="E104" s="186"/>
      <c r="F104" s="186">
        <f t="shared" si="3"/>
        <v>0</v>
      </c>
      <c r="G104" s="186" t="str">
        <f>IF(IFERROR(IF(Str_TypeDonneesCpt6=Cpt_Index,Tab_Compteur_6[[#This Row],[Index]]-E103,Tab_Compteur_6[[#This Row],[Quantité]])/Tab_Compteur_6[[#This Row],[Delta Jour]],"")&lt;0,"",IFERROR(IF(Str_TypeDonneesCpt6=Cpt_Index,Tab_Compteur_6[[#This Row],[Index]]-E103,Tab_Compteur_6[[#This Row],[Quantité]])/Tab_Compteur_6[[#This Row],[Delta Jour]],""))</f>
        <v/>
      </c>
      <c r="H104" s="186" t="str">
        <f>IFERROR(Tab_Compteur_6[[#This Row],[Montant]]/Tab_Compteur_6[[#This Row],[Delta Jour]],"")</f>
        <v/>
      </c>
      <c r="I104" s="212" t="str">
        <f t="shared" si="4"/>
        <v/>
      </c>
      <c r="J104" s="209"/>
      <c r="K104" s="38"/>
      <c r="L104" s="38"/>
      <c r="M104" s="38"/>
    </row>
    <row r="105" spans="1:13">
      <c r="A105" s="55">
        <f t="shared" si="5"/>
        <v>1</v>
      </c>
      <c r="B105" s="87"/>
      <c r="C105" s="192"/>
      <c r="D105" s="195"/>
      <c r="E105" s="186"/>
      <c r="F105" s="186">
        <f t="shared" si="3"/>
        <v>0</v>
      </c>
      <c r="G105" s="186" t="str">
        <f>IF(IFERROR(IF(Str_TypeDonneesCpt6=Cpt_Index,Tab_Compteur_6[[#This Row],[Index]]-E104,Tab_Compteur_6[[#This Row],[Quantité]])/Tab_Compteur_6[[#This Row],[Delta Jour]],"")&lt;0,"",IFERROR(IF(Str_TypeDonneesCpt6=Cpt_Index,Tab_Compteur_6[[#This Row],[Index]]-E104,Tab_Compteur_6[[#This Row],[Quantité]])/Tab_Compteur_6[[#This Row],[Delta Jour]],""))</f>
        <v/>
      </c>
      <c r="H105" s="186" t="str">
        <f>IFERROR(Tab_Compteur_6[[#This Row],[Montant]]/Tab_Compteur_6[[#This Row],[Delta Jour]],"")</f>
        <v/>
      </c>
      <c r="I105" s="212" t="str">
        <f t="shared" si="4"/>
        <v/>
      </c>
      <c r="J105" s="209"/>
      <c r="K105" s="38"/>
      <c r="L105" s="38"/>
      <c r="M105" s="38"/>
    </row>
    <row r="106" spans="1:13">
      <c r="A106" s="55">
        <f t="shared" si="5"/>
        <v>1</v>
      </c>
      <c r="B106" s="87"/>
      <c r="C106" s="192"/>
      <c r="D106" s="195"/>
      <c r="E106" s="186"/>
      <c r="F106" s="186">
        <f t="shared" si="3"/>
        <v>0</v>
      </c>
      <c r="G106" s="186" t="str">
        <f>IF(IFERROR(IF(Str_TypeDonneesCpt6=Cpt_Index,Tab_Compteur_6[[#This Row],[Index]]-E105,Tab_Compteur_6[[#This Row],[Quantité]])/Tab_Compteur_6[[#This Row],[Delta Jour]],"")&lt;0,"",IFERROR(IF(Str_TypeDonneesCpt6=Cpt_Index,Tab_Compteur_6[[#This Row],[Index]]-E105,Tab_Compteur_6[[#This Row],[Quantité]])/Tab_Compteur_6[[#This Row],[Delta Jour]],""))</f>
        <v/>
      </c>
      <c r="H106" s="186" t="str">
        <f>IFERROR(Tab_Compteur_6[[#This Row],[Montant]]/Tab_Compteur_6[[#This Row],[Delta Jour]],"")</f>
        <v/>
      </c>
      <c r="I106" s="212" t="str">
        <f t="shared" si="4"/>
        <v/>
      </c>
      <c r="J106" s="209"/>
      <c r="K106" s="38"/>
      <c r="L106" s="38"/>
      <c r="M106" s="38"/>
    </row>
    <row r="107" spans="1:13">
      <c r="A107" s="55">
        <f t="shared" si="5"/>
        <v>1</v>
      </c>
      <c r="B107" s="87"/>
      <c r="C107" s="192"/>
      <c r="D107" s="195"/>
      <c r="E107" s="186"/>
      <c r="F107" s="186">
        <f t="shared" si="3"/>
        <v>0</v>
      </c>
      <c r="G107" s="186" t="str">
        <f>IF(IFERROR(IF(Str_TypeDonneesCpt6=Cpt_Index,Tab_Compteur_6[[#This Row],[Index]]-E106,Tab_Compteur_6[[#This Row],[Quantité]])/Tab_Compteur_6[[#This Row],[Delta Jour]],"")&lt;0,"",IFERROR(IF(Str_TypeDonneesCpt6=Cpt_Index,Tab_Compteur_6[[#This Row],[Index]]-E106,Tab_Compteur_6[[#This Row],[Quantité]])/Tab_Compteur_6[[#This Row],[Delta Jour]],""))</f>
        <v/>
      </c>
      <c r="H107" s="186" t="str">
        <f>IFERROR(Tab_Compteur_6[[#This Row],[Montant]]/Tab_Compteur_6[[#This Row],[Delta Jour]],"")</f>
        <v/>
      </c>
      <c r="I107" s="212" t="str">
        <f t="shared" si="4"/>
        <v/>
      </c>
      <c r="J107" s="209"/>
      <c r="K107" s="38"/>
      <c r="L107" s="38"/>
      <c r="M107" s="38"/>
    </row>
    <row r="108" spans="1:13">
      <c r="A108" s="55">
        <f t="shared" si="5"/>
        <v>1</v>
      </c>
      <c r="B108" s="87"/>
      <c r="C108" s="192"/>
      <c r="D108" s="195"/>
      <c r="E108" s="186"/>
      <c r="F108" s="186">
        <f t="shared" si="3"/>
        <v>0</v>
      </c>
      <c r="G108" s="186" t="str">
        <f>IF(IFERROR(IF(Str_TypeDonneesCpt6=Cpt_Index,Tab_Compteur_6[[#This Row],[Index]]-E107,Tab_Compteur_6[[#This Row],[Quantité]])/Tab_Compteur_6[[#This Row],[Delta Jour]],"")&lt;0,"",IFERROR(IF(Str_TypeDonneesCpt6=Cpt_Index,Tab_Compteur_6[[#This Row],[Index]]-E107,Tab_Compteur_6[[#This Row],[Quantité]])/Tab_Compteur_6[[#This Row],[Delta Jour]],""))</f>
        <v/>
      </c>
      <c r="H108" s="186" t="str">
        <f>IFERROR(Tab_Compteur_6[[#This Row],[Montant]]/Tab_Compteur_6[[#This Row],[Delta Jour]],"")</f>
        <v/>
      </c>
      <c r="I108" s="212" t="str">
        <f t="shared" si="4"/>
        <v/>
      </c>
      <c r="J108" s="209"/>
      <c r="K108" s="38"/>
      <c r="L108" s="38"/>
      <c r="M108" s="38"/>
    </row>
    <row r="109" spans="1:13">
      <c r="A109" s="55">
        <f t="shared" si="5"/>
        <v>1</v>
      </c>
      <c r="B109" s="87"/>
      <c r="C109" s="192"/>
      <c r="D109" s="195"/>
      <c r="E109" s="186"/>
      <c r="F109" s="186">
        <f t="shared" si="3"/>
        <v>0</v>
      </c>
      <c r="G109" s="186" t="str">
        <f>IF(IFERROR(IF(Str_TypeDonneesCpt6=Cpt_Index,Tab_Compteur_6[[#This Row],[Index]]-E108,Tab_Compteur_6[[#This Row],[Quantité]])/Tab_Compteur_6[[#This Row],[Delta Jour]],"")&lt;0,"",IFERROR(IF(Str_TypeDonneesCpt6=Cpt_Index,Tab_Compteur_6[[#This Row],[Index]]-E108,Tab_Compteur_6[[#This Row],[Quantité]])/Tab_Compteur_6[[#This Row],[Delta Jour]],""))</f>
        <v/>
      </c>
      <c r="H109" s="186" t="str">
        <f>IFERROR(Tab_Compteur_6[[#This Row],[Montant]]/Tab_Compteur_6[[#This Row],[Delta Jour]],"")</f>
        <v/>
      </c>
      <c r="I109" s="212" t="str">
        <f t="shared" si="4"/>
        <v/>
      </c>
      <c r="J109" s="209"/>
      <c r="K109" s="38"/>
      <c r="L109" s="38"/>
      <c r="M109" s="38"/>
    </row>
    <row r="110" spans="1:13">
      <c r="A110" s="55">
        <f t="shared" si="5"/>
        <v>1</v>
      </c>
      <c r="B110" s="87"/>
      <c r="C110" s="192"/>
      <c r="D110" s="195"/>
      <c r="E110" s="186"/>
      <c r="F110" s="186">
        <f t="shared" si="3"/>
        <v>0</v>
      </c>
      <c r="G110" s="186" t="str">
        <f>IF(IFERROR(IF(Str_TypeDonneesCpt6=Cpt_Index,Tab_Compteur_6[[#This Row],[Index]]-E109,Tab_Compteur_6[[#This Row],[Quantité]])/Tab_Compteur_6[[#This Row],[Delta Jour]],"")&lt;0,"",IFERROR(IF(Str_TypeDonneesCpt6=Cpt_Index,Tab_Compteur_6[[#This Row],[Index]]-E109,Tab_Compteur_6[[#This Row],[Quantité]])/Tab_Compteur_6[[#This Row],[Delta Jour]],""))</f>
        <v/>
      </c>
      <c r="H110" s="186" t="str">
        <f>IFERROR(Tab_Compteur_6[[#This Row],[Montant]]/Tab_Compteur_6[[#This Row],[Delta Jour]],"")</f>
        <v/>
      </c>
      <c r="I110" s="212" t="str">
        <f t="shared" si="4"/>
        <v/>
      </c>
      <c r="J110" s="209"/>
      <c r="K110" s="38"/>
      <c r="L110" s="38"/>
      <c r="M110" s="38"/>
    </row>
    <row r="111" spans="1:13">
      <c r="A111" s="55">
        <f t="shared" si="5"/>
        <v>1</v>
      </c>
      <c r="B111" s="87"/>
      <c r="C111" s="192"/>
      <c r="D111" s="195"/>
      <c r="E111" s="186"/>
      <c r="F111" s="186">
        <f t="shared" si="3"/>
        <v>0</v>
      </c>
      <c r="G111" s="186" t="str">
        <f>IF(IFERROR(IF(Str_TypeDonneesCpt6=Cpt_Index,Tab_Compteur_6[[#This Row],[Index]]-E110,Tab_Compteur_6[[#This Row],[Quantité]])/Tab_Compteur_6[[#This Row],[Delta Jour]],"")&lt;0,"",IFERROR(IF(Str_TypeDonneesCpt6=Cpt_Index,Tab_Compteur_6[[#This Row],[Index]]-E110,Tab_Compteur_6[[#This Row],[Quantité]])/Tab_Compteur_6[[#This Row],[Delta Jour]],""))</f>
        <v/>
      </c>
      <c r="H111" s="186" t="str">
        <f>IFERROR(Tab_Compteur_6[[#This Row],[Montant]]/Tab_Compteur_6[[#This Row],[Delta Jour]],"")</f>
        <v/>
      </c>
      <c r="I111" s="212" t="str">
        <f t="shared" si="4"/>
        <v/>
      </c>
      <c r="J111" s="209"/>
      <c r="K111" s="38"/>
      <c r="L111" s="38"/>
      <c r="M111" s="38"/>
    </row>
    <row r="112" spans="1:13">
      <c r="A112" s="55">
        <f t="shared" si="5"/>
        <v>1</v>
      </c>
      <c r="B112" s="87"/>
      <c r="C112" s="192"/>
      <c r="D112" s="195"/>
      <c r="E112" s="186"/>
      <c r="F112" s="186">
        <f t="shared" si="3"/>
        <v>0</v>
      </c>
      <c r="G112" s="186" t="str">
        <f>IF(IFERROR(IF(Str_TypeDonneesCpt6=Cpt_Index,Tab_Compteur_6[[#This Row],[Index]]-E111,Tab_Compteur_6[[#This Row],[Quantité]])/Tab_Compteur_6[[#This Row],[Delta Jour]],"")&lt;0,"",IFERROR(IF(Str_TypeDonneesCpt6=Cpt_Index,Tab_Compteur_6[[#This Row],[Index]]-E111,Tab_Compteur_6[[#This Row],[Quantité]])/Tab_Compteur_6[[#This Row],[Delta Jour]],""))</f>
        <v/>
      </c>
      <c r="H112" s="186" t="str">
        <f>IFERROR(Tab_Compteur_6[[#This Row],[Montant]]/Tab_Compteur_6[[#This Row],[Delta Jour]],"")</f>
        <v/>
      </c>
      <c r="I112" s="212" t="str">
        <f t="shared" si="4"/>
        <v/>
      </c>
      <c r="J112" s="209"/>
      <c r="K112" s="38"/>
      <c r="L112" s="38"/>
      <c r="M112" s="38"/>
    </row>
    <row r="113" spans="1:13">
      <c r="A113" s="55">
        <f t="shared" si="5"/>
        <v>1</v>
      </c>
      <c r="B113" s="87"/>
      <c r="C113" s="192"/>
      <c r="D113" s="195"/>
      <c r="E113" s="186"/>
      <c r="F113" s="186">
        <f t="shared" si="3"/>
        <v>0</v>
      </c>
      <c r="G113" s="186" t="str">
        <f>IF(IFERROR(IF(Str_TypeDonneesCpt6=Cpt_Index,Tab_Compteur_6[[#This Row],[Index]]-E112,Tab_Compteur_6[[#This Row],[Quantité]])/Tab_Compteur_6[[#This Row],[Delta Jour]],"")&lt;0,"",IFERROR(IF(Str_TypeDonneesCpt6=Cpt_Index,Tab_Compteur_6[[#This Row],[Index]]-E112,Tab_Compteur_6[[#This Row],[Quantité]])/Tab_Compteur_6[[#This Row],[Delta Jour]],""))</f>
        <v/>
      </c>
      <c r="H113" s="186" t="str">
        <f>IFERROR(Tab_Compteur_6[[#This Row],[Montant]]/Tab_Compteur_6[[#This Row],[Delta Jour]],"")</f>
        <v/>
      </c>
      <c r="I113" s="212" t="str">
        <f t="shared" si="4"/>
        <v/>
      </c>
      <c r="J113" s="209"/>
      <c r="K113" s="38"/>
      <c r="L113" s="38"/>
      <c r="M113" s="38"/>
    </row>
    <row r="114" spans="1:13">
      <c r="A114" s="55">
        <f t="shared" si="5"/>
        <v>1</v>
      </c>
      <c r="B114" s="87"/>
      <c r="C114" s="192"/>
      <c r="D114" s="195"/>
      <c r="E114" s="186"/>
      <c r="F114" s="186">
        <f t="shared" si="3"/>
        <v>0</v>
      </c>
      <c r="G114" s="186" t="str">
        <f>IF(IFERROR(IF(Str_TypeDonneesCpt6=Cpt_Index,Tab_Compteur_6[[#This Row],[Index]]-E113,Tab_Compteur_6[[#This Row],[Quantité]])/Tab_Compteur_6[[#This Row],[Delta Jour]],"")&lt;0,"",IFERROR(IF(Str_TypeDonneesCpt6=Cpt_Index,Tab_Compteur_6[[#This Row],[Index]]-E113,Tab_Compteur_6[[#This Row],[Quantité]])/Tab_Compteur_6[[#This Row],[Delta Jour]],""))</f>
        <v/>
      </c>
      <c r="H114" s="186" t="str">
        <f>IFERROR(Tab_Compteur_6[[#This Row],[Montant]]/Tab_Compteur_6[[#This Row],[Delta Jour]],"")</f>
        <v/>
      </c>
      <c r="I114" s="212" t="str">
        <f t="shared" si="4"/>
        <v/>
      </c>
      <c r="J114" s="209"/>
      <c r="K114" s="38"/>
      <c r="L114" s="38"/>
      <c r="M114" s="38"/>
    </row>
    <row r="115" spans="1:13">
      <c r="A115" s="55">
        <f t="shared" si="5"/>
        <v>1</v>
      </c>
      <c r="B115" s="87"/>
      <c r="C115" s="192"/>
      <c r="D115" s="195"/>
      <c r="E115" s="186"/>
      <c r="F115" s="186">
        <f t="shared" si="3"/>
        <v>0</v>
      </c>
      <c r="G115" s="186" t="str">
        <f>IF(IFERROR(IF(Str_TypeDonneesCpt6=Cpt_Index,Tab_Compteur_6[[#This Row],[Index]]-E114,Tab_Compteur_6[[#This Row],[Quantité]])/Tab_Compteur_6[[#This Row],[Delta Jour]],"")&lt;0,"",IFERROR(IF(Str_TypeDonneesCpt6=Cpt_Index,Tab_Compteur_6[[#This Row],[Index]]-E114,Tab_Compteur_6[[#This Row],[Quantité]])/Tab_Compteur_6[[#This Row],[Delta Jour]],""))</f>
        <v/>
      </c>
      <c r="H115" s="186" t="str">
        <f>IFERROR(Tab_Compteur_6[[#This Row],[Montant]]/Tab_Compteur_6[[#This Row],[Delta Jour]],"")</f>
        <v/>
      </c>
      <c r="I115" s="212" t="str">
        <f t="shared" si="4"/>
        <v/>
      </c>
      <c r="J115" s="209"/>
      <c r="K115" s="38"/>
      <c r="L115" s="38"/>
      <c r="M115" s="38"/>
    </row>
    <row r="116" spans="1:13">
      <c r="A116" s="55">
        <f t="shared" si="5"/>
        <v>1</v>
      </c>
      <c r="B116" s="87"/>
      <c r="C116" s="192"/>
      <c r="D116" s="195"/>
      <c r="E116" s="186"/>
      <c r="F116" s="186">
        <f t="shared" si="3"/>
        <v>0</v>
      </c>
      <c r="G116" s="186" t="str">
        <f>IF(IFERROR(IF(Str_TypeDonneesCpt6=Cpt_Index,Tab_Compteur_6[[#This Row],[Index]]-E115,Tab_Compteur_6[[#This Row],[Quantité]])/Tab_Compteur_6[[#This Row],[Delta Jour]],"")&lt;0,"",IFERROR(IF(Str_TypeDonneesCpt6=Cpt_Index,Tab_Compteur_6[[#This Row],[Index]]-E115,Tab_Compteur_6[[#This Row],[Quantité]])/Tab_Compteur_6[[#This Row],[Delta Jour]],""))</f>
        <v/>
      </c>
      <c r="H116" s="186" t="str">
        <f>IFERROR(Tab_Compteur_6[[#This Row],[Montant]]/Tab_Compteur_6[[#This Row],[Delta Jour]],"")</f>
        <v/>
      </c>
      <c r="I116" s="212" t="str">
        <f t="shared" si="4"/>
        <v/>
      </c>
      <c r="J116" s="209"/>
      <c r="K116" s="38"/>
      <c r="L116" s="38"/>
      <c r="M116" s="38"/>
    </row>
    <row r="117" spans="1:13">
      <c r="A117" s="55">
        <f t="shared" si="5"/>
        <v>1</v>
      </c>
      <c r="B117" s="87"/>
      <c r="C117" s="192"/>
      <c r="D117" s="195"/>
      <c r="E117" s="186"/>
      <c r="F117" s="186">
        <f t="shared" si="3"/>
        <v>0</v>
      </c>
      <c r="G117" s="186" t="str">
        <f>IF(IFERROR(IF(Str_TypeDonneesCpt6=Cpt_Index,Tab_Compteur_6[[#This Row],[Index]]-E116,Tab_Compteur_6[[#This Row],[Quantité]])/Tab_Compteur_6[[#This Row],[Delta Jour]],"")&lt;0,"",IFERROR(IF(Str_TypeDonneesCpt6=Cpt_Index,Tab_Compteur_6[[#This Row],[Index]]-E116,Tab_Compteur_6[[#This Row],[Quantité]])/Tab_Compteur_6[[#This Row],[Delta Jour]],""))</f>
        <v/>
      </c>
      <c r="H117" s="186" t="str">
        <f>IFERROR(Tab_Compteur_6[[#This Row],[Montant]]/Tab_Compteur_6[[#This Row],[Delta Jour]],"")</f>
        <v/>
      </c>
      <c r="I117" s="212" t="str">
        <f t="shared" si="4"/>
        <v/>
      </c>
      <c r="J117" s="209"/>
      <c r="K117" s="38"/>
      <c r="L117" s="38"/>
      <c r="M117" s="38"/>
    </row>
    <row r="118" spans="1:13">
      <c r="A118" s="55">
        <f t="shared" si="5"/>
        <v>1</v>
      </c>
      <c r="B118" s="87"/>
      <c r="C118" s="192"/>
      <c r="D118" s="195"/>
      <c r="E118" s="186"/>
      <c r="F118" s="186">
        <f t="shared" si="3"/>
        <v>0</v>
      </c>
      <c r="G118" s="186" t="str">
        <f>IF(IFERROR(IF(Str_TypeDonneesCpt6=Cpt_Index,Tab_Compteur_6[[#This Row],[Index]]-E117,Tab_Compteur_6[[#This Row],[Quantité]])/Tab_Compteur_6[[#This Row],[Delta Jour]],"")&lt;0,"",IFERROR(IF(Str_TypeDonneesCpt6=Cpt_Index,Tab_Compteur_6[[#This Row],[Index]]-E117,Tab_Compteur_6[[#This Row],[Quantité]])/Tab_Compteur_6[[#This Row],[Delta Jour]],""))</f>
        <v/>
      </c>
      <c r="H118" s="186" t="str">
        <f>IFERROR(Tab_Compteur_6[[#This Row],[Montant]]/Tab_Compteur_6[[#This Row],[Delta Jour]],"")</f>
        <v/>
      </c>
      <c r="I118" s="212" t="str">
        <f t="shared" si="4"/>
        <v/>
      </c>
      <c r="J118" s="209"/>
      <c r="K118" s="38"/>
      <c r="L118" s="38"/>
      <c r="M118" s="38"/>
    </row>
    <row r="119" spans="1:13">
      <c r="A119" s="55">
        <f t="shared" si="5"/>
        <v>1</v>
      </c>
      <c r="B119" s="87"/>
      <c r="C119" s="192"/>
      <c r="D119" s="195"/>
      <c r="E119" s="186"/>
      <c r="F119" s="186">
        <f t="shared" si="3"/>
        <v>0</v>
      </c>
      <c r="G119" s="186" t="str">
        <f>IF(IFERROR(IF(Str_TypeDonneesCpt6=Cpt_Index,Tab_Compteur_6[[#This Row],[Index]]-E118,Tab_Compteur_6[[#This Row],[Quantité]])/Tab_Compteur_6[[#This Row],[Delta Jour]],"")&lt;0,"",IFERROR(IF(Str_TypeDonneesCpt6=Cpt_Index,Tab_Compteur_6[[#This Row],[Index]]-E118,Tab_Compteur_6[[#This Row],[Quantité]])/Tab_Compteur_6[[#This Row],[Delta Jour]],""))</f>
        <v/>
      </c>
      <c r="H119" s="186" t="str">
        <f>IFERROR(Tab_Compteur_6[[#This Row],[Montant]]/Tab_Compteur_6[[#This Row],[Delta Jour]],"")</f>
        <v/>
      </c>
      <c r="I119" s="212" t="str">
        <f t="shared" si="4"/>
        <v/>
      </c>
      <c r="J119" s="209"/>
      <c r="K119" s="38"/>
      <c r="L119" s="38"/>
      <c r="M119" s="38"/>
    </row>
    <row r="120" spans="1:13">
      <c r="A120" s="55">
        <f t="shared" si="5"/>
        <v>1</v>
      </c>
      <c r="B120" s="87"/>
      <c r="C120" s="192"/>
      <c r="D120" s="195"/>
      <c r="E120" s="186"/>
      <c r="F120" s="186">
        <f t="shared" si="3"/>
        <v>0</v>
      </c>
      <c r="G120" s="186" t="str">
        <f>IF(IFERROR(IF(Str_TypeDonneesCpt6=Cpt_Index,Tab_Compteur_6[[#This Row],[Index]]-E119,Tab_Compteur_6[[#This Row],[Quantité]])/Tab_Compteur_6[[#This Row],[Delta Jour]],"")&lt;0,"",IFERROR(IF(Str_TypeDonneesCpt6=Cpt_Index,Tab_Compteur_6[[#This Row],[Index]]-E119,Tab_Compteur_6[[#This Row],[Quantité]])/Tab_Compteur_6[[#This Row],[Delta Jour]],""))</f>
        <v/>
      </c>
      <c r="H120" s="186" t="str">
        <f>IFERROR(Tab_Compteur_6[[#This Row],[Montant]]/Tab_Compteur_6[[#This Row],[Delta Jour]],"")</f>
        <v/>
      </c>
      <c r="I120" s="212" t="str">
        <f t="shared" si="4"/>
        <v/>
      </c>
      <c r="J120" s="209"/>
      <c r="K120" s="38"/>
      <c r="L120" s="38"/>
      <c r="M120" s="38"/>
    </row>
    <row r="121" spans="1:13">
      <c r="A121" s="55">
        <f t="shared" si="5"/>
        <v>1</v>
      </c>
      <c r="B121" s="87"/>
      <c r="C121" s="192"/>
      <c r="D121" s="195"/>
      <c r="E121" s="186"/>
      <c r="F121" s="186">
        <f t="shared" si="3"/>
        <v>0</v>
      </c>
      <c r="G121" s="186" t="str">
        <f>IF(IFERROR(IF(Str_TypeDonneesCpt6=Cpt_Index,Tab_Compteur_6[[#This Row],[Index]]-E120,Tab_Compteur_6[[#This Row],[Quantité]])/Tab_Compteur_6[[#This Row],[Delta Jour]],"")&lt;0,"",IFERROR(IF(Str_TypeDonneesCpt6=Cpt_Index,Tab_Compteur_6[[#This Row],[Index]]-E120,Tab_Compteur_6[[#This Row],[Quantité]])/Tab_Compteur_6[[#This Row],[Delta Jour]],""))</f>
        <v/>
      </c>
      <c r="H121" s="186" t="str">
        <f>IFERROR(Tab_Compteur_6[[#This Row],[Montant]]/Tab_Compteur_6[[#This Row],[Delta Jour]],"")</f>
        <v/>
      </c>
      <c r="I121" s="212" t="str">
        <f t="shared" si="4"/>
        <v/>
      </c>
      <c r="J121" s="209"/>
      <c r="K121" s="38"/>
      <c r="L121" s="38"/>
      <c r="M121" s="38"/>
    </row>
    <row r="122" spans="1:13">
      <c r="A122" s="55">
        <f t="shared" si="5"/>
        <v>1</v>
      </c>
      <c r="B122" s="87"/>
      <c r="C122" s="192"/>
      <c r="D122" s="195"/>
      <c r="E122" s="186"/>
      <c r="F122" s="186">
        <f t="shared" si="3"/>
        <v>0</v>
      </c>
      <c r="G122" s="186" t="str">
        <f>IF(IFERROR(IF(Str_TypeDonneesCpt6=Cpt_Index,Tab_Compteur_6[[#This Row],[Index]]-E121,Tab_Compteur_6[[#This Row],[Quantité]])/Tab_Compteur_6[[#This Row],[Delta Jour]],"")&lt;0,"",IFERROR(IF(Str_TypeDonneesCpt6=Cpt_Index,Tab_Compteur_6[[#This Row],[Index]]-E121,Tab_Compteur_6[[#This Row],[Quantité]])/Tab_Compteur_6[[#This Row],[Delta Jour]],""))</f>
        <v/>
      </c>
      <c r="H122" s="186" t="str">
        <f>IFERROR(Tab_Compteur_6[[#This Row],[Montant]]/Tab_Compteur_6[[#This Row],[Delta Jour]],"")</f>
        <v/>
      </c>
      <c r="I122" s="212" t="str">
        <f t="shared" si="4"/>
        <v/>
      </c>
      <c r="J122" s="209"/>
      <c r="K122" s="38"/>
      <c r="L122" s="38"/>
      <c r="M122" s="38"/>
    </row>
    <row r="123" spans="1:13">
      <c r="A123" s="55">
        <f t="shared" si="5"/>
        <v>1</v>
      </c>
      <c r="B123" s="87"/>
      <c r="C123" s="192"/>
      <c r="D123" s="195"/>
      <c r="E123" s="186"/>
      <c r="F123" s="186">
        <f t="shared" si="3"/>
        <v>0</v>
      </c>
      <c r="G123" s="186" t="str">
        <f>IF(IFERROR(IF(Str_TypeDonneesCpt6=Cpt_Index,Tab_Compteur_6[[#This Row],[Index]]-E122,Tab_Compteur_6[[#This Row],[Quantité]])/Tab_Compteur_6[[#This Row],[Delta Jour]],"")&lt;0,"",IFERROR(IF(Str_TypeDonneesCpt6=Cpt_Index,Tab_Compteur_6[[#This Row],[Index]]-E122,Tab_Compteur_6[[#This Row],[Quantité]])/Tab_Compteur_6[[#This Row],[Delta Jour]],""))</f>
        <v/>
      </c>
      <c r="H123" s="186" t="str">
        <f>IFERROR(Tab_Compteur_6[[#This Row],[Montant]]/Tab_Compteur_6[[#This Row],[Delta Jour]],"")</f>
        <v/>
      </c>
      <c r="I123" s="212" t="str">
        <f t="shared" si="4"/>
        <v/>
      </c>
      <c r="J123" s="209"/>
      <c r="K123" s="38"/>
      <c r="L123" s="38"/>
      <c r="M123" s="38"/>
    </row>
    <row r="124" spans="1:13">
      <c r="A124" s="55">
        <f t="shared" si="5"/>
        <v>1</v>
      </c>
      <c r="B124" s="87"/>
      <c r="C124" s="192"/>
      <c r="D124" s="195"/>
      <c r="E124" s="186"/>
      <c r="F124" s="186">
        <f t="shared" si="3"/>
        <v>0</v>
      </c>
      <c r="G124" s="186" t="str">
        <f>IF(IFERROR(IF(Str_TypeDonneesCpt6=Cpt_Index,Tab_Compteur_6[[#This Row],[Index]]-E123,Tab_Compteur_6[[#This Row],[Quantité]])/Tab_Compteur_6[[#This Row],[Delta Jour]],"")&lt;0,"",IFERROR(IF(Str_TypeDonneesCpt6=Cpt_Index,Tab_Compteur_6[[#This Row],[Index]]-E123,Tab_Compteur_6[[#This Row],[Quantité]])/Tab_Compteur_6[[#This Row],[Delta Jour]],""))</f>
        <v/>
      </c>
      <c r="H124" s="186" t="str">
        <f>IFERROR(Tab_Compteur_6[[#This Row],[Montant]]/Tab_Compteur_6[[#This Row],[Delta Jour]],"")</f>
        <v/>
      </c>
      <c r="I124" s="212" t="str">
        <f t="shared" si="4"/>
        <v/>
      </c>
      <c r="J124" s="209"/>
      <c r="K124" s="38"/>
      <c r="L124" s="38"/>
      <c r="M124" s="38"/>
    </row>
    <row r="125" spans="1:13">
      <c r="A125" s="55">
        <f t="shared" si="5"/>
        <v>1</v>
      </c>
      <c r="B125" s="87"/>
      <c r="C125" s="192"/>
      <c r="D125" s="195"/>
      <c r="E125" s="186"/>
      <c r="F125" s="186">
        <f t="shared" si="3"/>
        <v>0</v>
      </c>
      <c r="G125" s="186" t="str">
        <f>IF(IFERROR(IF(Str_TypeDonneesCpt6=Cpt_Index,Tab_Compteur_6[[#This Row],[Index]]-E124,Tab_Compteur_6[[#This Row],[Quantité]])/Tab_Compteur_6[[#This Row],[Delta Jour]],"")&lt;0,"",IFERROR(IF(Str_TypeDonneesCpt6=Cpt_Index,Tab_Compteur_6[[#This Row],[Index]]-E124,Tab_Compteur_6[[#This Row],[Quantité]])/Tab_Compteur_6[[#This Row],[Delta Jour]],""))</f>
        <v/>
      </c>
      <c r="H125" s="186" t="str">
        <f>IFERROR(Tab_Compteur_6[[#This Row],[Montant]]/Tab_Compteur_6[[#This Row],[Delta Jour]],"")</f>
        <v/>
      </c>
      <c r="I125" s="212" t="str">
        <f t="shared" si="4"/>
        <v/>
      </c>
      <c r="J125" s="209"/>
      <c r="K125" s="38"/>
      <c r="L125" s="38"/>
      <c r="M125" s="38"/>
    </row>
    <row r="126" spans="1:13">
      <c r="A126" s="55">
        <f t="shared" si="5"/>
        <v>1</v>
      </c>
      <c r="B126" s="87"/>
      <c r="C126" s="192"/>
      <c r="D126" s="195"/>
      <c r="E126" s="186"/>
      <c r="F126" s="186">
        <f t="shared" si="3"/>
        <v>0</v>
      </c>
      <c r="G126" s="186" t="str">
        <f>IF(IFERROR(IF(Str_TypeDonneesCpt6=Cpt_Index,Tab_Compteur_6[[#This Row],[Index]]-E125,Tab_Compteur_6[[#This Row],[Quantité]])/Tab_Compteur_6[[#This Row],[Delta Jour]],"")&lt;0,"",IFERROR(IF(Str_TypeDonneesCpt6=Cpt_Index,Tab_Compteur_6[[#This Row],[Index]]-E125,Tab_Compteur_6[[#This Row],[Quantité]])/Tab_Compteur_6[[#This Row],[Delta Jour]],""))</f>
        <v/>
      </c>
      <c r="H126" s="186" t="str">
        <f>IFERROR(Tab_Compteur_6[[#This Row],[Montant]]/Tab_Compteur_6[[#This Row],[Delta Jour]],"")</f>
        <v/>
      </c>
      <c r="I126" s="212" t="str">
        <f t="shared" si="4"/>
        <v/>
      </c>
      <c r="J126" s="209"/>
      <c r="K126" s="38"/>
      <c r="L126" s="38"/>
      <c r="M126" s="38"/>
    </row>
    <row r="127" spans="1:13">
      <c r="A127" s="55">
        <f t="shared" si="5"/>
        <v>1</v>
      </c>
      <c r="B127" s="87"/>
      <c r="C127" s="192"/>
      <c r="D127" s="195"/>
      <c r="E127" s="186"/>
      <c r="F127" s="186">
        <f t="shared" si="3"/>
        <v>0</v>
      </c>
      <c r="G127" s="186" t="str">
        <f>IF(IFERROR(IF(Str_TypeDonneesCpt6=Cpt_Index,Tab_Compteur_6[[#This Row],[Index]]-E126,Tab_Compteur_6[[#This Row],[Quantité]])/Tab_Compteur_6[[#This Row],[Delta Jour]],"")&lt;0,"",IFERROR(IF(Str_TypeDonneesCpt6=Cpt_Index,Tab_Compteur_6[[#This Row],[Index]]-E126,Tab_Compteur_6[[#This Row],[Quantité]])/Tab_Compteur_6[[#This Row],[Delta Jour]],""))</f>
        <v/>
      </c>
      <c r="H127" s="186" t="str">
        <f>IFERROR(Tab_Compteur_6[[#This Row],[Montant]]/Tab_Compteur_6[[#This Row],[Delta Jour]],"")</f>
        <v/>
      </c>
      <c r="I127" s="212" t="str">
        <f t="shared" si="4"/>
        <v/>
      </c>
      <c r="J127" s="209"/>
      <c r="K127" s="38"/>
      <c r="L127" s="38"/>
      <c r="M127" s="38"/>
    </row>
    <row r="128" spans="1:13">
      <c r="A128" s="55">
        <f t="shared" si="5"/>
        <v>1</v>
      </c>
      <c r="B128" s="87"/>
      <c r="C128" s="192"/>
      <c r="D128" s="195"/>
      <c r="E128" s="186"/>
      <c r="F128" s="186">
        <f t="shared" si="3"/>
        <v>0</v>
      </c>
      <c r="G128" s="186" t="str">
        <f>IF(IFERROR(IF(Str_TypeDonneesCpt6=Cpt_Index,Tab_Compteur_6[[#This Row],[Index]]-E127,Tab_Compteur_6[[#This Row],[Quantité]])/Tab_Compteur_6[[#This Row],[Delta Jour]],"")&lt;0,"",IFERROR(IF(Str_TypeDonneesCpt6=Cpt_Index,Tab_Compteur_6[[#This Row],[Index]]-E127,Tab_Compteur_6[[#This Row],[Quantité]])/Tab_Compteur_6[[#This Row],[Delta Jour]],""))</f>
        <v/>
      </c>
      <c r="H128" s="186" t="str">
        <f>IFERROR(Tab_Compteur_6[[#This Row],[Montant]]/Tab_Compteur_6[[#This Row],[Delta Jour]],"")</f>
        <v/>
      </c>
      <c r="I128" s="212" t="str">
        <f t="shared" si="4"/>
        <v/>
      </c>
      <c r="J128" s="209"/>
      <c r="K128" s="38"/>
      <c r="L128" s="38"/>
      <c r="M128" s="38"/>
    </row>
    <row r="129" spans="1:13">
      <c r="A129" s="55">
        <f t="shared" si="5"/>
        <v>1</v>
      </c>
      <c r="B129" s="87"/>
      <c r="C129" s="192"/>
      <c r="D129" s="195"/>
      <c r="E129" s="186"/>
      <c r="F129" s="186">
        <f t="shared" si="3"/>
        <v>0</v>
      </c>
      <c r="G129" s="186" t="str">
        <f>IF(IFERROR(IF(Str_TypeDonneesCpt6=Cpt_Index,Tab_Compteur_6[[#This Row],[Index]]-E128,Tab_Compteur_6[[#This Row],[Quantité]])/Tab_Compteur_6[[#This Row],[Delta Jour]],"")&lt;0,"",IFERROR(IF(Str_TypeDonneesCpt6=Cpt_Index,Tab_Compteur_6[[#This Row],[Index]]-E128,Tab_Compteur_6[[#This Row],[Quantité]])/Tab_Compteur_6[[#This Row],[Delta Jour]],""))</f>
        <v/>
      </c>
      <c r="H129" s="186" t="str">
        <f>IFERROR(Tab_Compteur_6[[#This Row],[Montant]]/Tab_Compteur_6[[#This Row],[Delta Jour]],"")</f>
        <v/>
      </c>
      <c r="I129" s="212" t="str">
        <f t="shared" si="4"/>
        <v/>
      </c>
      <c r="J129" s="209"/>
      <c r="K129" s="38"/>
      <c r="L129" s="38"/>
      <c r="M129" s="38"/>
    </row>
    <row r="130" spans="1:13">
      <c r="A130" s="55">
        <f t="shared" si="5"/>
        <v>1</v>
      </c>
      <c r="B130" s="87"/>
      <c r="C130" s="192"/>
      <c r="D130" s="195"/>
      <c r="E130" s="186"/>
      <c r="F130" s="186">
        <f t="shared" si="3"/>
        <v>0</v>
      </c>
      <c r="G130" s="186" t="str">
        <f>IF(IFERROR(IF(Str_TypeDonneesCpt6=Cpt_Index,Tab_Compteur_6[[#This Row],[Index]]-E129,Tab_Compteur_6[[#This Row],[Quantité]])/Tab_Compteur_6[[#This Row],[Delta Jour]],"")&lt;0,"",IFERROR(IF(Str_TypeDonneesCpt6=Cpt_Index,Tab_Compteur_6[[#This Row],[Index]]-E129,Tab_Compteur_6[[#This Row],[Quantité]])/Tab_Compteur_6[[#This Row],[Delta Jour]],""))</f>
        <v/>
      </c>
      <c r="H130" s="186" t="str">
        <f>IFERROR(Tab_Compteur_6[[#This Row],[Montant]]/Tab_Compteur_6[[#This Row],[Delta Jour]],"")</f>
        <v/>
      </c>
      <c r="I130" s="212" t="str">
        <f t="shared" si="4"/>
        <v/>
      </c>
      <c r="J130" s="209"/>
      <c r="K130" s="38"/>
      <c r="L130" s="38"/>
      <c r="M130" s="38"/>
    </row>
    <row r="131" spans="1:13">
      <c r="A131" s="55">
        <f t="shared" si="5"/>
        <v>1</v>
      </c>
      <c r="B131" s="87"/>
      <c r="C131" s="192"/>
      <c r="D131" s="195"/>
      <c r="E131" s="186"/>
      <c r="F131" s="186">
        <f t="shared" ref="F131:F194" si="6">IFERROR(B131-A131+1,"")</f>
        <v>0</v>
      </c>
      <c r="G131" s="186" t="str">
        <f>IF(IFERROR(IF(Str_TypeDonneesCpt6=Cpt_Index,Tab_Compteur_6[[#This Row],[Index]]-E130,Tab_Compteur_6[[#This Row],[Quantité]])/Tab_Compteur_6[[#This Row],[Delta Jour]],"")&lt;0,"",IFERROR(IF(Str_TypeDonneesCpt6=Cpt_Index,Tab_Compteur_6[[#This Row],[Index]]-E130,Tab_Compteur_6[[#This Row],[Quantité]])/Tab_Compteur_6[[#This Row],[Delta Jour]],""))</f>
        <v/>
      </c>
      <c r="H131" s="186" t="str">
        <f>IFERROR(Tab_Compteur_6[[#This Row],[Montant]]/Tab_Compteur_6[[#This Row],[Delta Jour]],"")</f>
        <v/>
      </c>
      <c r="I131" s="212" t="str">
        <f t="shared" ref="I131:I194" si="7">G131</f>
        <v/>
      </c>
      <c r="J131" s="209"/>
      <c r="K131" s="38"/>
      <c r="L131" s="38"/>
      <c r="M131" s="38"/>
    </row>
    <row r="132" spans="1:13">
      <c r="A132" s="55">
        <f t="shared" si="5"/>
        <v>1</v>
      </c>
      <c r="B132" s="87"/>
      <c r="C132" s="192"/>
      <c r="D132" s="195"/>
      <c r="E132" s="186"/>
      <c r="F132" s="186">
        <f t="shared" si="6"/>
        <v>0</v>
      </c>
      <c r="G132" s="186" t="str">
        <f>IF(IFERROR(IF(Str_TypeDonneesCpt6=Cpt_Index,Tab_Compteur_6[[#This Row],[Index]]-E131,Tab_Compteur_6[[#This Row],[Quantité]])/Tab_Compteur_6[[#This Row],[Delta Jour]],"")&lt;0,"",IFERROR(IF(Str_TypeDonneesCpt6=Cpt_Index,Tab_Compteur_6[[#This Row],[Index]]-E131,Tab_Compteur_6[[#This Row],[Quantité]])/Tab_Compteur_6[[#This Row],[Delta Jour]],""))</f>
        <v/>
      </c>
      <c r="H132" s="186" t="str">
        <f>IFERROR(Tab_Compteur_6[[#This Row],[Montant]]/Tab_Compteur_6[[#This Row],[Delta Jour]],"")</f>
        <v/>
      </c>
      <c r="I132" s="212" t="str">
        <f t="shared" si="7"/>
        <v/>
      </c>
      <c r="J132" s="209"/>
      <c r="K132" s="38"/>
      <c r="L132" s="38"/>
      <c r="M132" s="38"/>
    </row>
    <row r="133" spans="1:13">
      <c r="A133" s="55">
        <f t="shared" si="5"/>
        <v>1</v>
      </c>
      <c r="B133" s="87"/>
      <c r="C133" s="192"/>
      <c r="D133" s="195"/>
      <c r="E133" s="186"/>
      <c r="F133" s="186">
        <f t="shared" si="6"/>
        <v>0</v>
      </c>
      <c r="G133" s="186" t="str">
        <f>IF(IFERROR(IF(Str_TypeDonneesCpt6=Cpt_Index,Tab_Compteur_6[[#This Row],[Index]]-E132,Tab_Compteur_6[[#This Row],[Quantité]])/Tab_Compteur_6[[#This Row],[Delta Jour]],"")&lt;0,"",IFERROR(IF(Str_TypeDonneesCpt6=Cpt_Index,Tab_Compteur_6[[#This Row],[Index]]-E132,Tab_Compteur_6[[#This Row],[Quantité]])/Tab_Compteur_6[[#This Row],[Delta Jour]],""))</f>
        <v/>
      </c>
      <c r="H133" s="186" t="str">
        <f>IFERROR(Tab_Compteur_6[[#This Row],[Montant]]/Tab_Compteur_6[[#This Row],[Delta Jour]],"")</f>
        <v/>
      </c>
      <c r="I133" s="212" t="str">
        <f t="shared" si="7"/>
        <v/>
      </c>
      <c r="J133" s="209"/>
      <c r="K133" s="38"/>
      <c r="L133" s="38"/>
      <c r="M133" s="38"/>
    </row>
    <row r="134" spans="1:13">
      <c r="A134" s="55">
        <f t="shared" ref="A134:A197" si="8">IFERROR(B133+1,0)</f>
        <v>1</v>
      </c>
      <c r="B134" s="87"/>
      <c r="C134" s="192"/>
      <c r="D134" s="195"/>
      <c r="E134" s="186"/>
      <c r="F134" s="186">
        <f t="shared" si="6"/>
        <v>0</v>
      </c>
      <c r="G134" s="186" t="str">
        <f>IF(IFERROR(IF(Str_TypeDonneesCpt6=Cpt_Index,Tab_Compteur_6[[#This Row],[Index]]-E133,Tab_Compteur_6[[#This Row],[Quantité]])/Tab_Compteur_6[[#This Row],[Delta Jour]],"")&lt;0,"",IFERROR(IF(Str_TypeDonneesCpt6=Cpt_Index,Tab_Compteur_6[[#This Row],[Index]]-E133,Tab_Compteur_6[[#This Row],[Quantité]])/Tab_Compteur_6[[#This Row],[Delta Jour]],""))</f>
        <v/>
      </c>
      <c r="H134" s="186" t="str">
        <f>IFERROR(Tab_Compteur_6[[#This Row],[Montant]]/Tab_Compteur_6[[#This Row],[Delta Jour]],"")</f>
        <v/>
      </c>
      <c r="I134" s="212" t="str">
        <f t="shared" si="7"/>
        <v/>
      </c>
      <c r="J134" s="209"/>
      <c r="K134" s="38"/>
      <c r="L134" s="38"/>
      <c r="M134" s="38"/>
    </row>
    <row r="135" spans="1:13">
      <c r="A135" s="55">
        <f t="shared" si="8"/>
        <v>1</v>
      </c>
      <c r="B135" s="87"/>
      <c r="C135" s="192"/>
      <c r="D135" s="195"/>
      <c r="E135" s="186"/>
      <c r="F135" s="186">
        <f t="shared" si="6"/>
        <v>0</v>
      </c>
      <c r="G135" s="186" t="str">
        <f>IF(IFERROR(IF(Str_TypeDonneesCpt6=Cpt_Index,Tab_Compteur_6[[#This Row],[Index]]-E134,Tab_Compteur_6[[#This Row],[Quantité]])/Tab_Compteur_6[[#This Row],[Delta Jour]],"")&lt;0,"",IFERROR(IF(Str_TypeDonneesCpt6=Cpt_Index,Tab_Compteur_6[[#This Row],[Index]]-E134,Tab_Compteur_6[[#This Row],[Quantité]])/Tab_Compteur_6[[#This Row],[Delta Jour]],""))</f>
        <v/>
      </c>
      <c r="H135" s="186" t="str">
        <f>IFERROR(Tab_Compteur_6[[#This Row],[Montant]]/Tab_Compteur_6[[#This Row],[Delta Jour]],"")</f>
        <v/>
      </c>
      <c r="I135" s="212" t="str">
        <f t="shared" si="7"/>
        <v/>
      </c>
      <c r="J135" s="209"/>
      <c r="K135" s="38"/>
      <c r="L135" s="38"/>
      <c r="M135" s="38"/>
    </row>
    <row r="136" spans="1:13">
      <c r="A136" s="55">
        <f t="shared" si="8"/>
        <v>1</v>
      </c>
      <c r="B136" s="87"/>
      <c r="C136" s="192"/>
      <c r="D136" s="195"/>
      <c r="E136" s="186"/>
      <c r="F136" s="186">
        <f t="shared" si="6"/>
        <v>0</v>
      </c>
      <c r="G136" s="186" t="str">
        <f>IF(IFERROR(IF(Str_TypeDonneesCpt6=Cpt_Index,Tab_Compteur_6[[#This Row],[Index]]-E135,Tab_Compteur_6[[#This Row],[Quantité]])/Tab_Compteur_6[[#This Row],[Delta Jour]],"")&lt;0,"",IFERROR(IF(Str_TypeDonneesCpt6=Cpt_Index,Tab_Compteur_6[[#This Row],[Index]]-E135,Tab_Compteur_6[[#This Row],[Quantité]])/Tab_Compteur_6[[#This Row],[Delta Jour]],""))</f>
        <v/>
      </c>
      <c r="H136" s="186" t="str">
        <f>IFERROR(Tab_Compteur_6[[#This Row],[Montant]]/Tab_Compteur_6[[#This Row],[Delta Jour]],"")</f>
        <v/>
      </c>
      <c r="I136" s="212" t="str">
        <f t="shared" si="7"/>
        <v/>
      </c>
      <c r="J136" s="209"/>
      <c r="K136" s="38"/>
      <c r="L136" s="38"/>
      <c r="M136" s="38"/>
    </row>
    <row r="137" spans="1:13">
      <c r="A137" s="55">
        <f t="shared" si="8"/>
        <v>1</v>
      </c>
      <c r="B137" s="87"/>
      <c r="C137" s="192"/>
      <c r="D137" s="195"/>
      <c r="E137" s="186"/>
      <c r="F137" s="186">
        <f t="shared" si="6"/>
        <v>0</v>
      </c>
      <c r="G137" s="186" t="str">
        <f>IF(IFERROR(IF(Str_TypeDonneesCpt6=Cpt_Index,Tab_Compteur_6[[#This Row],[Index]]-E136,Tab_Compteur_6[[#This Row],[Quantité]])/Tab_Compteur_6[[#This Row],[Delta Jour]],"")&lt;0,"",IFERROR(IF(Str_TypeDonneesCpt6=Cpt_Index,Tab_Compteur_6[[#This Row],[Index]]-E136,Tab_Compteur_6[[#This Row],[Quantité]])/Tab_Compteur_6[[#This Row],[Delta Jour]],""))</f>
        <v/>
      </c>
      <c r="H137" s="186" t="str">
        <f>IFERROR(Tab_Compteur_6[[#This Row],[Montant]]/Tab_Compteur_6[[#This Row],[Delta Jour]],"")</f>
        <v/>
      </c>
      <c r="I137" s="212" t="str">
        <f t="shared" si="7"/>
        <v/>
      </c>
      <c r="J137" s="209"/>
      <c r="K137" s="38"/>
      <c r="L137" s="38"/>
      <c r="M137" s="38"/>
    </row>
    <row r="138" spans="1:13">
      <c r="A138" s="55">
        <f t="shared" si="8"/>
        <v>1</v>
      </c>
      <c r="B138" s="87"/>
      <c r="C138" s="192"/>
      <c r="D138" s="195"/>
      <c r="E138" s="186"/>
      <c r="F138" s="186">
        <f t="shared" si="6"/>
        <v>0</v>
      </c>
      <c r="G138" s="186" t="str">
        <f>IF(IFERROR(IF(Str_TypeDonneesCpt6=Cpt_Index,Tab_Compteur_6[[#This Row],[Index]]-E137,Tab_Compteur_6[[#This Row],[Quantité]])/Tab_Compteur_6[[#This Row],[Delta Jour]],"")&lt;0,"",IFERROR(IF(Str_TypeDonneesCpt6=Cpt_Index,Tab_Compteur_6[[#This Row],[Index]]-E137,Tab_Compteur_6[[#This Row],[Quantité]])/Tab_Compteur_6[[#This Row],[Delta Jour]],""))</f>
        <v/>
      </c>
      <c r="H138" s="186" t="str">
        <f>IFERROR(Tab_Compteur_6[[#This Row],[Montant]]/Tab_Compteur_6[[#This Row],[Delta Jour]],"")</f>
        <v/>
      </c>
      <c r="I138" s="212" t="str">
        <f t="shared" si="7"/>
        <v/>
      </c>
      <c r="J138" s="209"/>
      <c r="K138" s="38"/>
      <c r="L138" s="38"/>
      <c r="M138" s="38"/>
    </row>
    <row r="139" spans="1:13">
      <c r="A139" s="55">
        <f t="shared" si="8"/>
        <v>1</v>
      </c>
      <c r="B139" s="87"/>
      <c r="C139" s="192"/>
      <c r="D139" s="195"/>
      <c r="E139" s="186"/>
      <c r="F139" s="186">
        <f t="shared" si="6"/>
        <v>0</v>
      </c>
      <c r="G139" s="186" t="str">
        <f>IF(IFERROR(IF(Str_TypeDonneesCpt6=Cpt_Index,Tab_Compteur_6[[#This Row],[Index]]-E138,Tab_Compteur_6[[#This Row],[Quantité]])/Tab_Compteur_6[[#This Row],[Delta Jour]],"")&lt;0,"",IFERROR(IF(Str_TypeDonneesCpt6=Cpt_Index,Tab_Compteur_6[[#This Row],[Index]]-E138,Tab_Compteur_6[[#This Row],[Quantité]])/Tab_Compteur_6[[#This Row],[Delta Jour]],""))</f>
        <v/>
      </c>
      <c r="H139" s="186" t="str">
        <f>IFERROR(Tab_Compteur_6[[#This Row],[Montant]]/Tab_Compteur_6[[#This Row],[Delta Jour]],"")</f>
        <v/>
      </c>
      <c r="I139" s="212" t="str">
        <f t="shared" si="7"/>
        <v/>
      </c>
      <c r="J139" s="209"/>
      <c r="K139" s="38"/>
      <c r="L139" s="38"/>
      <c r="M139" s="38"/>
    </row>
    <row r="140" spans="1:13">
      <c r="A140" s="55">
        <f t="shared" si="8"/>
        <v>1</v>
      </c>
      <c r="B140" s="87"/>
      <c r="C140" s="192"/>
      <c r="D140" s="195"/>
      <c r="E140" s="186"/>
      <c r="F140" s="186">
        <f t="shared" si="6"/>
        <v>0</v>
      </c>
      <c r="G140" s="186" t="str">
        <f>IF(IFERROR(IF(Str_TypeDonneesCpt6=Cpt_Index,Tab_Compteur_6[[#This Row],[Index]]-E139,Tab_Compteur_6[[#This Row],[Quantité]])/Tab_Compteur_6[[#This Row],[Delta Jour]],"")&lt;0,"",IFERROR(IF(Str_TypeDonneesCpt6=Cpt_Index,Tab_Compteur_6[[#This Row],[Index]]-E139,Tab_Compteur_6[[#This Row],[Quantité]])/Tab_Compteur_6[[#This Row],[Delta Jour]],""))</f>
        <v/>
      </c>
      <c r="H140" s="186" t="str">
        <f>IFERROR(Tab_Compteur_6[[#This Row],[Montant]]/Tab_Compteur_6[[#This Row],[Delta Jour]],"")</f>
        <v/>
      </c>
      <c r="I140" s="212" t="str">
        <f t="shared" si="7"/>
        <v/>
      </c>
      <c r="J140" s="209"/>
      <c r="K140" s="38"/>
      <c r="L140" s="38"/>
      <c r="M140" s="38"/>
    </row>
    <row r="141" spans="1:13">
      <c r="A141" s="55">
        <f t="shared" si="8"/>
        <v>1</v>
      </c>
      <c r="B141" s="87"/>
      <c r="C141" s="192"/>
      <c r="D141" s="195"/>
      <c r="E141" s="186"/>
      <c r="F141" s="186">
        <f t="shared" si="6"/>
        <v>0</v>
      </c>
      <c r="G141" s="186" t="str">
        <f>IF(IFERROR(IF(Str_TypeDonneesCpt6=Cpt_Index,Tab_Compteur_6[[#This Row],[Index]]-E140,Tab_Compteur_6[[#This Row],[Quantité]])/Tab_Compteur_6[[#This Row],[Delta Jour]],"")&lt;0,"",IFERROR(IF(Str_TypeDonneesCpt6=Cpt_Index,Tab_Compteur_6[[#This Row],[Index]]-E140,Tab_Compteur_6[[#This Row],[Quantité]])/Tab_Compteur_6[[#This Row],[Delta Jour]],""))</f>
        <v/>
      </c>
      <c r="H141" s="186" t="str">
        <f>IFERROR(Tab_Compteur_6[[#This Row],[Montant]]/Tab_Compteur_6[[#This Row],[Delta Jour]],"")</f>
        <v/>
      </c>
      <c r="I141" s="212" t="str">
        <f t="shared" si="7"/>
        <v/>
      </c>
      <c r="J141" s="209"/>
      <c r="K141" s="38"/>
      <c r="L141" s="38"/>
      <c r="M141" s="38"/>
    </row>
    <row r="142" spans="1:13">
      <c r="A142" s="55">
        <f t="shared" si="8"/>
        <v>1</v>
      </c>
      <c r="B142" s="87"/>
      <c r="C142" s="192"/>
      <c r="D142" s="195"/>
      <c r="E142" s="186"/>
      <c r="F142" s="186">
        <f t="shared" si="6"/>
        <v>0</v>
      </c>
      <c r="G142" s="186" t="str">
        <f>IF(IFERROR(IF(Str_TypeDonneesCpt6=Cpt_Index,Tab_Compteur_6[[#This Row],[Index]]-E141,Tab_Compteur_6[[#This Row],[Quantité]])/Tab_Compteur_6[[#This Row],[Delta Jour]],"")&lt;0,"",IFERROR(IF(Str_TypeDonneesCpt6=Cpt_Index,Tab_Compteur_6[[#This Row],[Index]]-E141,Tab_Compteur_6[[#This Row],[Quantité]])/Tab_Compteur_6[[#This Row],[Delta Jour]],""))</f>
        <v/>
      </c>
      <c r="H142" s="186" t="str">
        <f>IFERROR(Tab_Compteur_6[[#This Row],[Montant]]/Tab_Compteur_6[[#This Row],[Delta Jour]],"")</f>
        <v/>
      </c>
      <c r="I142" s="212" t="str">
        <f t="shared" si="7"/>
        <v/>
      </c>
      <c r="J142" s="209"/>
      <c r="K142" s="38"/>
      <c r="L142" s="38"/>
      <c r="M142" s="38"/>
    </row>
    <row r="143" spans="1:13">
      <c r="A143" s="55">
        <f t="shared" si="8"/>
        <v>1</v>
      </c>
      <c r="B143" s="87"/>
      <c r="C143" s="192"/>
      <c r="D143" s="195"/>
      <c r="E143" s="186"/>
      <c r="F143" s="186">
        <f t="shared" si="6"/>
        <v>0</v>
      </c>
      <c r="G143" s="186" t="str">
        <f>IF(IFERROR(IF(Str_TypeDonneesCpt6=Cpt_Index,Tab_Compteur_6[[#This Row],[Index]]-E142,Tab_Compteur_6[[#This Row],[Quantité]])/Tab_Compteur_6[[#This Row],[Delta Jour]],"")&lt;0,"",IFERROR(IF(Str_TypeDonneesCpt6=Cpt_Index,Tab_Compteur_6[[#This Row],[Index]]-E142,Tab_Compteur_6[[#This Row],[Quantité]])/Tab_Compteur_6[[#This Row],[Delta Jour]],""))</f>
        <v/>
      </c>
      <c r="H143" s="186" t="str">
        <f>IFERROR(Tab_Compteur_6[[#This Row],[Montant]]/Tab_Compteur_6[[#This Row],[Delta Jour]],"")</f>
        <v/>
      </c>
      <c r="I143" s="212" t="str">
        <f t="shared" si="7"/>
        <v/>
      </c>
      <c r="J143" s="209"/>
      <c r="K143" s="38"/>
      <c r="L143" s="38"/>
      <c r="M143" s="38"/>
    </row>
    <row r="144" spans="1:13">
      <c r="A144" s="55">
        <f t="shared" si="8"/>
        <v>1</v>
      </c>
      <c r="B144" s="87"/>
      <c r="C144" s="192"/>
      <c r="D144" s="195"/>
      <c r="E144" s="186"/>
      <c r="F144" s="186">
        <f t="shared" si="6"/>
        <v>0</v>
      </c>
      <c r="G144" s="186" t="str">
        <f>IF(IFERROR(IF(Str_TypeDonneesCpt6=Cpt_Index,Tab_Compteur_6[[#This Row],[Index]]-E143,Tab_Compteur_6[[#This Row],[Quantité]])/Tab_Compteur_6[[#This Row],[Delta Jour]],"")&lt;0,"",IFERROR(IF(Str_TypeDonneesCpt6=Cpt_Index,Tab_Compteur_6[[#This Row],[Index]]-E143,Tab_Compteur_6[[#This Row],[Quantité]])/Tab_Compteur_6[[#This Row],[Delta Jour]],""))</f>
        <v/>
      </c>
      <c r="H144" s="186" t="str">
        <f>IFERROR(Tab_Compteur_6[[#This Row],[Montant]]/Tab_Compteur_6[[#This Row],[Delta Jour]],"")</f>
        <v/>
      </c>
      <c r="I144" s="212" t="str">
        <f t="shared" si="7"/>
        <v/>
      </c>
      <c r="J144" s="209"/>
      <c r="K144" s="38"/>
      <c r="L144" s="38"/>
      <c r="M144" s="38"/>
    </row>
    <row r="145" spans="1:13">
      <c r="A145" s="55">
        <f t="shared" si="8"/>
        <v>1</v>
      </c>
      <c r="B145" s="87"/>
      <c r="C145" s="192"/>
      <c r="D145" s="195"/>
      <c r="E145" s="186"/>
      <c r="F145" s="186">
        <f t="shared" si="6"/>
        <v>0</v>
      </c>
      <c r="G145" s="186" t="str">
        <f>IF(IFERROR(IF(Str_TypeDonneesCpt6=Cpt_Index,Tab_Compteur_6[[#This Row],[Index]]-E144,Tab_Compteur_6[[#This Row],[Quantité]])/Tab_Compteur_6[[#This Row],[Delta Jour]],"")&lt;0,"",IFERROR(IF(Str_TypeDonneesCpt6=Cpt_Index,Tab_Compteur_6[[#This Row],[Index]]-E144,Tab_Compteur_6[[#This Row],[Quantité]])/Tab_Compteur_6[[#This Row],[Delta Jour]],""))</f>
        <v/>
      </c>
      <c r="H145" s="186" t="str">
        <f>IFERROR(Tab_Compteur_6[[#This Row],[Montant]]/Tab_Compteur_6[[#This Row],[Delta Jour]],"")</f>
        <v/>
      </c>
      <c r="I145" s="212" t="str">
        <f t="shared" si="7"/>
        <v/>
      </c>
      <c r="J145" s="209"/>
      <c r="K145" s="38"/>
      <c r="L145" s="38"/>
      <c r="M145" s="38"/>
    </row>
    <row r="146" spans="1:13">
      <c r="A146" s="55">
        <f t="shared" si="8"/>
        <v>1</v>
      </c>
      <c r="B146" s="87"/>
      <c r="C146" s="192"/>
      <c r="D146" s="195"/>
      <c r="E146" s="186"/>
      <c r="F146" s="186">
        <f t="shared" si="6"/>
        <v>0</v>
      </c>
      <c r="G146" s="186" t="str">
        <f>IF(IFERROR(IF(Str_TypeDonneesCpt6=Cpt_Index,Tab_Compteur_6[[#This Row],[Index]]-E145,Tab_Compteur_6[[#This Row],[Quantité]])/Tab_Compteur_6[[#This Row],[Delta Jour]],"")&lt;0,"",IFERROR(IF(Str_TypeDonneesCpt6=Cpt_Index,Tab_Compteur_6[[#This Row],[Index]]-E145,Tab_Compteur_6[[#This Row],[Quantité]])/Tab_Compteur_6[[#This Row],[Delta Jour]],""))</f>
        <v/>
      </c>
      <c r="H146" s="186" t="str">
        <f>IFERROR(Tab_Compteur_6[[#This Row],[Montant]]/Tab_Compteur_6[[#This Row],[Delta Jour]],"")</f>
        <v/>
      </c>
      <c r="I146" s="212" t="str">
        <f t="shared" si="7"/>
        <v/>
      </c>
      <c r="J146" s="209"/>
      <c r="K146" s="38"/>
      <c r="L146" s="38"/>
      <c r="M146" s="38"/>
    </row>
    <row r="147" spans="1:13">
      <c r="A147" s="55">
        <f t="shared" si="8"/>
        <v>1</v>
      </c>
      <c r="B147" s="87"/>
      <c r="C147" s="192"/>
      <c r="D147" s="195"/>
      <c r="E147" s="186"/>
      <c r="F147" s="186">
        <f t="shared" si="6"/>
        <v>0</v>
      </c>
      <c r="G147" s="186" t="str">
        <f>IF(IFERROR(IF(Str_TypeDonneesCpt6=Cpt_Index,Tab_Compteur_6[[#This Row],[Index]]-E146,Tab_Compteur_6[[#This Row],[Quantité]])/Tab_Compteur_6[[#This Row],[Delta Jour]],"")&lt;0,"",IFERROR(IF(Str_TypeDonneesCpt6=Cpt_Index,Tab_Compteur_6[[#This Row],[Index]]-E146,Tab_Compteur_6[[#This Row],[Quantité]])/Tab_Compteur_6[[#This Row],[Delta Jour]],""))</f>
        <v/>
      </c>
      <c r="H147" s="186" t="str">
        <f>IFERROR(Tab_Compteur_6[[#This Row],[Montant]]/Tab_Compteur_6[[#This Row],[Delta Jour]],"")</f>
        <v/>
      </c>
      <c r="I147" s="212" t="str">
        <f t="shared" si="7"/>
        <v/>
      </c>
      <c r="J147" s="209"/>
      <c r="K147" s="38"/>
      <c r="L147" s="38"/>
      <c r="M147" s="38"/>
    </row>
    <row r="148" spans="1:13">
      <c r="A148" s="55">
        <f t="shared" si="8"/>
        <v>1</v>
      </c>
      <c r="B148" s="87"/>
      <c r="C148" s="189"/>
      <c r="D148" s="195"/>
      <c r="E148" s="186"/>
      <c r="F148" s="186">
        <f t="shared" si="6"/>
        <v>0</v>
      </c>
      <c r="G148" s="186" t="str">
        <f>IF(IFERROR(IF(Str_TypeDonneesCpt6=Cpt_Index,Tab_Compteur_6[[#This Row],[Index]]-E147,Tab_Compteur_6[[#This Row],[Quantité]])/Tab_Compteur_6[[#This Row],[Delta Jour]],"")&lt;0,"",IFERROR(IF(Str_TypeDonneesCpt6=Cpt_Index,Tab_Compteur_6[[#This Row],[Index]]-E147,Tab_Compteur_6[[#This Row],[Quantité]])/Tab_Compteur_6[[#This Row],[Delta Jour]],""))</f>
        <v/>
      </c>
      <c r="H148" s="186" t="str">
        <f>IFERROR(Tab_Compteur_6[[#This Row],[Montant]]/Tab_Compteur_6[[#This Row],[Delta Jour]],"")</f>
        <v/>
      </c>
      <c r="I148" s="212" t="str">
        <f t="shared" si="7"/>
        <v/>
      </c>
      <c r="J148" s="209"/>
      <c r="K148" s="38"/>
      <c r="L148" s="38"/>
      <c r="M148" s="38"/>
    </row>
    <row r="149" spans="1:13">
      <c r="A149" s="55">
        <f t="shared" si="8"/>
        <v>1</v>
      </c>
      <c r="B149" s="87"/>
      <c r="C149" s="189"/>
      <c r="D149" s="195"/>
      <c r="E149" s="186"/>
      <c r="F149" s="186">
        <f t="shared" si="6"/>
        <v>0</v>
      </c>
      <c r="G149" s="186" t="str">
        <f>IF(IFERROR(IF(Str_TypeDonneesCpt6=Cpt_Index,Tab_Compteur_6[[#This Row],[Index]]-E148,Tab_Compteur_6[[#This Row],[Quantité]])/Tab_Compteur_6[[#This Row],[Delta Jour]],"")&lt;0,"",IFERROR(IF(Str_TypeDonneesCpt6=Cpt_Index,Tab_Compteur_6[[#This Row],[Index]]-E148,Tab_Compteur_6[[#This Row],[Quantité]])/Tab_Compteur_6[[#This Row],[Delta Jour]],""))</f>
        <v/>
      </c>
      <c r="H149" s="186" t="str">
        <f>IFERROR(Tab_Compteur_6[[#This Row],[Montant]]/Tab_Compteur_6[[#This Row],[Delta Jour]],"")</f>
        <v/>
      </c>
      <c r="I149" s="212" t="str">
        <f t="shared" si="7"/>
        <v/>
      </c>
      <c r="J149" s="209"/>
      <c r="K149" s="38"/>
      <c r="L149" s="38"/>
      <c r="M149" s="38"/>
    </row>
    <row r="150" spans="1:13">
      <c r="A150" s="55">
        <f t="shared" si="8"/>
        <v>1</v>
      </c>
      <c r="B150" s="87"/>
      <c r="C150" s="189"/>
      <c r="D150" s="195"/>
      <c r="E150" s="186"/>
      <c r="F150" s="186">
        <f t="shared" si="6"/>
        <v>0</v>
      </c>
      <c r="G150" s="186" t="str">
        <f>IF(IFERROR(IF(Str_TypeDonneesCpt6=Cpt_Index,Tab_Compteur_6[[#This Row],[Index]]-E149,Tab_Compteur_6[[#This Row],[Quantité]])/Tab_Compteur_6[[#This Row],[Delta Jour]],"")&lt;0,"",IFERROR(IF(Str_TypeDonneesCpt6=Cpt_Index,Tab_Compteur_6[[#This Row],[Index]]-E149,Tab_Compteur_6[[#This Row],[Quantité]])/Tab_Compteur_6[[#This Row],[Delta Jour]],""))</f>
        <v/>
      </c>
      <c r="H150" s="186" t="str">
        <f>IFERROR(Tab_Compteur_6[[#This Row],[Montant]]/Tab_Compteur_6[[#This Row],[Delta Jour]],"")</f>
        <v/>
      </c>
      <c r="I150" s="212" t="str">
        <f t="shared" si="7"/>
        <v/>
      </c>
      <c r="J150" s="209"/>
      <c r="K150" s="38"/>
      <c r="L150" s="38"/>
      <c r="M150" s="38"/>
    </row>
    <row r="151" spans="1:13">
      <c r="A151" s="55">
        <f t="shared" si="8"/>
        <v>1</v>
      </c>
      <c r="B151" s="87"/>
      <c r="C151" s="189"/>
      <c r="D151" s="195"/>
      <c r="E151" s="186"/>
      <c r="F151" s="186">
        <f t="shared" si="6"/>
        <v>0</v>
      </c>
      <c r="G151" s="186" t="str">
        <f>IF(IFERROR(IF(Str_TypeDonneesCpt6=Cpt_Index,Tab_Compteur_6[[#This Row],[Index]]-E150,Tab_Compteur_6[[#This Row],[Quantité]])/Tab_Compteur_6[[#This Row],[Delta Jour]],"")&lt;0,"",IFERROR(IF(Str_TypeDonneesCpt6=Cpt_Index,Tab_Compteur_6[[#This Row],[Index]]-E150,Tab_Compteur_6[[#This Row],[Quantité]])/Tab_Compteur_6[[#This Row],[Delta Jour]],""))</f>
        <v/>
      </c>
      <c r="H151" s="186" t="str">
        <f>IFERROR(Tab_Compteur_6[[#This Row],[Montant]]/Tab_Compteur_6[[#This Row],[Delta Jour]],"")</f>
        <v/>
      </c>
      <c r="I151" s="212" t="str">
        <f t="shared" si="7"/>
        <v/>
      </c>
      <c r="J151" s="209"/>
      <c r="K151" s="38"/>
      <c r="L151" s="38"/>
      <c r="M151" s="38"/>
    </row>
    <row r="152" spans="1:13">
      <c r="A152" s="55">
        <f t="shared" si="8"/>
        <v>1</v>
      </c>
      <c r="B152" s="87"/>
      <c r="C152" s="189"/>
      <c r="D152" s="195"/>
      <c r="E152" s="186"/>
      <c r="F152" s="186">
        <f t="shared" si="6"/>
        <v>0</v>
      </c>
      <c r="G152" s="186" t="str">
        <f>IF(IFERROR(IF(Str_TypeDonneesCpt6=Cpt_Index,Tab_Compteur_6[[#This Row],[Index]]-E151,Tab_Compteur_6[[#This Row],[Quantité]])/Tab_Compteur_6[[#This Row],[Delta Jour]],"")&lt;0,"",IFERROR(IF(Str_TypeDonneesCpt6=Cpt_Index,Tab_Compteur_6[[#This Row],[Index]]-E151,Tab_Compteur_6[[#This Row],[Quantité]])/Tab_Compteur_6[[#This Row],[Delta Jour]],""))</f>
        <v/>
      </c>
      <c r="H152" s="186" t="str">
        <f>IFERROR(Tab_Compteur_6[[#This Row],[Montant]]/Tab_Compteur_6[[#This Row],[Delta Jour]],"")</f>
        <v/>
      </c>
      <c r="I152" s="212" t="str">
        <f t="shared" si="7"/>
        <v/>
      </c>
      <c r="J152" s="209"/>
      <c r="K152" s="38"/>
      <c r="L152" s="38"/>
      <c r="M152" s="38"/>
    </row>
    <row r="153" spans="1:13">
      <c r="A153" s="55">
        <f t="shared" si="8"/>
        <v>1</v>
      </c>
      <c r="B153" s="87"/>
      <c r="C153" s="189"/>
      <c r="D153" s="195"/>
      <c r="E153" s="186"/>
      <c r="F153" s="186">
        <f t="shared" si="6"/>
        <v>0</v>
      </c>
      <c r="G153" s="186" t="str">
        <f>IF(IFERROR(IF(Str_TypeDonneesCpt6=Cpt_Index,Tab_Compteur_6[[#This Row],[Index]]-E152,Tab_Compteur_6[[#This Row],[Quantité]])/Tab_Compteur_6[[#This Row],[Delta Jour]],"")&lt;0,"",IFERROR(IF(Str_TypeDonneesCpt6=Cpt_Index,Tab_Compteur_6[[#This Row],[Index]]-E152,Tab_Compteur_6[[#This Row],[Quantité]])/Tab_Compteur_6[[#This Row],[Delta Jour]],""))</f>
        <v/>
      </c>
      <c r="H153" s="186" t="str">
        <f>IFERROR(Tab_Compteur_6[[#This Row],[Montant]]/Tab_Compteur_6[[#This Row],[Delta Jour]],"")</f>
        <v/>
      </c>
      <c r="I153" s="212" t="str">
        <f t="shared" si="7"/>
        <v/>
      </c>
      <c r="J153" s="209"/>
      <c r="K153" s="38"/>
      <c r="L153" s="38"/>
      <c r="M153" s="38"/>
    </row>
    <row r="154" spans="1:13">
      <c r="A154" s="55">
        <f t="shared" si="8"/>
        <v>1</v>
      </c>
      <c r="B154" s="87"/>
      <c r="C154" s="189"/>
      <c r="D154" s="195"/>
      <c r="E154" s="186"/>
      <c r="F154" s="186">
        <f t="shared" si="6"/>
        <v>0</v>
      </c>
      <c r="G154" s="186" t="str">
        <f>IF(IFERROR(IF(Str_TypeDonneesCpt6=Cpt_Index,Tab_Compteur_6[[#This Row],[Index]]-E153,Tab_Compteur_6[[#This Row],[Quantité]])/Tab_Compteur_6[[#This Row],[Delta Jour]],"")&lt;0,"",IFERROR(IF(Str_TypeDonneesCpt6=Cpt_Index,Tab_Compteur_6[[#This Row],[Index]]-E153,Tab_Compteur_6[[#This Row],[Quantité]])/Tab_Compteur_6[[#This Row],[Delta Jour]],""))</f>
        <v/>
      </c>
      <c r="H154" s="186" t="str">
        <f>IFERROR(Tab_Compteur_6[[#This Row],[Montant]]/Tab_Compteur_6[[#This Row],[Delta Jour]],"")</f>
        <v/>
      </c>
      <c r="I154" s="212" t="str">
        <f t="shared" si="7"/>
        <v/>
      </c>
      <c r="J154" s="209"/>
      <c r="K154" s="38"/>
      <c r="L154" s="38"/>
      <c r="M154" s="38"/>
    </row>
    <row r="155" spans="1:13">
      <c r="A155" s="55">
        <f t="shared" si="8"/>
        <v>1</v>
      </c>
      <c r="B155" s="87"/>
      <c r="C155" s="189"/>
      <c r="D155" s="195"/>
      <c r="E155" s="186"/>
      <c r="F155" s="186">
        <f t="shared" si="6"/>
        <v>0</v>
      </c>
      <c r="G155" s="186" t="str">
        <f>IF(IFERROR(IF(Str_TypeDonneesCpt6=Cpt_Index,Tab_Compteur_6[[#This Row],[Index]]-E154,Tab_Compteur_6[[#This Row],[Quantité]])/Tab_Compteur_6[[#This Row],[Delta Jour]],"")&lt;0,"",IFERROR(IF(Str_TypeDonneesCpt6=Cpt_Index,Tab_Compteur_6[[#This Row],[Index]]-E154,Tab_Compteur_6[[#This Row],[Quantité]])/Tab_Compteur_6[[#This Row],[Delta Jour]],""))</f>
        <v/>
      </c>
      <c r="H155" s="186" t="str">
        <f>IFERROR(Tab_Compteur_6[[#This Row],[Montant]]/Tab_Compteur_6[[#This Row],[Delta Jour]],"")</f>
        <v/>
      </c>
      <c r="I155" s="212" t="str">
        <f t="shared" si="7"/>
        <v/>
      </c>
      <c r="J155" s="209"/>
      <c r="K155" s="38"/>
      <c r="L155" s="38"/>
      <c r="M155" s="38"/>
    </row>
    <row r="156" spans="1:13">
      <c r="A156" s="55">
        <f t="shared" si="8"/>
        <v>1</v>
      </c>
      <c r="B156" s="87"/>
      <c r="C156" s="189"/>
      <c r="D156" s="195"/>
      <c r="E156" s="186"/>
      <c r="F156" s="186">
        <f t="shared" si="6"/>
        <v>0</v>
      </c>
      <c r="G156" s="186" t="str">
        <f>IF(IFERROR(IF(Str_TypeDonneesCpt6=Cpt_Index,Tab_Compteur_6[[#This Row],[Index]]-E155,Tab_Compteur_6[[#This Row],[Quantité]])/Tab_Compteur_6[[#This Row],[Delta Jour]],"")&lt;0,"",IFERROR(IF(Str_TypeDonneesCpt6=Cpt_Index,Tab_Compteur_6[[#This Row],[Index]]-E155,Tab_Compteur_6[[#This Row],[Quantité]])/Tab_Compteur_6[[#This Row],[Delta Jour]],""))</f>
        <v/>
      </c>
      <c r="H156" s="186" t="str">
        <f>IFERROR(Tab_Compteur_6[[#This Row],[Montant]]/Tab_Compteur_6[[#This Row],[Delta Jour]],"")</f>
        <v/>
      </c>
      <c r="I156" s="212" t="str">
        <f t="shared" si="7"/>
        <v/>
      </c>
      <c r="J156" s="209"/>
      <c r="K156" s="38"/>
      <c r="L156" s="38"/>
      <c r="M156" s="38"/>
    </row>
    <row r="157" spans="1:13">
      <c r="A157" s="55">
        <f t="shared" si="8"/>
        <v>1</v>
      </c>
      <c r="B157" s="87"/>
      <c r="C157" s="189"/>
      <c r="D157" s="195"/>
      <c r="E157" s="186"/>
      <c r="F157" s="186">
        <f t="shared" si="6"/>
        <v>0</v>
      </c>
      <c r="G157" s="186" t="str">
        <f>IF(IFERROR(IF(Str_TypeDonneesCpt6=Cpt_Index,Tab_Compteur_6[[#This Row],[Index]]-E156,Tab_Compteur_6[[#This Row],[Quantité]])/Tab_Compteur_6[[#This Row],[Delta Jour]],"")&lt;0,"",IFERROR(IF(Str_TypeDonneesCpt6=Cpt_Index,Tab_Compteur_6[[#This Row],[Index]]-E156,Tab_Compteur_6[[#This Row],[Quantité]])/Tab_Compteur_6[[#This Row],[Delta Jour]],""))</f>
        <v/>
      </c>
      <c r="H157" s="186" t="str">
        <f>IFERROR(Tab_Compteur_6[[#This Row],[Montant]]/Tab_Compteur_6[[#This Row],[Delta Jour]],"")</f>
        <v/>
      </c>
      <c r="I157" s="212" t="str">
        <f t="shared" si="7"/>
        <v/>
      </c>
      <c r="J157" s="209"/>
      <c r="K157" s="38"/>
      <c r="L157" s="38"/>
      <c r="M157" s="38"/>
    </row>
    <row r="158" spans="1:13">
      <c r="A158" s="55">
        <f t="shared" si="8"/>
        <v>1</v>
      </c>
      <c r="B158" s="87"/>
      <c r="C158" s="189"/>
      <c r="D158" s="195"/>
      <c r="E158" s="186"/>
      <c r="F158" s="186">
        <f t="shared" si="6"/>
        <v>0</v>
      </c>
      <c r="G158" s="186" t="str">
        <f>IF(IFERROR(IF(Str_TypeDonneesCpt6=Cpt_Index,Tab_Compteur_6[[#This Row],[Index]]-E157,Tab_Compteur_6[[#This Row],[Quantité]])/Tab_Compteur_6[[#This Row],[Delta Jour]],"")&lt;0,"",IFERROR(IF(Str_TypeDonneesCpt6=Cpt_Index,Tab_Compteur_6[[#This Row],[Index]]-E157,Tab_Compteur_6[[#This Row],[Quantité]])/Tab_Compteur_6[[#This Row],[Delta Jour]],""))</f>
        <v/>
      </c>
      <c r="H158" s="186" t="str">
        <f>IFERROR(Tab_Compteur_6[[#This Row],[Montant]]/Tab_Compteur_6[[#This Row],[Delta Jour]],"")</f>
        <v/>
      </c>
      <c r="I158" s="212" t="str">
        <f t="shared" si="7"/>
        <v/>
      </c>
      <c r="J158" s="209"/>
      <c r="K158" s="38"/>
      <c r="L158" s="38"/>
      <c r="M158" s="38"/>
    </row>
    <row r="159" spans="1:13">
      <c r="A159" s="55">
        <f t="shared" si="8"/>
        <v>1</v>
      </c>
      <c r="B159" s="87"/>
      <c r="C159" s="192"/>
      <c r="D159" s="195"/>
      <c r="E159" s="186"/>
      <c r="F159" s="186">
        <f t="shared" si="6"/>
        <v>0</v>
      </c>
      <c r="G159" s="186" t="str">
        <f>IF(IFERROR(IF(Str_TypeDonneesCpt6=Cpt_Index,Tab_Compteur_6[[#This Row],[Index]]-E158,Tab_Compteur_6[[#This Row],[Quantité]])/Tab_Compteur_6[[#This Row],[Delta Jour]],"")&lt;0,"",IFERROR(IF(Str_TypeDonneesCpt6=Cpt_Index,Tab_Compteur_6[[#This Row],[Index]]-E158,Tab_Compteur_6[[#This Row],[Quantité]])/Tab_Compteur_6[[#This Row],[Delta Jour]],""))</f>
        <v/>
      </c>
      <c r="H159" s="186" t="str">
        <f>IFERROR(Tab_Compteur_6[[#This Row],[Montant]]/Tab_Compteur_6[[#This Row],[Delta Jour]],"")</f>
        <v/>
      </c>
      <c r="I159" s="212" t="str">
        <f t="shared" si="7"/>
        <v/>
      </c>
      <c r="J159" s="209"/>
      <c r="K159" s="38"/>
      <c r="L159" s="38"/>
      <c r="M159" s="38"/>
    </row>
    <row r="160" spans="1:13">
      <c r="A160" s="55">
        <f t="shared" si="8"/>
        <v>1</v>
      </c>
      <c r="B160" s="87"/>
      <c r="C160" s="192"/>
      <c r="D160" s="195"/>
      <c r="E160" s="186"/>
      <c r="F160" s="186">
        <f t="shared" si="6"/>
        <v>0</v>
      </c>
      <c r="G160" s="186" t="str">
        <f>IF(IFERROR(IF(Str_TypeDonneesCpt6=Cpt_Index,Tab_Compteur_6[[#This Row],[Index]]-E159,Tab_Compteur_6[[#This Row],[Quantité]])/Tab_Compteur_6[[#This Row],[Delta Jour]],"")&lt;0,"",IFERROR(IF(Str_TypeDonneesCpt6=Cpt_Index,Tab_Compteur_6[[#This Row],[Index]]-E159,Tab_Compteur_6[[#This Row],[Quantité]])/Tab_Compteur_6[[#This Row],[Delta Jour]],""))</f>
        <v/>
      </c>
      <c r="H160" s="186" t="str">
        <f>IFERROR(Tab_Compteur_6[[#This Row],[Montant]]/Tab_Compteur_6[[#This Row],[Delta Jour]],"")</f>
        <v/>
      </c>
      <c r="I160" s="212" t="str">
        <f t="shared" si="7"/>
        <v/>
      </c>
      <c r="J160" s="209"/>
      <c r="K160" s="38"/>
      <c r="L160" s="38"/>
      <c r="M160" s="38"/>
    </row>
    <row r="161" spans="1:13">
      <c r="A161" s="55">
        <f t="shared" si="8"/>
        <v>1</v>
      </c>
      <c r="B161" s="87"/>
      <c r="C161" s="192"/>
      <c r="D161" s="195"/>
      <c r="E161" s="186"/>
      <c r="F161" s="186">
        <f t="shared" si="6"/>
        <v>0</v>
      </c>
      <c r="G161" s="186" t="str">
        <f>IF(IFERROR(IF(Str_TypeDonneesCpt6=Cpt_Index,Tab_Compteur_6[[#This Row],[Index]]-E160,Tab_Compteur_6[[#This Row],[Quantité]])/Tab_Compteur_6[[#This Row],[Delta Jour]],"")&lt;0,"",IFERROR(IF(Str_TypeDonneesCpt6=Cpt_Index,Tab_Compteur_6[[#This Row],[Index]]-E160,Tab_Compteur_6[[#This Row],[Quantité]])/Tab_Compteur_6[[#This Row],[Delta Jour]],""))</f>
        <v/>
      </c>
      <c r="H161" s="186" t="str">
        <f>IFERROR(Tab_Compteur_6[[#This Row],[Montant]]/Tab_Compteur_6[[#This Row],[Delta Jour]],"")</f>
        <v/>
      </c>
      <c r="I161" s="212" t="str">
        <f t="shared" si="7"/>
        <v/>
      </c>
      <c r="J161" s="209"/>
      <c r="K161" s="38"/>
      <c r="L161" s="38"/>
      <c r="M161" s="38"/>
    </row>
    <row r="162" spans="1:13">
      <c r="A162" s="55">
        <f t="shared" si="8"/>
        <v>1</v>
      </c>
      <c r="B162" s="87"/>
      <c r="C162" s="192"/>
      <c r="D162" s="195"/>
      <c r="E162" s="186"/>
      <c r="F162" s="186">
        <f t="shared" si="6"/>
        <v>0</v>
      </c>
      <c r="G162" s="186" t="str">
        <f>IF(IFERROR(IF(Str_TypeDonneesCpt6=Cpt_Index,Tab_Compteur_6[[#This Row],[Index]]-E161,Tab_Compteur_6[[#This Row],[Quantité]])/Tab_Compteur_6[[#This Row],[Delta Jour]],"")&lt;0,"",IFERROR(IF(Str_TypeDonneesCpt6=Cpt_Index,Tab_Compteur_6[[#This Row],[Index]]-E161,Tab_Compteur_6[[#This Row],[Quantité]])/Tab_Compteur_6[[#This Row],[Delta Jour]],""))</f>
        <v/>
      </c>
      <c r="H162" s="186" t="str">
        <f>IFERROR(Tab_Compteur_6[[#This Row],[Montant]]/Tab_Compteur_6[[#This Row],[Delta Jour]],"")</f>
        <v/>
      </c>
      <c r="I162" s="212" t="str">
        <f t="shared" si="7"/>
        <v/>
      </c>
      <c r="J162" s="209"/>
      <c r="K162" s="38"/>
      <c r="L162" s="38"/>
      <c r="M162" s="38"/>
    </row>
    <row r="163" spans="1:13">
      <c r="A163" s="55">
        <f t="shared" si="8"/>
        <v>1</v>
      </c>
      <c r="B163" s="87"/>
      <c r="C163" s="192"/>
      <c r="D163" s="195"/>
      <c r="E163" s="186"/>
      <c r="F163" s="186">
        <f t="shared" si="6"/>
        <v>0</v>
      </c>
      <c r="G163" s="186" t="str">
        <f>IF(IFERROR(IF(Str_TypeDonneesCpt6=Cpt_Index,Tab_Compteur_6[[#This Row],[Index]]-E162,Tab_Compteur_6[[#This Row],[Quantité]])/Tab_Compteur_6[[#This Row],[Delta Jour]],"")&lt;0,"",IFERROR(IF(Str_TypeDonneesCpt6=Cpt_Index,Tab_Compteur_6[[#This Row],[Index]]-E162,Tab_Compteur_6[[#This Row],[Quantité]])/Tab_Compteur_6[[#This Row],[Delta Jour]],""))</f>
        <v/>
      </c>
      <c r="H163" s="186" t="str">
        <f>IFERROR(Tab_Compteur_6[[#This Row],[Montant]]/Tab_Compteur_6[[#This Row],[Delta Jour]],"")</f>
        <v/>
      </c>
      <c r="I163" s="212" t="str">
        <f t="shared" si="7"/>
        <v/>
      </c>
      <c r="J163" s="209"/>
      <c r="K163" s="38"/>
      <c r="L163" s="38"/>
      <c r="M163" s="38"/>
    </row>
    <row r="164" spans="1:13">
      <c r="A164" s="55">
        <f t="shared" si="8"/>
        <v>1</v>
      </c>
      <c r="B164" s="87"/>
      <c r="C164" s="192"/>
      <c r="D164" s="195"/>
      <c r="E164" s="186"/>
      <c r="F164" s="186">
        <f t="shared" si="6"/>
        <v>0</v>
      </c>
      <c r="G164" s="186" t="str">
        <f>IF(IFERROR(IF(Str_TypeDonneesCpt6=Cpt_Index,Tab_Compteur_6[[#This Row],[Index]]-E163,Tab_Compteur_6[[#This Row],[Quantité]])/Tab_Compteur_6[[#This Row],[Delta Jour]],"")&lt;0,"",IFERROR(IF(Str_TypeDonneesCpt6=Cpt_Index,Tab_Compteur_6[[#This Row],[Index]]-E163,Tab_Compteur_6[[#This Row],[Quantité]])/Tab_Compteur_6[[#This Row],[Delta Jour]],""))</f>
        <v/>
      </c>
      <c r="H164" s="186" t="str">
        <f>IFERROR(Tab_Compteur_6[[#This Row],[Montant]]/Tab_Compteur_6[[#This Row],[Delta Jour]],"")</f>
        <v/>
      </c>
      <c r="I164" s="212" t="str">
        <f t="shared" si="7"/>
        <v/>
      </c>
      <c r="J164" s="209"/>
      <c r="K164" s="38"/>
      <c r="L164" s="38"/>
      <c r="M164" s="38"/>
    </row>
    <row r="165" spans="1:13">
      <c r="A165" s="55">
        <f t="shared" si="8"/>
        <v>1</v>
      </c>
      <c r="B165" s="87"/>
      <c r="C165" s="192"/>
      <c r="D165" s="195"/>
      <c r="E165" s="186"/>
      <c r="F165" s="186">
        <f t="shared" si="6"/>
        <v>0</v>
      </c>
      <c r="G165" s="186" t="str">
        <f>IF(IFERROR(IF(Str_TypeDonneesCpt6=Cpt_Index,Tab_Compteur_6[[#This Row],[Index]]-E164,Tab_Compteur_6[[#This Row],[Quantité]])/Tab_Compteur_6[[#This Row],[Delta Jour]],"")&lt;0,"",IFERROR(IF(Str_TypeDonneesCpt6=Cpt_Index,Tab_Compteur_6[[#This Row],[Index]]-E164,Tab_Compteur_6[[#This Row],[Quantité]])/Tab_Compteur_6[[#This Row],[Delta Jour]],""))</f>
        <v/>
      </c>
      <c r="H165" s="186" t="str">
        <f>IFERROR(Tab_Compteur_6[[#This Row],[Montant]]/Tab_Compteur_6[[#This Row],[Delta Jour]],"")</f>
        <v/>
      </c>
      <c r="I165" s="212" t="str">
        <f t="shared" si="7"/>
        <v/>
      </c>
      <c r="J165" s="209"/>
      <c r="K165" s="38"/>
      <c r="L165" s="38"/>
      <c r="M165" s="38"/>
    </row>
    <row r="166" spans="1:13">
      <c r="A166" s="55">
        <f t="shared" si="8"/>
        <v>1</v>
      </c>
      <c r="B166" s="87"/>
      <c r="C166" s="192"/>
      <c r="D166" s="195"/>
      <c r="E166" s="186"/>
      <c r="F166" s="186">
        <f t="shared" si="6"/>
        <v>0</v>
      </c>
      <c r="G166" s="186" t="str">
        <f>IF(IFERROR(IF(Str_TypeDonneesCpt6=Cpt_Index,Tab_Compteur_6[[#This Row],[Index]]-E165,Tab_Compteur_6[[#This Row],[Quantité]])/Tab_Compteur_6[[#This Row],[Delta Jour]],"")&lt;0,"",IFERROR(IF(Str_TypeDonneesCpt6=Cpt_Index,Tab_Compteur_6[[#This Row],[Index]]-E165,Tab_Compteur_6[[#This Row],[Quantité]])/Tab_Compteur_6[[#This Row],[Delta Jour]],""))</f>
        <v/>
      </c>
      <c r="H166" s="186" t="str">
        <f>IFERROR(Tab_Compteur_6[[#This Row],[Montant]]/Tab_Compteur_6[[#This Row],[Delta Jour]],"")</f>
        <v/>
      </c>
      <c r="I166" s="212" t="str">
        <f t="shared" si="7"/>
        <v/>
      </c>
      <c r="J166" s="209"/>
      <c r="K166" s="38"/>
      <c r="L166" s="38"/>
      <c r="M166" s="38"/>
    </row>
    <row r="167" spans="1:13">
      <c r="A167" s="55">
        <f t="shared" si="8"/>
        <v>1</v>
      </c>
      <c r="B167" s="87"/>
      <c r="C167" s="192"/>
      <c r="D167" s="195"/>
      <c r="E167" s="186"/>
      <c r="F167" s="186">
        <f t="shared" si="6"/>
        <v>0</v>
      </c>
      <c r="G167" s="186" t="str">
        <f>IF(IFERROR(IF(Str_TypeDonneesCpt6=Cpt_Index,Tab_Compteur_6[[#This Row],[Index]]-E166,Tab_Compteur_6[[#This Row],[Quantité]])/Tab_Compteur_6[[#This Row],[Delta Jour]],"")&lt;0,"",IFERROR(IF(Str_TypeDonneesCpt6=Cpt_Index,Tab_Compteur_6[[#This Row],[Index]]-E166,Tab_Compteur_6[[#This Row],[Quantité]])/Tab_Compteur_6[[#This Row],[Delta Jour]],""))</f>
        <v/>
      </c>
      <c r="H167" s="186" t="str">
        <f>IFERROR(Tab_Compteur_6[[#This Row],[Montant]]/Tab_Compteur_6[[#This Row],[Delta Jour]],"")</f>
        <v/>
      </c>
      <c r="I167" s="212" t="str">
        <f t="shared" si="7"/>
        <v/>
      </c>
      <c r="J167" s="209"/>
      <c r="K167" s="38"/>
      <c r="L167" s="38"/>
      <c r="M167" s="38"/>
    </row>
    <row r="168" spans="1:13">
      <c r="A168" s="55">
        <f t="shared" si="8"/>
        <v>1</v>
      </c>
      <c r="B168" s="87"/>
      <c r="C168" s="192"/>
      <c r="D168" s="195"/>
      <c r="E168" s="186"/>
      <c r="F168" s="186">
        <f t="shared" si="6"/>
        <v>0</v>
      </c>
      <c r="G168" s="186" t="str">
        <f>IF(IFERROR(IF(Str_TypeDonneesCpt6=Cpt_Index,Tab_Compteur_6[[#This Row],[Index]]-E167,Tab_Compteur_6[[#This Row],[Quantité]])/Tab_Compteur_6[[#This Row],[Delta Jour]],"")&lt;0,"",IFERROR(IF(Str_TypeDonneesCpt6=Cpt_Index,Tab_Compteur_6[[#This Row],[Index]]-E167,Tab_Compteur_6[[#This Row],[Quantité]])/Tab_Compteur_6[[#This Row],[Delta Jour]],""))</f>
        <v/>
      </c>
      <c r="H168" s="186" t="str">
        <f>IFERROR(Tab_Compteur_6[[#This Row],[Montant]]/Tab_Compteur_6[[#This Row],[Delta Jour]],"")</f>
        <v/>
      </c>
      <c r="I168" s="212" t="str">
        <f t="shared" si="7"/>
        <v/>
      </c>
      <c r="J168" s="209"/>
      <c r="K168" s="38"/>
      <c r="L168" s="38"/>
      <c r="M168" s="38"/>
    </row>
    <row r="169" spans="1:13">
      <c r="A169" s="55">
        <f t="shared" si="8"/>
        <v>1</v>
      </c>
      <c r="B169" s="87"/>
      <c r="C169" s="192"/>
      <c r="D169" s="195"/>
      <c r="E169" s="186"/>
      <c r="F169" s="186">
        <f t="shared" si="6"/>
        <v>0</v>
      </c>
      <c r="G169" s="186" t="str">
        <f>IF(IFERROR(IF(Str_TypeDonneesCpt6=Cpt_Index,Tab_Compteur_6[[#This Row],[Index]]-E168,Tab_Compteur_6[[#This Row],[Quantité]])/Tab_Compteur_6[[#This Row],[Delta Jour]],"")&lt;0,"",IFERROR(IF(Str_TypeDonneesCpt6=Cpt_Index,Tab_Compteur_6[[#This Row],[Index]]-E168,Tab_Compteur_6[[#This Row],[Quantité]])/Tab_Compteur_6[[#This Row],[Delta Jour]],""))</f>
        <v/>
      </c>
      <c r="H169" s="186" t="str">
        <f>IFERROR(Tab_Compteur_6[[#This Row],[Montant]]/Tab_Compteur_6[[#This Row],[Delta Jour]],"")</f>
        <v/>
      </c>
      <c r="I169" s="212" t="str">
        <f t="shared" si="7"/>
        <v/>
      </c>
      <c r="J169" s="209"/>
      <c r="K169" s="38"/>
      <c r="L169" s="38"/>
      <c r="M169" s="38"/>
    </row>
    <row r="170" spans="1:13">
      <c r="A170" s="55">
        <f t="shared" si="8"/>
        <v>1</v>
      </c>
      <c r="B170" s="87"/>
      <c r="C170" s="192"/>
      <c r="D170" s="195"/>
      <c r="E170" s="186"/>
      <c r="F170" s="186">
        <f t="shared" si="6"/>
        <v>0</v>
      </c>
      <c r="G170" s="186" t="str">
        <f>IF(IFERROR(IF(Str_TypeDonneesCpt6=Cpt_Index,Tab_Compteur_6[[#This Row],[Index]]-E169,Tab_Compteur_6[[#This Row],[Quantité]])/Tab_Compteur_6[[#This Row],[Delta Jour]],"")&lt;0,"",IFERROR(IF(Str_TypeDonneesCpt6=Cpt_Index,Tab_Compteur_6[[#This Row],[Index]]-E169,Tab_Compteur_6[[#This Row],[Quantité]])/Tab_Compteur_6[[#This Row],[Delta Jour]],""))</f>
        <v/>
      </c>
      <c r="H170" s="186" t="str">
        <f>IFERROR(Tab_Compteur_6[[#This Row],[Montant]]/Tab_Compteur_6[[#This Row],[Delta Jour]],"")</f>
        <v/>
      </c>
      <c r="I170" s="212" t="str">
        <f t="shared" si="7"/>
        <v/>
      </c>
      <c r="J170" s="209"/>
      <c r="K170" s="38"/>
      <c r="L170" s="38"/>
      <c r="M170" s="38"/>
    </row>
    <row r="171" spans="1:13">
      <c r="A171" s="55">
        <f t="shared" si="8"/>
        <v>1</v>
      </c>
      <c r="B171" s="87"/>
      <c r="C171" s="192"/>
      <c r="D171" s="195"/>
      <c r="E171" s="186"/>
      <c r="F171" s="186">
        <f t="shared" si="6"/>
        <v>0</v>
      </c>
      <c r="G171" s="186" t="str">
        <f>IF(IFERROR(IF(Str_TypeDonneesCpt6=Cpt_Index,Tab_Compteur_6[[#This Row],[Index]]-E170,Tab_Compteur_6[[#This Row],[Quantité]])/Tab_Compteur_6[[#This Row],[Delta Jour]],"")&lt;0,"",IFERROR(IF(Str_TypeDonneesCpt6=Cpt_Index,Tab_Compteur_6[[#This Row],[Index]]-E170,Tab_Compteur_6[[#This Row],[Quantité]])/Tab_Compteur_6[[#This Row],[Delta Jour]],""))</f>
        <v/>
      </c>
      <c r="H171" s="186" t="str">
        <f>IFERROR(Tab_Compteur_6[[#This Row],[Montant]]/Tab_Compteur_6[[#This Row],[Delta Jour]],"")</f>
        <v/>
      </c>
      <c r="I171" s="212" t="str">
        <f t="shared" si="7"/>
        <v/>
      </c>
      <c r="J171" s="209"/>
      <c r="K171" s="38"/>
      <c r="L171" s="38"/>
      <c r="M171" s="38"/>
    </row>
    <row r="172" spans="1:13">
      <c r="A172" s="55">
        <f t="shared" si="8"/>
        <v>1</v>
      </c>
      <c r="B172" s="87"/>
      <c r="C172" s="192"/>
      <c r="D172" s="195"/>
      <c r="E172" s="186"/>
      <c r="F172" s="186">
        <f t="shared" si="6"/>
        <v>0</v>
      </c>
      <c r="G172" s="186" t="str">
        <f>IF(IFERROR(IF(Str_TypeDonneesCpt6=Cpt_Index,Tab_Compteur_6[[#This Row],[Index]]-E171,Tab_Compteur_6[[#This Row],[Quantité]])/Tab_Compteur_6[[#This Row],[Delta Jour]],"")&lt;0,"",IFERROR(IF(Str_TypeDonneesCpt6=Cpt_Index,Tab_Compteur_6[[#This Row],[Index]]-E171,Tab_Compteur_6[[#This Row],[Quantité]])/Tab_Compteur_6[[#This Row],[Delta Jour]],""))</f>
        <v/>
      </c>
      <c r="H172" s="186" t="str">
        <f>IFERROR(Tab_Compteur_6[[#This Row],[Montant]]/Tab_Compteur_6[[#This Row],[Delta Jour]],"")</f>
        <v/>
      </c>
      <c r="I172" s="212" t="str">
        <f t="shared" si="7"/>
        <v/>
      </c>
      <c r="J172" s="209"/>
      <c r="K172" s="38"/>
      <c r="L172" s="38"/>
      <c r="M172" s="38"/>
    </row>
    <row r="173" spans="1:13">
      <c r="A173" s="55">
        <f t="shared" si="8"/>
        <v>1</v>
      </c>
      <c r="B173" s="87"/>
      <c r="C173" s="192"/>
      <c r="D173" s="195"/>
      <c r="E173" s="186"/>
      <c r="F173" s="186">
        <f t="shared" si="6"/>
        <v>0</v>
      </c>
      <c r="G173" s="186" t="str">
        <f>IF(IFERROR(IF(Str_TypeDonneesCpt6=Cpt_Index,Tab_Compteur_6[[#This Row],[Index]]-E172,Tab_Compteur_6[[#This Row],[Quantité]])/Tab_Compteur_6[[#This Row],[Delta Jour]],"")&lt;0,"",IFERROR(IF(Str_TypeDonneesCpt6=Cpt_Index,Tab_Compteur_6[[#This Row],[Index]]-E172,Tab_Compteur_6[[#This Row],[Quantité]])/Tab_Compteur_6[[#This Row],[Delta Jour]],""))</f>
        <v/>
      </c>
      <c r="H173" s="186" t="str">
        <f>IFERROR(Tab_Compteur_6[[#This Row],[Montant]]/Tab_Compteur_6[[#This Row],[Delta Jour]],"")</f>
        <v/>
      </c>
      <c r="I173" s="212" t="str">
        <f t="shared" si="7"/>
        <v/>
      </c>
      <c r="J173" s="209"/>
      <c r="K173" s="38"/>
      <c r="L173" s="38"/>
      <c r="M173" s="38"/>
    </row>
    <row r="174" spans="1:13">
      <c r="A174" s="55">
        <f t="shared" si="8"/>
        <v>1</v>
      </c>
      <c r="B174" s="87"/>
      <c r="C174" s="192"/>
      <c r="D174" s="195"/>
      <c r="E174" s="186"/>
      <c r="F174" s="186">
        <f t="shared" si="6"/>
        <v>0</v>
      </c>
      <c r="G174" s="186" t="str">
        <f>IF(IFERROR(IF(Str_TypeDonneesCpt6=Cpt_Index,Tab_Compteur_6[[#This Row],[Index]]-E173,Tab_Compteur_6[[#This Row],[Quantité]])/Tab_Compteur_6[[#This Row],[Delta Jour]],"")&lt;0,"",IFERROR(IF(Str_TypeDonneesCpt6=Cpt_Index,Tab_Compteur_6[[#This Row],[Index]]-E173,Tab_Compteur_6[[#This Row],[Quantité]])/Tab_Compteur_6[[#This Row],[Delta Jour]],""))</f>
        <v/>
      </c>
      <c r="H174" s="186" t="str">
        <f>IFERROR(Tab_Compteur_6[[#This Row],[Montant]]/Tab_Compteur_6[[#This Row],[Delta Jour]],"")</f>
        <v/>
      </c>
      <c r="I174" s="212" t="str">
        <f t="shared" si="7"/>
        <v/>
      </c>
      <c r="J174" s="209"/>
      <c r="K174" s="38"/>
      <c r="L174" s="38"/>
      <c r="M174" s="38"/>
    </row>
    <row r="175" spans="1:13">
      <c r="A175" s="55">
        <f t="shared" si="8"/>
        <v>1</v>
      </c>
      <c r="B175" s="87"/>
      <c r="C175" s="192"/>
      <c r="D175" s="195"/>
      <c r="E175" s="186"/>
      <c r="F175" s="186">
        <f t="shared" si="6"/>
        <v>0</v>
      </c>
      <c r="G175" s="186" t="str">
        <f>IF(IFERROR(IF(Str_TypeDonneesCpt6=Cpt_Index,Tab_Compteur_6[[#This Row],[Index]]-E174,Tab_Compteur_6[[#This Row],[Quantité]])/Tab_Compteur_6[[#This Row],[Delta Jour]],"")&lt;0,"",IFERROR(IF(Str_TypeDonneesCpt6=Cpt_Index,Tab_Compteur_6[[#This Row],[Index]]-E174,Tab_Compteur_6[[#This Row],[Quantité]])/Tab_Compteur_6[[#This Row],[Delta Jour]],""))</f>
        <v/>
      </c>
      <c r="H175" s="186" t="str">
        <f>IFERROR(Tab_Compteur_6[[#This Row],[Montant]]/Tab_Compteur_6[[#This Row],[Delta Jour]],"")</f>
        <v/>
      </c>
      <c r="I175" s="212" t="str">
        <f t="shared" si="7"/>
        <v/>
      </c>
      <c r="J175" s="209"/>
      <c r="K175" s="38"/>
      <c r="L175" s="38"/>
      <c r="M175" s="38"/>
    </row>
    <row r="176" spans="1:13">
      <c r="A176" s="55">
        <f t="shared" si="8"/>
        <v>1</v>
      </c>
      <c r="B176" s="87"/>
      <c r="C176" s="192"/>
      <c r="D176" s="195"/>
      <c r="E176" s="186"/>
      <c r="F176" s="186">
        <f t="shared" si="6"/>
        <v>0</v>
      </c>
      <c r="G176" s="186" t="str">
        <f>IF(IFERROR(IF(Str_TypeDonneesCpt6=Cpt_Index,Tab_Compteur_6[[#This Row],[Index]]-E175,Tab_Compteur_6[[#This Row],[Quantité]])/Tab_Compteur_6[[#This Row],[Delta Jour]],"")&lt;0,"",IFERROR(IF(Str_TypeDonneesCpt6=Cpt_Index,Tab_Compteur_6[[#This Row],[Index]]-E175,Tab_Compteur_6[[#This Row],[Quantité]])/Tab_Compteur_6[[#This Row],[Delta Jour]],""))</f>
        <v/>
      </c>
      <c r="H176" s="186" t="str">
        <f>IFERROR(Tab_Compteur_6[[#This Row],[Montant]]/Tab_Compteur_6[[#This Row],[Delta Jour]],"")</f>
        <v/>
      </c>
      <c r="I176" s="212" t="str">
        <f t="shared" si="7"/>
        <v/>
      </c>
      <c r="J176" s="209"/>
      <c r="K176" s="38"/>
      <c r="L176" s="38"/>
      <c r="M176" s="38"/>
    </row>
    <row r="177" spans="1:13">
      <c r="A177" s="55">
        <f t="shared" si="8"/>
        <v>1</v>
      </c>
      <c r="B177" s="87"/>
      <c r="C177" s="187"/>
      <c r="D177" s="188"/>
      <c r="E177" s="186"/>
      <c r="F177" s="186">
        <f t="shared" si="6"/>
        <v>0</v>
      </c>
      <c r="G177" s="186" t="str">
        <f>IF(IFERROR(IF(Str_TypeDonneesCpt6=Cpt_Index,Tab_Compteur_6[[#This Row],[Index]]-E176,Tab_Compteur_6[[#This Row],[Quantité]])/Tab_Compteur_6[[#This Row],[Delta Jour]],"")&lt;0,"",IFERROR(IF(Str_TypeDonneesCpt6=Cpt_Index,Tab_Compteur_6[[#This Row],[Index]]-E176,Tab_Compteur_6[[#This Row],[Quantité]])/Tab_Compteur_6[[#This Row],[Delta Jour]],""))</f>
        <v/>
      </c>
      <c r="H177" s="186" t="str">
        <f>IFERROR(Tab_Compteur_6[[#This Row],[Montant]]/Tab_Compteur_6[[#This Row],[Delta Jour]],"")</f>
        <v/>
      </c>
      <c r="I177" s="212" t="str">
        <f t="shared" si="7"/>
        <v/>
      </c>
      <c r="J177" s="209"/>
      <c r="K177" s="38"/>
      <c r="L177" s="38"/>
      <c r="M177" s="38"/>
    </row>
    <row r="178" spans="1:13">
      <c r="A178" s="55">
        <f t="shared" si="8"/>
        <v>1</v>
      </c>
      <c r="B178" s="87"/>
      <c r="C178" s="187"/>
      <c r="D178" s="188"/>
      <c r="E178" s="186"/>
      <c r="F178" s="186">
        <f t="shared" si="6"/>
        <v>0</v>
      </c>
      <c r="G178" s="186" t="str">
        <f>IF(IFERROR(IF(Str_TypeDonneesCpt6=Cpt_Index,Tab_Compteur_6[[#This Row],[Index]]-E177,Tab_Compteur_6[[#This Row],[Quantité]])/Tab_Compteur_6[[#This Row],[Delta Jour]],"")&lt;0,"",IFERROR(IF(Str_TypeDonneesCpt6=Cpt_Index,Tab_Compteur_6[[#This Row],[Index]]-E177,Tab_Compteur_6[[#This Row],[Quantité]])/Tab_Compteur_6[[#This Row],[Delta Jour]],""))</f>
        <v/>
      </c>
      <c r="H178" s="186" t="str">
        <f>IFERROR(Tab_Compteur_6[[#This Row],[Montant]]/Tab_Compteur_6[[#This Row],[Delta Jour]],"")</f>
        <v/>
      </c>
      <c r="I178" s="212" t="str">
        <f t="shared" si="7"/>
        <v/>
      </c>
      <c r="J178" s="209"/>
      <c r="K178" s="38"/>
      <c r="L178" s="38"/>
      <c r="M178" s="38"/>
    </row>
    <row r="179" spans="1:13">
      <c r="A179" s="55">
        <f t="shared" si="8"/>
        <v>1</v>
      </c>
      <c r="B179" s="87"/>
      <c r="C179" s="187"/>
      <c r="D179" s="188"/>
      <c r="E179" s="186"/>
      <c r="F179" s="186">
        <f t="shared" si="6"/>
        <v>0</v>
      </c>
      <c r="G179" s="186" t="str">
        <f>IF(IFERROR(IF(Str_TypeDonneesCpt6=Cpt_Index,Tab_Compteur_6[[#This Row],[Index]]-E178,Tab_Compteur_6[[#This Row],[Quantité]])/Tab_Compteur_6[[#This Row],[Delta Jour]],"")&lt;0,"",IFERROR(IF(Str_TypeDonneesCpt6=Cpt_Index,Tab_Compteur_6[[#This Row],[Index]]-E178,Tab_Compteur_6[[#This Row],[Quantité]])/Tab_Compteur_6[[#This Row],[Delta Jour]],""))</f>
        <v/>
      </c>
      <c r="H179" s="186" t="str">
        <f>IFERROR(Tab_Compteur_6[[#This Row],[Montant]]/Tab_Compteur_6[[#This Row],[Delta Jour]],"")</f>
        <v/>
      </c>
      <c r="I179" s="212" t="str">
        <f t="shared" si="7"/>
        <v/>
      </c>
      <c r="J179" s="209"/>
      <c r="K179" s="38"/>
      <c r="L179" s="38"/>
      <c r="M179" s="38"/>
    </row>
    <row r="180" spans="1:13">
      <c r="A180" s="55">
        <f t="shared" si="8"/>
        <v>1</v>
      </c>
      <c r="B180" s="87"/>
      <c r="C180" s="187"/>
      <c r="D180" s="188"/>
      <c r="E180" s="186"/>
      <c r="F180" s="186">
        <f t="shared" si="6"/>
        <v>0</v>
      </c>
      <c r="G180" s="186" t="str">
        <f>IF(IFERROR(IF(Str_TypeDonneesCpt6=Cpt_Index,Tab_Compteur_6[[#This Row],[Index]]-E179,Tab_Compteur_6[[#This Row],[Quantité]])/Tab_Compteur_6[[#This Row],[Delta Jour]],"")&lt;0,"",IFERROR(IF(Str_TypeDonneesCpt6=Cpt_Index,Tab_Compteur_6[[#This Row],[Index]]-E179,Tab_Compteur_6[[#This Row],[Quantité]])/Tab_Compteur_6[[#This Row],[Delta Jour]],""))</f>
        <v/>
      </c>
      <c r="H180" s="186" t="str">
        <f>IFERROR(Tab_Compteur_6[[#This Row],[Montant]]/Tab_Compteur_6[[#This Row],[Delta Jour]],"")</f>
        <v/>
      </c>
      <c r="I180" s="212" t="str">
        <f t="shared" si="7"/>
        <v/>
      </c>
      <c r="J180" s="209"/>
      <c r="K180" s="38"/>
      <c r="L180" s="38"/>
      <c r="M180" s="38"/>
    </row>
    <row r="181" spans="1:13">
      <c r="A181" s="55">
        <f t="shared" si="8"/>
        <v>1</v>
      </c>
      <c r="B181" s="87"/>
      <c r="C181" s="187"/>
      <c r="D181" s="188"/>
      <c r="E181" s="186"/>
      <c r="F181" s="186">
        <f t="shared" si="6"/>
        <v>0</v>
      </c>
      <c r="G181" s="186" t="str">
        <f>IF(IFERROR(IF(Str_TypeDonneesCpt6=Cpt_Index,Tab_Compteur_6[[#This Row],[Index]]-E180,Tab_Compteur_6[[#This Row],[Quantité]])/Tab_Compteur_6[[#This Row],[Delta Jour]],"")&lt;0,"",IFERROR(IF(Str_TypeDonneesCpt6=Cpt_Index,Tab_Compteur_6[[#This Row],[Index]]-E180,Tab_Compteur_6[[#This Row],[Quantité]])/Tab_Compteur_6[[#This Row],[Delta Jour]],""))</f>
        <v/>
      </c>
      <c r="H181" s="186" t="str">
        <f>IFERROR(Tab_Compteur_6[[#This Row],[Montant]]/Tab_Compteur_6[[#This Row],[Delta Jour]],"")</f>
        <v/>
      </c>
      <c r="I181" s="212" t="str">
        <f t="shared" si="7"/>
        <v/>
      </c>
      <c r="J181" s="209"/>
      <c r="K181" s="38"/>
      <c r="L181" s="38"/>
      <c r="M181" s="38"/>
    </row>
    <row r="182" spans="1:13">
      <c r="A182" s="55">
        <f t="shared" si="8"/>
        <v>1</v>
      </c>
      <c r="B182" s="87"/>
      <c r="C182" s="187"/>
      <c r="D182" s="188"/>
      <c r="E182" s="186"/>
      <c r="F182" s="186">
        <f t="shared" si="6"/>
        <v>0</v>
      </c>
      <c r="G182" s="186" t="str">
        <f>IF(IFERROR(IF(Str_TypeDonneesCpt6=Cpt_Index,Tab_Compteur_6[[#This Row],[Index]]-E181,Tab_Compteur_6[[#This Row],[Quantité]])/Tab_Compteur_6[[#This Row],[Delta Jour]],"")&lt;0,"",IFERROR(IF(Str_TypeDonneesCpt6=Cpt_Index,Tab_Compteur_6[[#This Row],[Index]]-E181,Tab_Compteur_6[[#This Row],[Quantité]])/Tab_Compteur_6[[#This Row],[Delta Jour]],""))</f>
        <v/>
      </c>
      <c r="H182" s="186" t="str">
        <f>IFERROR(Tab_Compteur_6[[#This Row],[Montant]]/Tab_Compteur_6[[#This Row],[Delta Jour]],"")</f>
        <v/>
      </c>
      <c r="I182" s="212" t="str">
        <f t="shared" si="7"/>
        <v/>
      </c>
      <c r="J182" s="209"/>
      <c r="K182" s="38"/>
      <c r="L182" s="38"/>
      <c r="M182" s="38"/>
    </row>
    <row r="183" spans="1:13">
      <c r="A183" s="55">
        <f t="shared" si="8"/>
        <v>1</v>
      </c>
      <c r="B183" s="87"/>
      <c r="C183" s="187"/>
      <c r="D183" s="188"/>
      <c r="E183" s="186"/>
      <c r="F183" s="186">
        <f t="shared" si="6"/>
        <v>0</v>
      </c>
      <c r="G183" s="186" t="str">
        <f>IF(IFERROR(IF(Str_TypeDonneesCpt6=Cpt_Index,Tab_Compteur_6[[#This Row],[Index]]-E182,Tab_Compteur_6[[#This Row],[Quantité]])/Tab_Compteur_6[[#This Row],[Delta Jour]],"")&lt;0,"",IFERROR(IF(Str_TypeDonneesCpt6=Cpt_Index,Tab_Compteur_6[[#This Row],[Index]]-E182,Tab_Compteur_6[[#This Row],[Quantité]])/Tab_Compteur_6[[#This Row],[Delta Jour]],""))</f>
        <v/>
      </c>
      <c r="H183" s="186" t="str">
        <f>IFERROR(Tab_Compteur_6[[#This Row],[Montant]]/Tab_Compteur_6[[#This Row],[Delta Jour]],"")</f>
        <v/>
      </c>
      <c r="I183" s="212" t="str">
        <f t="shared" si="7"/>
        <v/>
      </c>
      <c r="J183" s="209"/>
      <c r="K183" s="38"/>
      <c r="L183" s="38"/>
      <c r="M183" s="38"/>
    </row>
    <row r="184" spans="1:13">
      <c r="A184" s="55">
        <f t="shared" si="8"/>
        <v>1</v>
      </c>
      <c r="B184" s="87"/>
      <c r="C184" s="187"/>
      <c r="D184" s="188"/>
      <c r="E184" s="186"/>
      <c r="F184" s="186">
        <f t="shared" si="6"/>
        <v>0</v>
      </c>
      <c r="G184" s="186" t="str">
        <f>IF(IFERROR(IF(Str_TypeDonneesCpt6=Cpt_Index,Tab_Compteur_6[[#This Row],[Index]]-E183,Tab_Compteur_6[[#This Row],[Quantité]])/Tab_Compteur_6[[#This Row],[Delta Jour]],"")&lt;0,"",IFERROR(IF(Str_TypeDonneesCpt6=Cpt_Index,Tab_Compteur_6[[#This Row],[Index]]-E183,Tab_Compteur_6[[#This Row],[Quantité]])/Tab_Compteur_6[[#This Row],[Delta Jour]],""))</f>
        <v/>
      </c>
      <c r="H184" s="186" t="str">
        <f>IFERROR(Tab_Compteur_6[[#This Row],[Montant]]/Tab_Compteur_6[[#This Row],[Delta Jour]],"")</f>
        <v/>
      </c>
      <c r="I184" s="212" t="str">
        <f t="shared" si="7"/>
        <v/>
      </c>
      <c r="J184" s="209"/>
      <c r="K184" s="38"/>
      <c r="L184" s="38"/>
      <c r="M184" s="38"/>
    </row>
    <row r="185" spans="1:13">
      <c r="A185" s="55">
        <f t="shared" si="8"/>
        <v>1</v>
      </c>
      <c r="B185" s="87"/>
      <c r="C185" s="187"/>
      <c r="D185" s="188"/>
      <c r="E185" s="186"/>
      <c r="F185" s="186">
        <f t="shared" si="6"/>
        <v>0</v>
      </c>
      <c r="G185" s="186" t="str">
        <f>IF(IFERROR(IF(Str_TypeDonneesCpt6=Cpt_Index,Tab_Compteur_6[[#This Row],[Index]]-E184,Tab_Compteur_6[[#This Row],[Quantité]])/Tab_Compteur_6[[#This Row],[Delta Jour]],"")&lt;0,"",IFERROR(IF(Str_TypeDonneesCpt6=Cpt_Index,Tab_Compteur_6[[#This Row],[Index]]-E184,Tab_Compteur_6[[#This Row],[Quantité]])/Tab_Compteur_6[[#This Row],[Delta Jour]],""))</f>
        <v/>
      </c>
      <c r="H185" s="186" t="str">
        <f>IFERROR(Tab_Compteur_6[[#This Row],[Montant]]/Tab_Compteur_6[[#This Row],[Delta Jour]],"")</f>
        <v/>
      </c>
      <c r="I185" s="212" t="str">
        <f t="shared" si="7"/>
        <v/>
      </c>
      <c r="J185" s="209"/>
      <c r="K185" s="38"/>
      <c r="L185" s="38"/>
      <c r="M185" s="38"/>
    </row>
    <row r="186" spans="1:13">
      <c r="A186" s="55">
        <f t="shared" si="8"/>
        <v>1</v>
      </c>
      <c r="B186" s="87"/>
      <c r="C186" s="187"/>
      <c r="D186" s="188"/>
      <c r="E186" s="186"/>
      <c r="F186" s="186">
        <f t="shared" si="6"/>
        <v>0</v>
      </c>
      <c r="G186" s="186" t="str">
        <f>IF(IFERROR(IF(Str_TypeDonneesCpt6=Cpt_Index,Tab_Compteur_6[[#This Row],[Index]]-E185,Tab_Compteur_6[[#This Row],[Quantité]])/Tab_Compteur_6[[#This Row],[Delta Jour]],"")&lt;0,"",IFERROR(IF(Str_TypeDonneesCpt6=Cpt_Index,Tab_Compteur_6[[#This Row],[Index]]-E185,Tab_Compteur_6[[#This Row],[Quantité]])/Tab_Compteur_6[[#This Row],[Delta Jour]],""))</f>
        <v/>
      </c>
      <c r="H186" s="186" t="str">
        <f>IFERROR(Tab_Compteur_6[[#This Row],[Montant]]/Tab_Compteur_6[[#This Row],[Delta Jour]],"")</f>
        <v/>
      </c>
      <c r="I186" s="212" t="str">
        <f t="shared" si="7"/>
        <v/>
      </c>
      <c r="J186" s="209"/>
      <c r="K186" s="38"/>
      <c r="L186" s="38"/>
      <c r="M186" s="38"/>
    </row>
    <row r="187" spans="1:13">
      <c r="A187" s="55">
        <f t="shared" si="8"/>
        <v>1</v>
      </c>
      <c r="B187" s="87"/>
      <c r="C187" s="187"/>
      <c r="D187" s="188"/>
      <c r="E187" s="186"/>
      <c r="F187" s="186">
        <f t="shared" si="6"/>
        <v>0</v>
      </c>
      <c r="G187" s="186" t="str">
        <f>IF(IFERROR(IF(Str_TypeDonneesCpt6=Cpt_Index,Tab_Compteur_6[[#This Row],[Index]]-E186,Tab_Compteur_6[[#This Row],[Quantité]])/Tab_Compteur_6[[#This Row],[Delta Jour]],"")&lt;0,"",IFERROR(IF(Str_TypeDonneesCpt6=Cpt_Index,Tab_Compteur_6[[#This Row],[Index]]-E186,Tab_Compteur_6[[#This Row],[Quantité]])/Tab_Compteur_6[[#This Row],[Delta Jour]],""))</f>
        <v/>
      </c>
      <c r="H187" s="186" t="str">
        <f>IFERROR(Tab_Compteur_6[[#This Row],[Montant]]/Tab_Compteur_6[[#This Row],[Delta Jour]],"")</f>
        <v/>
      </c>
      <c r="I187" s="212" t="str">
        <f t="shared" si="7"/>
        <v/>
      </c>
      <c r="J187" s="209"/>
      <c r="K187" s="38"/>
      <c r="L187" s="38"/>
      <c r="M187" s="38"/>
    </row>
    <row r="188" spans="1:13">
      <c r="A188" s="55">
        <f t="shared" si="8"/>
        <v>1</v>
      </c>
      <c r="B188" s="87"/>
      <c r="C188" s="187"/>
      <c r="D188" s="188"/>
      <c r="E188" s="186"/>
      <c r="F188" s="186">
        <f t="shared" si="6"/>
        <v>0</v>
      </c>
      <c r="G188" s="186" t="str">
        <f>IF(IFERROR(IF(Str_TypeDonneesCpt6=Cpt_Index,Tab_Compteur_6[[#This Row],[Index]]-E187,Tab_Compteur_6[[#This Row],[Quantité]])/Tab_Compteur_6[[#This Row],[Delta Jour]],"")&lt;0,"",IFERROR(IF(Str_TypeDonneesCpt6=Cpt_Index,Tab_Compteur_6[[#This Row],[Index]]-E187,Tab_Compteur_6[[#This Row],[Quantité]])/Tab_Compteur_6[[#This Row],[Delta Jour]],""))</f>
        <v/>
      </c>
      <c r="H188" s="186" t="str">
        <f>IFERROR(Tab_Compteur_6[[#This Row],[Montant]]/Tab_Compteur_6[[#This Row],[Delta Jour]],"")</f>
        <v/>
      </c>
      <c r="I188" s="212" t="str">
        <f t="shared" si="7"/>
        <v/>
      </c>
      <c r="J188" s="209"/>
      <c r="K188" s="38"/>
      <c r="L188" s="38"/>
      <c r="M188" s="38"/>
    </row>
    <row r="189" spans="1:13">
      <c r="A189" s="55">
        <f t="shared" si="8"/>
        <v>1</v>
      </c>
      <c r="B189" s="87"/>
      <c r="C189" s="187"/>
      <c r="D189" s="188"/>
      <c r="E189" s="186"/>
      <c r="F189" s="186">
        <f t="shared" si="6"/>
        <v>0</v>
      </c>
      <c r="G189" s="186" t="str">
        <f>IF(IFERROR(IF(Str_TypeDonneesCpt6=Cpt_Index,Tab_Compteur_6[[#This Row],[Index]]-E188,Tab_Compteur_6[[#This Row],[Quantité]])/Tab_Compteur_6[[#This Row],[Delta Jour]],"")&lt;0,"",IFERROR(IF(Str_TypeDonneesCpt6=Cpt_Index,Tab_Compteur_6[[#This Row],[Index]]-E188,Tab_Compteur_6[[#This Row],[Quantité]])/Tab_Compteur_6[[#This Row],[Delta Jour]],""))</f>
        <v/>
      </c>
      <c r="H189" s="186" t="str">
        <f>IFERROR(Tab_Compteur_6[[#This Row],[Montant]]/Tab_Compteur_6[[#This Row],[Delta Jour]],"")</f>
        <v/>
      </c>
      <c r="I189" s="212" t="str">
        <f t="shared" si="7"/>
        <v/>
      </c>
      <c r="J189" s="209"/>
      <c r="K189" s="38"/>
      <c r="L189" s="38"/>
      <c r="M189" s="38"/>
    </row>
    <row r="190" spans="1:13">
      <c r="A190" s="55">
        <f t="shared" si="8"/>
        <v>1</v>
      </c>
      <c r="B190" s="87"/>
      <c r="C190" s="187"/>
      <c r="D190" s="188"/>
      <c r="E190" s="186"/>
      <c r="F190" s="186">
        <f t="shared" si="6"/>
        <v>0</v>
      </c>
      <c r="G190" s="186" t="str">
        <f>IF(IFERROR(IF(Str_TypeDonneesCpt6=Cpt_Index,Tab_Compteur_6[[#This Row],[Index]]-E189,Tab_Compteur_6[[#This Row],[Quantité]])/Tab_Compteur_6[[#This Row],[Delta Jour]],"")&lt;0,"",IFERROR(IF(Str_TypeDonneesCpt6=Cpt_Index,Tab_Compteur_6[[#This Row],[Index]]-E189,Tab_Compteur_6[[#This Row],[Quantité]])/Tab_Compteur_6[[#This Row],[Delta Jour]],""))</f>
        <v/>
      </c>
      <c r="H190" s="186" t="str">
        <f>IFERROR(Tab_Compteur_6[[#This Row],[Montant]]/Tab_Compteur_6[[#This Row],[Delta Jour]],"")</f>
        <v/>
      </c>
      <c r="I190" s="212" t="str">
        <f t="shared" si="7"/>
        <v/>
      </c>
      <c r="J190" s="209"/>
      <c r="K190" s="38"/>
      <c r="L190" s="38"/>
      <c r="M190" s="38"/>
    </row>
    <row r="191" spans="1:13">
      <c r="A191" s="55">
        <f t="shared" si="8"/>
        <v>1</v>
      </c>
      <c r="B191" s="87"/>
      <c r="C191" s="187"/>
      <c r="D191" s="188"/>
      <c r="E191" s="186"/>
      <c r="F191" s="186">
        <f t="shared" si="6"/>
        <v>0</v>
      </c>
      <c r="G191" s="186" t="str">
        <f>IF(IFERROR(IF(Str_TypeDonneesCpt6=Cpt_Index,Tab_Compteur_6[[#This Row],[Index]]-E190,Tab_Compteur_6[[#This Row],[Quantité]])/Tab_Compteur_6[[#This Row],[Delta Jour]],"")&lt;0,"",IFERROR(IF(Str_TypeDonneesCpt6=Cpt_Index,Tab_Compteur_6[[#This Row],[Index]]-E190,Tab_Compteur_6[[#This Row],[Quantité]])/Tab_Compteur_6[[#This Row],[Delta Jour]],""))</f>
        <v/>
      </c>
      <c r="H191" s="186" t="str">
        <f>IFERROR(Tab_Compteur_6[[#This Row],[Montant]]/Tab_Compteur_6[[#This Row],[Delta Jour]],"")</f>
        <v/>
      </c>
      <c r="I191" s="212" t="str">
        <f t="shared" si="7"/>
        <v/>
      </c>
      <c r="J191" s="209"/>
      <c r="K191" s="38"/>
      <c r="L191" s="38"/>
      <c r="M191" s="38"/>
    </row>
    <row r="192" spans="1:13">
      <c r="A192" s="55">
        <f t="shared" si="8"/>
        <v>1</v>
      </c>
      <c r="B192" s="87"/>
      <c r="C192" s="187"/>
      <c r="D192" s="188"/>
      <c r="E192" s="186"/>
      <c r="F192" s="186">
        <f t="shared" si="6"/>
        <v>0</v>
      </c>
      <c r="G192" s="186" t="str">
        <f>IF(IFERROR(IF(Str_TypeDonneesCpt6=Cpt_Index,Tab_Compteur_6[[#This Row],[Index]]-E191,Tab_Compteur_6[[#This Row],[Quantité]])/Tab_Compteur_6[[#This Row],[Delta Jour]],"")&lt;0,"",IFERROR(IF(Str_TypeDonneesCpt6=Cpt_Index,Tab_Compteur_6[[#This Row],[Index]]-E191,Tab_Compteur_6[[#This Row],[Quantité]])/Tab_Compteur_6[[#This Row],[Delta Jour]],""))</f>
        <v/>
      </c>
      <c r="H192" s="186" t="str">
        <f>IFERROR(Tab_Compteur_6[[#This Row],[Montant]]/Tab_Compteur_6[[#This Row],[Delta Jour]],"")</f>
        <v/>
      </c>
      <c r="I192" s="212" t="str">
        <f t="shared" si="7"/>
        <v/>
      </c>
      <c r="J192" s="209"/>
      <c r="K192" s="38"/>
      <c r="L192" s="38"/>
      <c r="M192" s="38"/>
    </row>
    <row r="193" spans="1:13">
      <c r="A193" s="55">
        <f t="shared" si="8"/>
        <v>1</v>
      </c>
      <c r="B193" s="87"/>
      <c r="C193" s="187"/>
      <c r="D193" s="188"/>
      <c r="E193" s="186"/>
      <c r="F193" s="186">
        <f t="shared" si="6"/>
        <v>0</v>
      </c>
      <c r="G193" s="186" t="str">
        <f>IF(IFERROR(IF(Str_TypeDonneesCpt6=Cpt_Index,Tab_Compteur_6[[#This Row],[Index]]-E192,Tab_Compteur_6[[#This Row],[Quantité]])/Tab_Compteur_6[[#This Row],[Delta Jour]],"")&lt;0,"",IFERROR(IF(Str_TypeDonneesCpt6=Cpt_Index,Tab_Compteur_6[[#This Row],[Index]]-E192,Tab_Compteur_6[[#This Row],[Quantité]])/Tab_Compteur_6[[#This Row],[Delta Jour]],""))</f>
        <v/>
      </c>
      <c r="H193" s="186" t="str">
        <f>IFERROR(Tab_Compteur_6[[#This Row],[Montant]]/Tab_Compteur_6[[#This Row],[Delta Jour]],"")</f>
        <v/>
      </c>
      <c r="I193" s="212" t="str">
        <f t="shared" si="7"/>
        <v/>
      </c>
      <c r="J193" s="209"/>
      <c r="K193" s="38"/>
      <c r="L193" s="38"/>
      <c r="M193" s="38"/>
    </row>
    <row r="194" spans="1:13">
      <c r="A194" s="55">
        <f t="shared" si="8"/>
        <v>1</v>
      </c>
      <c r="B194" s="87"/>
      <c r="C194" s="187"/>
      <c r="D194" s="188"/>
      <c r="E194" s="186"/>
      <c r="F194" s="186">
        <f t="shared" si="6"/>
        <v>0</v>
      </c>
      <c r="G194" s="186" t="str">
        <f>IF(IFERROR(IF(Str_TypeDonneesCpt6=Cpt_Index,Tab_Compteur_6[[#This Row],[Index]]-E193,Tab_Compteur_6[[#This Row],[Quantité]])/Tab_Compteur_6[[#This Row],[Delta Jour]],"")&lt;0,"",IFERROR(IF(Str_TypeDonneesCpt6=Cpt_Index,Tab_Compteur_6[[#This Row],[Index]]-E193,Tab_Compteur_6[[#This Row],[Quantité]])/Tab_Compteur_6[[#This Row],[Delta Jour]],""))</f>
        <v/>
      </c>
      <c r="H194" s="186" t="str">
        <f>IFERROR(Tab_Compteur_6[[#This Row],[Montant]]/Tab_Compteur_6[[#This Row],[Delta Jour]],"")</f>
        <v/>
      </c>
      <c r="I194" s="212" t="str">
        <f t="shared" si="7"/>
        <v/>
      </c>
      <c r="J194" s="209"/>
      <c r="K194" s="38"/>
      <c r="L194" s="38"/>
      <c r="M194" s="38"/>
    </row>
    <row r="195" spans="1:13">
      <c r="A195" s="55">
        <f t="shared" si="8"/>
        <v>1</v>
      </c>
      <c r="B195" s="87"/>
      <c r="C195" s="187"/>
      <c r="D195" s="188"/>
      <c r="E195" s="186"/>
      <c r="F195" s="186">
        <f t="shared" ref="F195:F243" si="9">IFERROR(B195-A195+1,"")</f>
        <v>0</v>
      </c>
      <c r="G195" s="186" t="str">
        <f>IF(IFERROR(IF(Str_TypeDonneesCpt6=Cpt_Index,Tab_Compteur_6[[#This Row],[Index]]-E194,Tab_Compteur_6[[#This Row],[Quantité]])/Tab_Compteur_6[[#This Row],[Delta Jour]],"")&lt;0,"",IFERROR(IF(Str_TypeDonneesCpt6=Cpt_Index,Tab_Compteur_6[[#This Row],[Index]]-E194,Tab_Compteur_6[[#This Row],[Quantité]])/Tab_Compteur_6[[#This Row],[Delta Jour]],""))</f>
        <v/>
      </c>
      <c r="H195" s="186" t="str">
        <f>IFERROR(Tab_Compteur_6[[#This Row],[Montant]]/Tab_Compteur_6[[#This Row],[Delta Jour]],"")</f>
        <v/>
      </c>
      <c r="I195" s="212" t="str">
        <f t="shared" ref="I195:I243" si="10">G195</f>
        <v/>
      </c>
      <c r="J195" s="209"/>
      <c r="K195" s="38"/>
      <c r="L195" s="38"/>
      <c r="M195" s="38"/>
    </row>
    <row r="196" spans="1:13">
      <c r="A196" s="55">
        <f t="shared" si="8"/>
        <v>1</v>
      </c>
      <c r="B196" s="87"/>
      <c r="C196" s="187"/>
      <c r="D196" s="188"/>
      <c r="E196" s="186"/>
      <c r="F196" s="186">
        <f t="shared" si="9"/>
        <v>0</v>
      </c>
      <c r="G196" s="186" t="str">
        <f>IF(IFERROR(IF(Str_TypeDonneesCpt6=Cpt_Index,Tab_Compteur_6[[#This Row],[Index]]-E195,Tab_Compteur_6[[#This Row],[Quantité]])/Tab_Compteur_6[[#This Row],[Delta Jour]],"")&lt;0,"",IFERROR(IF(Str_TypeDonneesCpt6=Cpt_Index,Tab_Compteur_6[[#This Row],[Index]]-E195,Tab_Compteur_6[[#This Row],[Quantité]])/Tab_Compteur_6[[#This Row],[Delta Jour]],""))</f>
        <v/>
      </c>
      <c r="H196" s="186" t="str">
        <f>IFERROR(Tab_Compteur_6[[#This Row],[Montant]]/Tab_Compteur_6[[#This Row],[Delta Jour]],"")</f>
        <v/>
      </c>
      <c r="I196" s="212" t="str">
        <f t="shared" si="10"/>
        <v/>
      </c>
      <c r="J196" s="209"/>
      <c r="K196" s="38"/>
      <c r="L196" s="38"/>
      <c r="M196" s="38"/>
    </row>
    <row r="197" spans="1:13">
      <c r="A197" s="55">
        <f t="shared" si="8"/>
        <v>1</v>
      </c>
      <c r="B197" s="87"/>
      <c r="C197" s="187"/>
      <c r="D197" s="188"/>
      <c r="E197" s="186"/>
      <c r="F197" s="186">
        <f t="shared" si="9"/>
        <v>0</v>
      </c>
      <c r="G197" s="186" t="str">
        <f>IF(IFERROR(IF(Str_TypeDonneesCpt6=Cpt_Index,Tab_Compteur_6[[#This Row],[Index]]-E196,Tab_Compteur_6[[#This Row],[Quantité]])/Tab_Compteur_6[[#This Row],[Delta Jour]],"")&lt;0,"",IFERROR(IF(Str_TypeDonneesCpt6=Cpt_Index,Tab_Compteur_6[[#This Row],[Index]]-E196,Tab_Compteur_6[[#This Row],[Quantité]])/Tab_Compteur_6[[#This Row],[Delta Jour]],""))</f>
        <v/>
      </c>
      <c r="H197" s="186" t="str">
        <f>IFERROR(Tab_Compteur_6[[#This Row],[Montant]]/Tab_Compteur_6[[#This Row],[Delta Jour]],"")</f>
        <v/>
      </c>
      <c r="I197" s="212" t="str">
        <f t="shared" si="10"/>
        <v/>
      </c>
      <c r="J197" s="209"/>
      <c r="K197" s="38"/>
      <c r="L197" s="38"/>
      <c r="M197" s="38"/>
    </row>
    <row r="198" spans="1:13">
      <c r="A198" s="55">
        <f t="shared" ref="A198:A243" si="11">IFERROR(B197+1,0)</f>
        <v>1</v>
      </c>
      <c r="B198" s="87"/>
      <c r="C198" s="187"/>
      <c r="D198" s="188"/>
      <c r="E198" s="186"/>
      <c r="F198" s="186">
        <f t="shared" si="9"/>
        <v>0</v>
      </c>
      <c r="G198" s="186" t="str">
        <f>IF(IFERROR(IF(Str_TypeDonneesCpt6=Cpt_Index,Tab_Compteur_6[[#This Row],[Index]]-E197,Tab_Compteur_6[[#This Row],[Quantité]])/Tab_Compteur_6[[#This Row],[Delta Jour]],"")&lt;0,"",IFERROR(IF(Str_TypeDonneesCpt6=Cpt_Index,Tab_Compteur_6[[#This Row],[Index]]-E197,Tab_Compteur_6[[#This Row],[Quantité]])/Tab_Compteur_6[[#This Row],[Delta Jour]],""))</f>
        <v/>
      </c>
      <c r="H198" s="186" t="str">
        <f>IFERROR(Tab_Compteur_6[[#This Row],[Montant]]/Tab_Compteur_6[[#This Row],[Delta Jour]],"")</f>
        <v/>
      </c>
      <c r="I198" s="212" t="str">
        <f t="shared" si="10"/>
        <v/>
      </c>
      <c r="J198" s="209"/>
      <c r="K198" s="38"/>
      <c r="L198" s="38"/>
      <c r="M198" s="38"/>
    </row>
    <row r="199" spans="1:13">
      <c r="A199" s="55">
        <f t="shared" si="11"/>
        <v>1</v>
      </c>
      <c r="B199" s="87"/>
      <c r="C199" s="187"/>
      <c r="D199" s="188"/>
      <c r="E199" s="186"/>
      <c r="F199" s="186">
        <f t="shared" si="9"/>
        <v>0</v>
      </c>
      <c r="G199" s="186" t="str">
        <f>IF(IFERROR(IF(Str_TypeDonneesCpt6=Cpt_Index,Tab_Compteur_6[[#This Row],[Index]]-E198,Tab_Compteur_6[[#This Row],[Quantité]])/Tab_Compteur_6[[#This Row],[Delta Jour]],"")&lt;0,"",IFERROR(IF(Str_TypeDonneesCpt6=Cpt_Index,Tab_Compteur_6[[#This Row],[Index]]-E198,Tab_Compteur_6[[#This Row],[Quantité]])/Tab_Compteur_6[[#This Row],[Delta Jour]],""))</f>
        <v/>
      </c>
      <c r="H199" s="186" t="str">
        <f>IFERROR(Tab_Compteur_6[[#This Row],[Montant]]/Tab_Compteur_6[[#This Row],[Delta Jour]],"")</f>
        <v/>
      </c>
      <c r="I199" s="212" t="str">
        <f t="shared" si="10"/>
        <v/>
      </c>
      <c r="J199" s="209"/>
      <c r="K199" s="38"/>
      <c r="L199" s="38"/>
      <c r="M199" s="38"/>
    </row>
    <row r="200" spans="1:13">
      <c r="A200" s="55">
        <f t="shared" si="11"/>
        <v>1</v>
      </c>
      <c r="B200" s="87"/>
      <c r="C200" s="187"/>
      <c r="D200" s="188"/>
      <c r="E200" s="186"/>
      <c r="F200" s="186">
        <f t="shared" si="9"/>
        <v>0</v>
      </c>
      <c r="G200" s="186" t="str">
        <f>IF(IFERROR(IF(Str_TypeDonneesCpt6=Cpt_Index,Tab_Compteur_6[[#This Row],[Index]]-E199,Tab_Compteur_6[[#This Row],[Quantité]])/Tab_Compteur_6[[#This Row],[Delta Jour]],"")&lt;0,"",IFERROR(IF(Str_TypeDonneesCpt6=Cpt_Index,Tab_Compteur_6[[#This Row],[Index]]-E199,Tab_Compteur_6[[#This Row],[Quantité]])/Tab_Compteur_6[[#This Row],[Delta Jour]],""))</f>
        <v/>
      </c>
      <c r="H200" s="186" t="str">
        <f>IFERROR(Tab_Compteur_6[[#This Row],[Montant]]/Tab_Compteur_6[[#This Row],[Delta Jour]],"")</f>
        <v/>
      </c>
      <c r="I200" s="212" t="str">
        <f t="shared" si="10"/>
        <v/>
      </c>
      <c r="J200" s="209"/>
      <c r="K200" s="38"/>
      <c r="L200" s="38"/>
      <c r="M200" s="38"/>
    </row>
    <row r="201" spans="1:13">
      <c r="A201" s="55">
        <f t="shared" si="11"/>
        <v>1</v>
      </c>
      <c r="B201" s="87"/>
      <c r="C201" s="187"/>
      <c r="D201" s="188"/>
      <c r="E201" s="186"/>
      <c r="F201" s="186">
        <f t="shared" si="9"/>
        <v>0</v>
      </c>
      <c r="G201" s="186" t="str">
        <f>IF(IFERROR(IF(Str_TypeDonneesCpt6=Cpt_Index,Tab_Compteur_6[[#This Row],[Index]]-E200,Tab_Compteur_6[[#This Row],[Quantité]])/Tab_Compteur_6[[#This Row],[Delta Jour]],"")&lt;0,"",IFERROR(IF(Str_TypeDonneesCpt6=Cpt_Index,Tab_Compteur_6[[#This Row],[Index]]-E200,Tab_Compteur_6[[#This Row],[Quantité]])/Tab_Compteur_6[[#This Row],[Delta Jour]],""))</f>
        <v/>
      </c>
      <c r="H201" s="186" t="str">
        <f>IFERROR(Tab_Compteur_6[[#This Row],[Montant]]/Tab_Compteur_6[[#This Row],[Delta Jour]],"")</f>
        <v/>
      </c>
      <c r="I201" s="212" t="str">
        <f t="shared" si="10"/>
        <v/>
      </c>
      <c r="J201" s="209"/>
      <c r="K201" s="38"/>
      <c r="L201" s="38"/>
      <c r="M201" s="38"/>
    </row>
    <row r="202" spans="1:13">
      <c r="A202" s="55">
        <f t="shared" si="11"/>
        <v>1</v>
      </c>
      <c r="B202" s="87"/>
      <c r="C202" s="187"/>
      <c r="D202" s="188"/>
      <c r="E202" s="186"/>
      <c r="F202" s="186">
        <f t="shared" si="9"/>
        <v>0</v>
      </c>
      <c r="G202" s="186" t="str">
        <f>IF(IFERROR(IF(Str_TypeDonneesCpt6=Cpt_Index,Tab_Compteur_6[[#This Row],[Index]]-E201,Tab_Compteur_6[[#This Row],[Quantité]])/Tab_Compteur_6[[#This Row],[Delta Jour]],"")&lt;0,"",IFERROR(IF(Str_TypeDonneesCpt6=Cpt_Index,Tab_Compteur_6[[#This Row],[Index]]-E201,Tab_Compteur_6[[#This Row],[Quantité]])/Tab_Compteur_6[[#This Row],[Delta Jour]],""))</f>
        <v/>
      </c>
      <c r="H202" s="186" t="str">
        <f>IFERROR(Tab_Compteur_6[[#This Row],[Montant]]/Tab_Compteur_6[[#This Row],[Delta Jour]],"")</f>
        <v/>
      </c>
      <c r="I202" s="212" t="str">
        <f t="shared" si="10"/>
        <v/>
      </c>
      <c r="J202" s="209"/>
      <c r="K202" s="38"/>
      <c r="L202" s="38"/>
      <c r="M202" s="38"/>
    </row>
    <row r="203" spans="1:13">
      <c r="A203" s="55">
        <f t="shared" si="11"/>
        <v>1</v>
      </c>
      <c r="B203" s="87"/>
      <c r="C203" s="187"/>
      <c r="D203" s="188"/>
      <c r="E203" s="186"/>
      <c r="F203" s="186">
        <f t="shared" si="9"/>
        <v>0</v>
      </c>
      <c r="G203" s="186" t="str">
        <f>IF(IFERROR(IF(Str_TypeDonneesCpt6=Cpt_Index,Tab_Compteur_6[[#This Row],[Index]]-E202,Tab_Compteur_6[[#This Row],[Quantité]])/Tab_Compteur_6[[#This Row],[Delta Jour]],"")&lt;0,"",IFERROR(IF(Str_TypeDonneesCpt6=Cpt_Index,Tab_Compteur_6[[#This Row],[Index]]-E202,Tab_Compteur_6[[#This Row],[Quantité]])/Tab_Compteur_6[[#This Row],[Delta Jour]],""))</f>
        <v/>
      </c>
      <c r="H203" s="186" t="str">
        <f>IFERROR(Tab_Compteur_6[[#This Row],[Montant]]/Tab_Compteur_6[[#This Row],[Delta Jour]],"")</f>
        <v/>
      </c>
      <c r="I203" s="212" t="str">
        <f t="shared" si="10"/>
        <v/>
      </c>
      <c r="J203" s="209"/>
      <c r="K203" s="38"/>
      <c r="L203" s="38"/>
      <c r="M203" s="38"/>
    </row>
    <row r="204" spans="1:13">
      <c r="A204" s="55">
        <f t="shared" si="11"/>
        <v>1</v>
      </c>
      <c r="B204" s="87"/>
      <c r="C204" s="187"/>
      <c r="D204" s="188"/>
      <c r="E204" s="186"/>
      <c r="F204" s="186">
        <f t="shared" si="9"/>
        <v>0</v>
      </c>
      <c r="G204" s="186" t="str">
        <f>IF(IFERROR(IF(Str_TypeDonneesCpt6=Cpt_Index,Tab_Compteur_6[[#This Row],[Index]]-E203,Tab_Compteur_6[[#This Row],[Quantité]])/Tab_Compteur_6[[#This Row],[Delta Jour]],"")&lt;0,"",IFERROR(IF(Str_TypeDonneesCpt6=Cpt_Index,Tab_Compteur_6[[#This Row],[Index]]-E203,Tab_Compteur_6[[#This Row],[Quantité]])/Tab_Compteur_6[[#This Row],[Delta Jour]],""))</f>
        <v/>
      </c>
      <c r="H204" s="186" t="str">
        <f>IFERROR(Tab_Compteur_6[[#This Row],[Montant]]/Tab_Compteur_6[[#This Row],[Delta Jour]],"")</f>
        <v/>
      </c>
      <c r="I204" s="212" t="str">
        <f t="shared" si="10"/>
        <v/>
      </c>
      <c r="J204" s="209"/>
      <c r="K204" s="38"/>
      <c r="L204" s="38"/>
      <c r="M204" s="38"/>
    </row>
    <row r="205" spans="1:13">
      <c r="A205" s="55">
        <f t="shared" si="11"/>
        <v>1</v>
      </c>
      <c r="B205" s="87"/>
      <c r="C205" s="187"/>
      <c r="D205" s="188"/>
      <c r="E205" s="186"/>
      <c r="F205" s="186">
        <f t="shared" si="9"/>
        <v>0</v>
      </c>
      <c r="G205" s="186" t="str">
        <f>IF(IFERROR(IF(Str_TypeDonneesCpt6=Cpt_Index,Tab_Compteur_6[[#This Row],[Index]]-E204,Tab_Compteur_6[[#This Row],[Quantité]])/Tab_Compteur_6[[#This Row],[Delta Jour]],"")&lt;0,"",IFERROR(IF(Str_TypeDonneesCpt6=Cpt_Index,Tab_Compteur_6[[#This Row],[Index]]-E204,Tab_Compteur_6[[#This Row],[Quantité]])/Tab_Compteur_6[[#This Row],[Delta Jour]],""))</f>
        <v/>
      </c>
      <c r="H205" s="186" t="str">
        <f>IFERROR(Tab_Compteur_6[[#This Row],[Montant]]/Tab_Compteur_6[[#This Row],[Delta Jour]],"")</f>
        <v/>
      </c>
      <c r="I205" s="212" t="str">
        <f t="shared" si="10"/>
        <v/>
      </c>
      <c r="J205" s="209"/>
      <c r="K205" s="38"/>
      <c r="L205" s="38"/>
      <c r="M205" s="38"/>
    </row>
    <row r="206" spans="1:13">
      <c r="A206" s="55">
        <f t="shared" si="11"/>
        <v>1</v>
      </c>
      <c r="B206" s="87"/>
      <c r="C206" s="187"/>
      <c r="D206" s="188"/>
      <c r="E206" s="186"/>
      <c r="F206" s="186">
        <f t="shared" si="9"/>
        <v>0</v>
      </c>
      <c r="G206" s="186" t="str">
        <f>IF(IFERROR(IF(Str_TypeDonneesCpt6=Cpt_Index,Tab_Compteur_6[[#This Row],[Index]]-E205,Tab_Compteur_6[[#This Row],[Quantité]])/Tab_Compteur_6[[#This Row],[Delta Jour]],"")&lt;0,"",IFERROR(IF(Str_TypeDonneesCpt6=Cpt_Index,Tab_Compteur_6[[#This Row],[Index]]-E205,Tab_Compteur_6[[#This Row],[Quantité]])/Tab_Compteur_6[[#This Row],[Delta Jour]],""))</f>
        <v/>
      </c>
      <c r="H206" s="186" t="str">
        <f>IFERROR(Tab_Compteur_6[[#This Row],[Montant]]/Tab_Compteur_6[[#This Row],[Delta Jour]],"")</f>
        <v/>
      </c>
      <c r="I206" s="212" t="str">
        <f t="shared" si="10"/>
        <v/>
      </c>
      <c r="J206" s="209"/>
      <c r="K206" s="38"/>
      <c r="L206" s="38"/>
      <c r="M206" s="38"/>
    </row>
    <row r="207" spans="1:13">
      <c r="A207" s="55">
        <f t="shared" si="11"/>
        <v>1</v>
      </c>
      <c r="B207" s="87"/>
      <c r="C207" s="187"/>
      <c r="D207" s="188"/>
      <c r="E207" s="186"/>
      <c r="F207" s="186">
        <f t="shared" si="9"/>
        <v>0</v>
      </c>
      <c r="G207" s="186" t="str">
        <f>IF(IFERROR(IF(Str_TypeDonneesCpt6=Cpt_Index,Tab_Compteur_6[[#This Row],[Index]]-E206,Tab_Compteur_6[[#This Row],[Quantité]])/Tab_Compteur_6[[#This Row],[Delta Jour]],"")&lt;0,"",IFERROR(IF(Str_TypeDonneesCpt6=Cpt_Index,Tab_Compteur_6[[#This Row],[Index]]-E206,Tab_Compteur_6[[#This Row],[Quantité]])/Tab_Compteur_6[[#This Row],[Delta Jour]],""))</f>
        <v/>
      </c>
      <c r="H207" s="186" t="str">
        <f>IFERROR(Tab_Compteur_6[[#This Row],[Montant]]/Tab_Compteur_6[[#This Row],[Delta Jour]],"")</f>
        <v/>
      </c>
      <c r="I207" s="212" t="str">
        <f t="shared" si="10"/>
        <v/>
      </c>
      <c r="J207" s="209"/>
      <c r="K207" s="38"/>
      <c r="L207" s="38"/>
      <c r="M207" s="38"/>
    </row>
    <row r="208" spans="1:13">
      <c r="A208" s="55">
        <f t="shared" si="11"/>
        <v>1</v>
      </c>
      <c r="B208" s="87"/>
      <c r="C208" s="187"/>
      <c r="D208" s="188"/>
      <c r="E208" s="186"/>
      <c r="F208" s="186">
        <f t="shared" si="9"/>
        <v>0</v>
      </c>
      <c r="G208" s="186" t="str">
        <f>IF(IFERROR(IF(Str_TypeDonneesCpt6=Cpt_Index,Tab_Compteur_6[[#This Row],[Index]]-E207,Tab_Compteur_6[[#This Row],[Quantité]])/Tab_Compteur_6[[#This Row],[Delta Jour]],"")&lt;0,"",IFERROR(IF(Str_TypeDonneesCpt6=Cpt_Index,Tab_Compteur_6[[#This Row],[Index]]-E207,Tab_Compteur_6[[#This Row],[Quantité]])/Tab_Compteur_6[[#This Row],[Delta Jour]],""))</f>
        <v/>
      </c>
      <c r="H208" s="186" t="str">
        <f>IFERROR(Tab_Compteur_6[[#This Row],[Montant]]/Tab_Compteur_6[[#This Row],[Delta Jour]],"")</f>
        <v/>
      </c>
      <c r="I208" s="212" t="str">
        <f t="shared" si="10"/>
        <v/>
      </c>
      <c r="J208" s="209"/>
      <c r="K208" s="38"/>
      <c r="L208" s="38"/>
      <c r="M208" s="38"/>
    </row>
    <row r="209" spans="1:13">
      <c r="A209" s="55">
        <f t="shared" si="11"/>
        <v>1</v>
      </c>
      <c r="B209" s="87"/>
      <c r="C209" s="187"/>
      <c r="D209" s="188"/>
      <c r="E209" s="186"/>
      <c r="F209" s="186">
        <f t="shared" si="9"/>
        <v>0</v>
      </c>
      <c r="G209" s="186" t="str">
        <f>IF(IFERROR(IF(Str_TypeDonneesCpt6=Cpt_Index,Tab_Compteur_6[[#This Row],[Index]]-E208,Tab_Compteur_6[[#This Row],[Quantité]])/Tab_Compteur_6[[#This Row],[Delta Jour]],"")&lt;0,"",IFERROR(IF(Str_TypeDonneesCpt6=Cpt_Index,Tab_Compteur_6[[#This Row],[Index]]-E208,Tab_Compteur_6[[#This Row],[Quantité]])/Tab_Compteur_6[[#This Row],[Delta Jour]],""))</f>
        <v/>
      </c>
      <c r="H209" s="186" t="str">
        <f>IFERROR(Tab_Compteur_6[[#This Row],[Montant]]/Tab_Compteur_6[[#This Row],[Delta Jour]],"")</f>
        <v/>
      </c>
      <c r="I209" s="212" t="str">
        <f t="shared" si="10"/>
        <v/>
      </c>
      <c r="J209" s="209"/>
      <c r="K209" s="38"/>
      <c r="L209" s="38"/>
      <c r="M209" s="38"/>
    </row>
    <row r="210" spans="1:13">
      <c r="A210" s="55">
        <f t="shared" si="11"/>
        <v>1</v>
      </c>
      <c r="B210" s="87"/>
      <c r="C210" s="187"/>
      <c r="D210" s="188"/>
      <c r="E210" s="186"/>
      <c r="F210" s="186">
        <f t="shared" si="9"/>
        <v>0</v>
      </c>
      <c r="G210" s="186" t="str">
        <f>IF(IFERROR(IF(Str_TypeDonneesCpt6=Cpt_Index,Tab_Compteur_6[[#This Row],[Index]]-E209,Tab_Compteur_6[[#This Row],[Quantité]])/Tab_Compteur_6[[#This Row],[Delta Jour]],"")&lt;0,"",IFERROR(IF(Str_TypeDonneesCpt6=Cpt_Index,Tab_Compteur_6[[#This Row],[Index]]-E209,Tab_Compteur_6[[#This Row],[Quantité]])/Tab_Compteur_6[[#This Row],[Delta Jour]],""))</f>
        <v/>
      </c>
      <c r="H210" s="186" t="str">
        <f>IFERROR(Tab_Compteur_6[[#This Row],[Montant]]/Tab_Compteur_6[[#This Row],[Delta Jour]],"")</f>
        <v/>
      </c>
      <c r="I210" s="212" t="str">
        <f t="shared" si="10"/>
        <v/>
      </c>
      <c r="J210" s="209"/>
      <c r="K210" s="38"/>
      <c r="L210" s="38"/>
      <c r="M210" s="38"/>
    </row>
    <row r="211" spans="1:13">
      <c r="A211" s="55">
        <f t="shared" si="11"/>
        <v>1</v>
      </c>
      <c r="B211" s="87"/>
      <c r="C211" s="187"/>
      <c r="D211" s="188"/>
      <c r="E211" s="186"/>
      <c r="F211" s="186">
        <f t="shared" si="9"/>
        <v>0</v>
      </c>
      <c r="G211" s="186" t="str">
        <f>IF(IFERROR(IF(Str_TypeDonneesCpt6=Cpt_Index,Tab_Compteur_6[[#This Row],[Index]]-E210,Tab_Compteur_6[[#This Row],[Quantité]])/Tab_Compteur_6[[#This Row],[Delta Jour]],"")&lt;0,"",IFERROR(IF(Str_TypeDonneesCpt6=Cpt_Index,Tab_Compteur_6[[#This Row],[Index]]-E210,Tab_Compteur_6[[#This Row],[Quantité]])/Tab_Compteur_6[[#This Row],[Delta Jour]],""))</f>
        <v/>
      </c>
      <c r="H211" s="186" t="str">
        <f>IFERROR(Tab_Compteur_6[[#This Row],[Montant]]/Tab_Compteur_6[[#This Row],[Delta Jour]],"")</f>
        <v/>
      </c>
      <c r="I211" s="212" t="str">
        <f t="shared" si="10"/>
        <v/>
      </c>
      <c r="J211" s="209"/>
      <c r="K211" s="38"/>
      <c r="L211" s="38"/>
      <c r="M211" s="38"/>
    </row>
    <row r="212" spans="1:13">
      <c r="A212" s="55">
        <f t="shared" si="11"/>
        <v>1</v>
      </c>
      <c r="B212" s="87"/>
      <c r="C212" s="187"/>
      <c r="D212" s="188"/>
      <c r="E212" s="186"/>
      <c r="F212" s="186">
        <f t="shared" si="9"/>
        <v>0</v>
      </c>
      <c r="G212" s="186" t="str">
        <f>IF(IFERROR(IF(Str_TypeDonneesCpt6=Cpt_Index,Tab_Compteur_6[[#This Row],[Index]]-E211,Tab_Compteur_6[[#This Row],[Quantité]])/Tab_Compteur_6[[#This Row],[Delta Jour]],"")&lt;0,"",IFERROR(IF(Str_TypeDonneesCpt6=Cpt_Index,Tab_Compteur_6[[#This Row],[Index]]-E211,Tab_Compteur_6[[#This Row],[Quantité]])/Tab_Compteur_6[[#This Row],[Delta Jour]],""))</f>
        <v/>
      </c>
      <c r="H212" s="186" t="str">
        <f>IFERROR(Tab_Compteur_6[[#This Row],[Montant]]/Tab_Compteur_6[[#This Row],[Delta Jour]],"")</f>
        <v/>
      </c>
      <c r="I212" s="212" t="str">
        <f t="shared" si="10"/>
        <v/>
      </c>
      <c r="J212" s="209"/>
      <c r="K212" s="38"/>
      <c r="L212" s="38"/>
      <c r="M212" s="38"/>
    </row>
    <row r="213" spans="1:13">
      <c r="A213" s="55">
        <f t="shared" si="11"/>
        <v>1</v>
      </c>
      <c r="B213" s="87"/>
      <c r="C213" s="187"/>
      <c r="D213" s="188"/>
      <c r="E213" s="186"/>
      <c r="F213" s="186">
        <f t="shared" si="9"/>
        <v>0</v>
      </c>
      <c r="G213" s="186" t="str">
        <f>IF(IFERROR(IF(Str_TypeDonneesCpt6=Cpt_Index,Tab_Compteur_6[[#This Row],[Index]]-E212,Tab_Compteur_6[[#This Row],[Quantité]])/Tab_Compteur_6[[#This Row],[Delta Jour]],"")&lt;0,"",IFERROR(IF(Str_TypeDonneesCpt6=Cpt_Index,Tab_Compteur_6[[#This Row],[Index]]-E212,Tab_Compteur_6[[#This Row],[Quantité]])/Tab_Compteur_6[[#This Row],[Delta Jour]],""))</f>
        <v/>
      </c>
      <c r="H213" s="186" t="str">
        <f>IFERROR(Tab_Compteur_6[[#This Row],[Montant]]/Tab_Compteur_6[[#This Row],[Delta Jour]],"")</f>
        <v/>
      </c>
      <c r="I213" s="212" t="str">
        <f t="shared" si="10"/>
        <v/>
      </c>
      <c r="J213" s="209"/>
      <c r="K213" s="38"/>
      <c r="L213" s="38"/>
      <c r="M213" s="38"/>
    </row>
    <row r="214" spans="1:13">
      <c r="A214" s="55">
        <f t="shared" si="11"/>
        <v>1</v>
      </c>
      <c r="B214" s="87"/>
      <c r="C214" s="187"/>
      <c r="D214" s="188"/>
      <c r="E214" s="186"/>
      <c r="F214" s="186">
        <f t="shared" si="9"/>
        <v>0</v>
      </c>
      <c r="G214" s="186" t="str">
        <f>IF(IFERROR(IF(Str_TypeDonneesCpt6=Cpt_Index,Tab_Compteur_6[[#This Row],[Index]]-E213,Tab_Compteur_6[[#This Row],[Quantité]])/Tab_Compteur_6[[#This Row],[Delta Jour]],"")&lt;0,"",IFERROR(IF(Str_TypeDonneesCpt6=Cpt_Index,Tab_Compteur_6[[#This Row],[Index]]-E213,Tab_Compteur_6[[#This Row],[Quantité]])/Tab_Compteur_6[[#This Row],[Delta Jour]],""))</f>
        <v/>
      </c>
      <c r="H214" s="186" t="str">
        <f>IFERROR(Tab_Compteur_6[[#This Row],[Montant]]/Tab_Compteur_6[[#This Row],[Delta Jour]],"")</f>
        <v/>
      </c>
      <c r="I214" s="212" t="str">
        <f t="shared" si="10"/>
        <v/>
      </c>
      <c r="J214" s="209"/>
      <c r="K214" s="38"/>
      <c r="L214" s="38"/>
      <c r="M214" s="38"/>
    </row>
    <row r="215" spans="1:13">
      <c r="A215" s="55">
        <f t="shared" si="11"/>
        <v>1</v>
      </c>
      <c r="B215" s="87"/>
      <c r="C215" s="187"/>
      <c r="D215" s="188"/>
      <c r="E215" s="186"/>
      <c r="F215" s="186">
        <f t="shared" si="9"/>
        <v>0</v>
      </c>
      <c r="G215" s="186" t="str">
        <f>IF(IFERROR(IF(Str_TypeDonneesCpt6=Cpt_Index,Tab_Compteur_6[[#This Row],[Index]]-E214,Tab_Compteur_6[[#This Row],[Quantité]])/Tab_Compteur_6[[#This Row],[Delta Jour]],"")&lt;0,"",IFERROR(IF(Str_TypeDonneesCpt6=Cpt_Index,Tab_Compteur_6[[#This Row],[Index]]-E214,Tab_Compteur_6[[#This Row],[Quantité]])/Tab_Compteur_6[[#This Row],[Delta Jour]],""))</f>
        <v/>
      </c>
      <c r="H215" s="186" t="str">
        <f>IFERROR(Tab_Compteur_6[[#This Row],[Montant]]/Tab_Compteur_6[[#This Row],[Delta Jour]],"")</f>
        <v/>
      </c>
      <c r="I215" s="212" t="str">
        <f t="shared" si="10"/>
        <v/>
      </c>
      <c r="J215" s="209"/>
      <c r="K215" s="38"/>
      <c r="L215" s="38"/>
      <c r="M215" s="38"/>
    </row>
    <row r="216" spans="1:13">
      <c r="A216" s="55">
        <f t="shared" si="11"/>
        <v>1</v>
      </c>
      <c r="B216" s="87"/>
      <c r="C216" s="187"/>
      <c r="D216" s="188"/>
      <c r="E216" s="186"/>
      <c r="F216" s="186">
        <f t="shared" si="9"/>
        <v>0</v>
      </c>
      <c r="G216" s="186" t="str">
        <f>IF(IFERROR(IF(Str_TypeDonneesCpt6=Cpt_Index,Tab_Compteur_6[[#This Row],[Index]]-E215,Tab_Compteur_6[[#This Row],[Quantité]])/Tab_Compteur_6[[#This Row],[Delta Jour]],"")&lt;0,"",IFERROR(IF(Str_TypeDonneesCpt6=Cpt_Index,Tab_Compteur_6[[#This Row],[Index]]-E215,Tab_Compteur_6[[#This Row],[Quantité]])/Tab_Compteur_6[[#This Row],[Delta Jour]],""))</f>
        <v/>
      </c>
      <c r="H216" s="186" t="str">
        <f>IFERROR(Tab_Compteur_6[[#This Row],[Montant]]/Tab_Compteur_6[[#This Row],[Delta Jour]],"")</f>
        <v/>
      </c>
      <c r="I216" s="212" t="str">
        <f t="shared" si="10"/>
        <v/>
      </c>
      <c r="J216" s="209"/>
      <c r="K216" s="38"/>
      <c r="L216" s="38"/>
      <c r="M216" s="38"/>
    </row>
    <row r="217" spans="1:13">
      <c r="A217" s="55">
        <f t="shared" si="11"/>
        <v>1</v>
      </c>
      <c r="B217" s="87"/>
      <c r="C217" s="187"/>
      <c r="D217" s="188"/>
      <c r="E217" s="186"/>
      <c r="F217" s="186">
        <f t="shared" si="9"/>
        <v>0</v>
      </c>
      <c r="G217" s="186" t="str">
        <f>IF(IFERROR(IF(Str_TypeDonneesCpt6=Cpt_Index,Tab_Compteur_6[[#This Row],[Index]]-E216,Tab_Compteur_6[[#This Row],[Quantité]])/Tab_Compteur_6[[#This Row],[Delta Jour]],"")&lt;0,"",IFERROR(IF(Str_TypeDonneesCpt6=Cpt_Index,Tab_Compteur_6[[#This Row],[Index]]-E216,Tab_Compteur_6[[#This Row],[Quantité]])/Tab_Compteur_6[[#This Row],[Delta Jour]],""))</f>
        <v/>
      </c>
      <c r="H217" s="186" t="str">
        <f>IFERROR(Tab_Compteur_6[[#This Row],[Montant]]/Tab_Compteur_6[[#This Row],[Delta Jour]],"")</f>
        <v/>
      </c>
      <c r="I217" s="212" t="str">
        <f t="shared" si="10"/>
        <v/>
      </c>
      <c r="J217" s="209"/>
      <c r="K217" s="38"/>
      <c r="L217" s="38"/>
      <c r="M217" s="38"/>
    </row>
    <row r="218" spans="1:13">
      <c r="A218" s="55">
        <f t="shared" si="11"/>
        <v>1</v>
      </c>
      <c r="B218" s="87"/>
      <c r="C218" s="187"/>
      <c r="D218" s="188"/>
      <c r="E218" s="186"/>
      <c r="F218" s="186">
        <f t="shared" si="9"/>
        <v>0</v>
      </c>
      <c r="G218" s="186" t="str">
        <f>IF(IFERROR(IF(Str_TypeDonneesCpt6=Cpt_Index,Tab_Compteur_6[[#This Row],[Index]]-E217,Tab_Compteur_6[[#This Row],[Quantité]])/Tab_Compteur_6[[#This Row],[Delta Jour]],"")&lt;0,"",IFERROR(IF(Str_TypeDonneesCpt6=Cpt_Index,Tab_Compteur_6[[#This Row],[Index]]-E217,Tab_Compteur_6[[#This Row],[Quantité]])/Tab_Compteur_6[[#This Row],[Delta Jour]],""))</f>
        <v/>
      </c>
      <c r="H218" s="186" t="str">
        <f>IFERROR(Tab_Compteur_6[[#This Row],[Montant]]/Tab_Compteur_6[[#This Row],[Delta Jour]],"")</f>
        <v/>
      </c>
      <c r="I218" s="212" t="str">
        <f t="shared" si="10"/>
        <v/>
      </c>
      <c r="J218" s="209"/>
      <c r="K218" s="38"/>
      <c r="L218" s="38"/>
      <c r="M218" s="38"/>
    </row>
    <row r="219" spans="1:13">
      <c r="A219" s="55">
        <f t="shared" si="11"/>
        <v>1</v>
      </c>
      <c r="B219" s="87"/>
      <c r="C219" s="187"/>
      <c r="D219" s="188"/>
      <c r="E219" s="186"/>
      <c r="F219" s="186">
        <f t="shared" si="9"/>
        <v>0</v>
      </c>
      <c r="G219" s="186" t="str">
        <f>IF(IFERROR(IF(Str_TypeDonneesCpt6=Cpt_Index,Tab_Compteur_6[[#This Row],[Index]]-E218,Tab_Compteur_6[[#This Row],[Quantité]])/Tab_Compteur_6[[#This Row],[Delta Jour]],"")&lt;0,"",IFERROR(IF(Str_TypeDonneesCpt6=Cpt_Index,Tab_Compteur_6[[#This Row],[Index]]-E218,Tab_Compteur_6[[#This Row],[Quantité]])/Tab_Compteur_6[[#This Row],[Delta Jour]],""))</f>
        <v/>
      </c>
      <c r="H219" s="186" t="str">
        <f>IFERROR(Tab_Compteur_6[[#This Row],[Montant]]/Tab_Compteur_6[[#This Row],[Delta Jour]],"")</f>
        <v/>
      </c>
      <c r="I219" s="212" t="str">
        <f t="shared" si="10"/>
        <v/>
      </c>
      <c r="J219" s="209"/>
      <c r="K219" s="38"/>
      <c r="L219" s="38"/>
      <c r="M219" s="38"/>
    </row>
    <row r="220" spans="1:13">
      <c r="A220" s="55">
        <f t="shared" si="11"/>
        <v>1</v>
      </c>
      <c r="B220" s="87"/>
      <c r="C220" s="187"/>
      <c r="D220" s="188"/>
      <c r="E220" s="186"/>
      <c r="F220" s="186">
        <f t="shared" si="9"/>
        <v>0</v>
      </c>
      <c r="G220" s="186" t="str">
        <f>IF(IFERROR(IF(Str_TypeDonneesCpt6=Cpt_Index,Tab_Compteur_6[[#This Row],[Index]]-E219,Tab_Compteur_6[[#This Row],[Quantité]])/Tab_Compteur_6[[#This Row],[Delta Jour]],"")&lt;0,"",IFERROR(IF(Str_TypeDonneesCpt6=Cpt_Index,Tab_Compteur_6[[#This Row],[Index]]-E219,Tab_Compteur_6[[#This Row],[Quantité]])/Tab_Compteur_6[[#This Row],[Delta Jour]],""))</f>
        <v/>
      </c>
      <c r="H220" s="186" t="str">
        <f>IFERROR(Tab_Compteur_6[[#This Row],[Montant]]/Tab_Compteur_6[[#This Row],[Delta Jour]],"")</f>
        <v/>
      </c>
      <c r="I220" s="212" t="str">
        <f t="shared" si="10"/>
        <v/>
      </c>
      <c r="J220" s="209"/>
      <c r="K220" s="38"/>
      <c r="L220" s="38"/>
      <c r="M220" s="38"/>
    </row>
    <row r="221" spans="1:13">
      <c r="A221" s="55">
        <f t="shared" si="11"/>
        <v>1</v>
      </c>
      <c r="B221" s="87"/>
      <c r="C221" s="187"/>
      <c r="D221" s="188"/>
      <c r="E221" s="186"/>
      <c r="F221" s="186">
        <f t="shared" si="9"/>
        <v>0</v>
      </c>
      <c r="G221" s="186" t="str">
        <f>IF(IFERROR(IF(Str_TypeDonneesCpt6=Cpt_Index,Tab_Compteur_6[[#This Row],[Index]]-E220,Tab_Compteur_6[[#This Row],[Quantité]])/Tab_Compteur_6[[#This Row],[Delta Jour]],"")&lt;0,"",IFERROR(IF(Str_TypeDonneesCpt6=Cpt_Index,Tab_Compteur_6[[#This Row],[Index]]-E220,Tab_Compteur_6[[#This Row],[Quantité]])/Tab_Compteur_6[[#This Row],[Delta Jour]],""))</f>
        <v/>
      </c>
      <c r="H221" s="186" t="str">
        <f>IFERROR(Tab_Compteur_6[[#This Row],[Montant]]/Tab_Compteur_6[[#This Row],[Delta Jour]],"")</f>
        <v/>
      </c>
      <c r="I221" s="212" t="str">
        <f t="shared" si="10"/>
        <v/>
      </c>
      <c r="J221" s="209"/>
      <c r="K221" s="38"/>
      <c r="L221" s="38"/>
      <c r="M221" s="38"/>
    </row>
    <row r="222" spans="1:13">
      <c r="A222" s="55">
        <f t="shared" si="11"/>
        <v>1</v>
      </c>
      <c r="B222" s="87"/>
      <c r="C222" s="187"/>
      <c r="D222" s="188"/>
      <c r="E222" s="186"/>
      <c r="F222" s="186">
        <f t="shared" si="9"/>
        <v>0</v>
      </c>
      <c r="G222" s="186" t="str">
        <f>IF(IFERROR(IF(Str_TypeDonneesCpt6=Cpt_Index,Tab_Compteur_6[[#This Row],[Index]]-E221,Tab_Compteur_6[[#This Row],[Quantité]])/Tab_Compteur_6[[#This Row],[Delta Jour]],"")&lt;0,"",IFERROR(IF(Str_TypeDonneesCpt6=Cpt_Index,Tab_Compteur_6[[#This Row],[Index]]-E221,Tab_Compteur_6[[#This Row],[Quantité]])/Tab_Compteur_6[[#This Row],[Delta Jour]],""))</f>
        <v/>
      </c>
      <c r="H222" s="186" t="str">
        <f>IFERROR(Tab_Compteur_6[[#This Row],[Montant]]/Tab_Compteur_6[[#This Row],[Delta Jour]],"")</f>
        <v/>
      </c>
      <c r="I222" s="212" t="str">
        <f t="shared" si="10"/>
        <v/>
      </c>
      <c r="J222" s="209"/>
      <c r="K222" s="38"/>
      <c r="L222" s="38"/>
      <c r="M222" s="38"/>
    </row>
    <row r="223" spans="1:13">
      <c r="A223" s="55">
        <f t="shared" si="11"/>
        <v>1</v>
      </c>
      <c r="B223" s="87"/>
      <c r="C223" s="187"/>
      <c r="D223" s="188"/>
      <c r="E223" s="186"/>
      <c r="F223" s="186">
        <f t="shared" si="9"/>
        <v>0</v>
      </c>
      <c r="G223" s="186" t="str">
        <f>IF(IFERROR(IF(Str_TypeDonneesCpt6=Cpt_Index,Tab_Compteur_6[[#This Row],[Index]]-E222,Tab_Compteur_6[[#This Row],[Quantité]])/Tab_Compteur_6[[#This Row],[Delta Jour]],"")&lt;0,"",IFERROR(IF(Str_TypeDonneesCpt6=Cpt_Index,Tab_Compteur_6[[#This Row],[Index]]-E222,Tab_Compteur_6[[#This Row],[Quantité]])/Tab_Compteur_6[[#This Row],[Delta Jour]],""))</f>
        <v/>
      </c>
      <c r="H223" s="186" t="str">
        <f>IFERROR(Tab_Compteur_6[[#This Row],[Montant]]/Tab_Compteur_6[[#This Row],[Delta Jour]],"")</f>
        <v/>
      </c>
      <c r="I223" s="212" t="str">
        <f t="shared" si="10"/>
        <v/>
      </c>
      <c r="J223" s="209"/>
      <c r="K223" s="38"/>
      <c r="L223" s="38"/>
      <c r="M223" s="38"/>
    </row>
    <row r="224" spans="1:13">
      <c r="A224" s="55">
        <f t="shared" si="11"/>
        <v>1</v>
      </c>
      <c r="B224" s="87"/>
      <c r="C224" s="187"/>
      <c r="D224" s="188"/>
      <c r="E224" s="186"/>
      <c r="F224" s="186">
        <f t="shared" si="9"/>
        <v>0</v>
      </c>
      <c r="G224" s="186" t="str">
        <f>IF(IFERROR(IF(Str_TypeDonneesCpt6=Cpt_Index,Tab_Compteur_6[[#This Row],[Index]]-E223,Tab_Compteur_6[[#This Row],[Quantité]])/Tab_Compteur_6[[#This Row],[Delta Jour]],"")&lt;0,"",IFERROR(IF(Str_TypeDonneesCpt6=Cpt_Index,Tab_Compteur_6[[#This Row],[Index]]-E223,Tab_Compteur_6[[#This Row],[Quantité]])/Tab_Compteur_6[[#This Row],[Delta Jour]],""))</f>
        <v/>
      </c>
      <c r="H224" s="186" t="str">
        <f>IFERROR(Tab_Compteur_6[[#This Row],[Montant]]/Tab_Compteur_6[[#This Row],[Delta Jour]],"")</f>
        <v/>
      </c>
      <c r="I224" s="212" t="str">
        <f t="shared" si="10"/>
        <v/>
      </c>
      <c r="J224" s="209"/>
      <c r="K224" s="38"/>
      <c r="L224" s="38"/>
      <c r="M224" s="38"/>
    </row>
    <row r="225" spans="1:13">
      <c r="A225" s="55">
        <f t="shared" si="11"/>
        <v>1</v>
      </c>
      <c r="B225" s="87"/>
      <c r="C225" s="187"/>
      <c r="D225" s="188"/>
      <c r="E225" s="186"/>
      <c r="F225" s="186">
        <f t="shared" si="9"/>
        <v>0</v>
      </c>
      <c r="G225" s="186" t="str">
        <f>IF(IFERROR(IF(Str_TypeDonneesCpt6=Cpt_Index,Tab_Compteur_6[[#This Row],[Index]]-E224,Tab_Compteur_6[[#This Row],[Quantité]])/Tab_Compteur_6[[#This Row],[Delta Jour]],"")&lt;0,"",IFERROR(IF(Str_TypeDonneesCpt6=Cpt_Index,Tab_Compteur_6[[#This Row],[Index]]-E224,Tab_Compteur_6[[#This Row],[Quantité]])/Tab_Compteur_6[[#This Row],[Delta Jour]],""))</f>
        <v/>
      </c>
      <c r="H225" s="186" t="str">
        <f>IFERROR(Tab_Compteur_6[[#This Row],[Montant]]/Tab_Compteur_6[[#This Row],[Delta Jour]],"")</f>
        <v/>
      </c>
      <c r="I225" s="212" t="str">
        <f t="shared" si="10"/>
        <v/>
      </c>
      <c r="J225" s="209"/>
      <c r="K225" s="38"/>
      <c r="L225" s="38"/>
      <c r="M225" s="38"/>
    </row>
    <row r="226" spans="1:13">
      <c r="A226" s="55">
        <f t="shared" si="11"/>
        <v>1</v>
      </c>
      <c r="B226" s="87"/>
      <c r="C226" s="187"/>
      <c r="D226" s="188"/>
      <c r="E226" s="186"/>
      <c r="F226" s="186">
        <f t="shared" si="9"/>
        <v>0</v>
      </c>
      <c r="G226" s="186" t="str">
        <f>IF(IFERROR(IF(Str_TypeDonneesCpt6=Cpt_Index,Tab_Compteur_6[[#This Row],[Index]]-E225,Tab_Compteur_6[[#This Row],[Quantité]])/Tab_Compteur_6[[#This Row],[Delta Jour]],"")&lt;0,"",IFERROR(IF(Str_TypeDonneesCpt6=Cpt_Index,Tab_Compteur_6[[#This Row],[Index]]-E225,Tab_Compteur_6[[#This Row],[Quantité]])/Tab_Compteur_6[[#This Row],[Delta Jour]],""))</f>
        <v/>
      </c>
      <c r="H226" s="186" t="str">
        <f>IFERROR(Tab_Compteur_6[[#This Row],[Montant]]/Tab_Compteur_6[[#This Row],[Delta Jour]],"")</f>
        <v/>
      </c>
      <c r="I226" s="212" t="str">
        <f t="shared" si="10"/>
        <v/>
      </c>
      <c r="J226" s="209"/>
      <c r="K226" s="38"/>
      <c r="L226" s="38"/>
      <c r="M226" s="38"/>
    </row>
    <row r="227" spans="1:13">
      <c r="A227" s="55">
        <f t="shared" si="11"/>
        <v>1</v>
      </c>
      <c r="B227" s="87"/>
      <c r="C227" s="187"/>
      <c r="D227" s="188"/>
      <c r="E227" s="186"/>
      <c r="F227" s="186">
        <f t="shared" si="9"/>
        <v>0</v>
      </c>
      <c r="G227" s="186" t="str">
        <f>IF(IFERROR(IF(Str_TypeDonneesCpt6=Cpt_Index,Tab_Compteur_6[[#This Row],[Index]]-E226,Tab_Compteur_6[[#This Row],[Quantité]])/Tab_Compteur_6[[#This Row],[Delta Jour]],"")&lt;0,"",IFERROR(IF(Str_TypeDonneesCpt6=Cpt_Index,Tab_Compteur_6[[#This Row],[Index]]-E226,Tab_Compteur_6[[#This Row],[Quantité]])/Tab_Compteur_6[[#This Row],[Delta Jour]],""))</f>
        <v/>
      </c>
      <c r="H227" s="186" t="str">
        <f>IFERROR(Tab_Compteur_6[[#This Row],[Montant]]/Tab_Compteur_6[[#This Row],[Delta Jour]],"")</f>
        <v/>
      </c>
      <c r="I227" s="212" t="str">
        <f t="shared" si="10"/>
        <v/>
      </c>
      <c r="J227" s="209"/>
      <c r="K227" s="38"/>
      <c r="L227" s="38"/>
      <c r="M227" s="38"/>
    </row>
    <row r="228" spans="1:13">
      <c r="A228" s="55">
        <f t="shared" si="11"/>
        <v>1</v>
      </c>
      <c r="B228" s="87"/>
      <c r="C228" s="187"/>
      <c r="D228" s="188"/>
      <c r="E228" s="186"/>
      <c r="F228" s="186">
        <f t="shared" si="9"/>
        <v>0</v>
      </c>
      <c r="G228" s="186" t="str">
        <f>IF(IFERROR(IF(Str_TypeDonneesCpt6=Cpt_Index,Tab_Compteur_6[[#This Row],[Index]]-E227,Tab_Compteur_6[[#This Row],[Quantité]])/Tab_Compteur_6[[#This Row],[Delta Jour]],"")&lt;0,"",IFERROR(IF(Str_TypeDonneesCpt6=Cpt_Index,Tab_Compteur_6[[#This Row],[Index]]-E227,Tab_Compteur_6[[#This Row],[Quantité]])/Tab_Compteur_6[[#This Row],[Delta Jour]],""))</f>
        <v/>
      </c>
      <c r="H228" s="186" t="str">
        <f>IFERROR(Tab_Compteur_6[[#This Row],[Montant]]/Tab_Compteur_6[[#This Row],[Delta Jour]],"")</f>
        <v/>
      </c>
      <c r="I228" s="212" t="str">
        <f t="shared" si="10"/>
        <v/>
      </c>
      <c r="J228" s="209"/>
      <c r="K228" s="38"/>
      <c r="L228" s="38"/>
      <c r="M228" s="38"/>
    </row>
    <row r="229" spans="1:13">
      <c r="A229" s="55">
        <f t="shared" si="11"/>
        <v>1</v>
      </c>
      <c r="B229" s="87"/>
      <c r="C229" s="187"/>
      <c r="D229" s="188"/>
      <c r="E229" s="186"/>
      <c r="F229" s="186">
        <f t="shared" si="9"/>
        <v>0</v>
      </c>
      <c r="G229" s="186" t="str">
        <f>IF(IFERROR(IF(Str_TypeDonneesCpt6=Cpt_Index,Tab_Compteur_6[[#This Row],[Index]]-E228,Tab_Compteur_6[[#This Row],[Quantité]])/Tab_Compteur_6[[#This Row],[Delta Jour]],"")&lt;0,"",IFERROR(IF(Str_TypeDonneesCpt6=Cpt_Index,Tab_Compteur_6[[#This Row],[Index]]-E228,Tab_Compteur_6[[#This Row],[Quantité]])/Tab_Compteur_6[[#This Row],[Delta Jour]],""))</f>
        <v/>
      </c>
      <c r="H229" s="186" t="str">
        <f>IFERROR(Tab_Compteur_6[[#This Row],[Montant]]/Tab_Compteur_6[[#This Row],[Delta Jour]],"")</f>
        <v/>
      </c>
      <c r="I229" s="212" t="str">
        <f t="shared" si="10"/>
        <v/>
      </c>
      <c r="J229" s="209"/>
      <c r="K229" s="38"/>
      <c r="L229" s="38"/>
      <c r="M229" s="38"/>
    </row>
    <row r="230" spans="1:13">
      <c r="A230" s="55">
        <f t="shared" si="11"/>
        <v>1</v>
      </c>
      <c r="B230" s="87"/>
      <c r="C230" s="187"/>
      <c r="D230" s="188"/>
      <c r="E230" s="186"/>
      <c r="F230" s="186">
        <f t="shared" si="9"/>
        <v>0</v>
      </c>
      <c r="G230" s="186" t="str">
        <f>IF(IFERROR(IF(Str_TypeDonneesCpt6=Cpt_Index,Tab_Compteur_6[[#This Row],[Index]]-E229,Tab_Compteur_6[[#This Row],[Quantité]])/Tab_Compteur_6[[#This Row],[Delta Jour]],"")&lt;0,"",IFERROR(IF(Str_TypeDonneesCpt6=Cpt_Index,Tab_Compteur_6[[#This Row],[Index]]-E229,Tab_Compteur_6[[#This Row],[Quantité]])/Tab_Compteur_6[[#This Row],[Delta Jour]],""))</f>
        <v/>
      </c>
      <c r="H230" s="186" t="str">
        <f>IFERROR(Tab_Compteur_6[[#This Row],[Montant]]/Tab_Compteur_6[[#This Row],[Delta Jour]],"")</f>
        <v/>
      </c>
      <c r="I230" s="212" t="str">
        <f t="shared" si="10"/>
        <v/>
      </c>
      <c r="J230" s="209"/>
      <c r="K230" s="38"/>
      <c r="L230" s="38"/>
      <c r="M230" s="38"/>
    </row>
    <row r="231" spans="1:13">
      <c r="A231" s="55">
        <f t="shared" si="11"/>
        <v>1</v>
      </c>
      <c r="B231" s="87"/>
      <c r="C231" s="187"/>
      <c r="D231" s="188"/>
      <c r="E231" s="186"/>
      <c r="F231" s="186">
        <f t="shared" si="9"/>
        <v>0</v>
      </c>
      <c r="G231" s="186" t="str">
        <f>IF(IFERROR(IF(Str_TypeDonneesCpt6=Cpt_Index,Tab_Compteur_6[[#This Row],[Index]]-E230,Tab_Compteur_6[[#This Row],[Quantité]])/Tab_Compteur_6[[#This Row],[Delta Jour]],"")&lt;0,"",IFERROR(IF(Str_TypeDonneesCpt6=Cpt_Index,Tab_Compteur_6[[#This Row],[Index]]-E230,Tab_Compteur_6[[#This Row],[Quantité]])/Tab_Compteur_6[[#This Row],[Delta Jour]],""))</f>
        <v/>
      </c>
      <c r="H231" s="186" t="str">
        <f>IFERROR(Tab_Compteur_6[[#This Row],[Montant]]/Tab_Compteur_6[[#This Row],[Delta Jour]],"")</f>
        <v/>
      </c>
      <c r="I231" s="212" t="str">
        <f t="shared" si="10"/>
        <v/>
      </c>
      <c r="J231" s="209"/>
      <c r="K231" s="38"/>
      <c r="L231" s="38"/>
      <c r="M231" s="38"/>
    </row>
    <row r="232" spans="1:13">
      <c r="A232" s="55">
        <f t="shared" si="11"/>
        <v>1</v>
      </c>
      <c r="B232" s="87"/>
      <c r="C232" s="187"/>
      <c r="D232" s="188"/>
      <c r="E232" s="186"/>
      <c r="F232" s="186">
        <f t="shared" si="9"/>
        <v>0</v>
      </c>
      <c r="G232" s="186" t="str">
        <f>IF(IFERROR(IF(Str_TypeDonneesCpt6=Cpt_Index,Tab_Compteur_6[[#This Row],[Index]]-E231,Tab_Compteur_6[[#This Row],[Quantité]])/Tab_Compteur_6[[#This Row],[Delta Jour]],"")&lt;0,"",IFERROR(IF(Str_TypeDonneesCpt6=Cpt_Index,Tab_Compteur_6[[#This Row],[Index]]-E231,Tab_Compteur_6[[#This Row],[Quantité]])/Tab_Compteur_6[[#This Row],[Delta Jour]],""))</f>
        <v/>
      </c>
      <c r="H232" s="186" t="str">
        <f>IFERROR(Tab_Compteur_6[[#This Row],[Montant]]/Tab_Compteur_6[[#This Row],[Delta Jour]],"")</f>
        <v/>
      </c>
      <c r="I232" s="212" t="str">
        <f t="shared" si="10"/>
        <v/>
      </c>
      <c r="J232" s="209"/>
      <c r="K232" s="38"/>
      <c r="L232" s="38"/>
      <c r="M232" s="38"/>
    </row>
    <row r="233" spans="1:13">
      <c r="A233" s="55">
        <f t="shared" si="11"/>
        <v>1</v>
      </c>
      <c r="B233" s="87"/>
      <c r="C233" s="187"/>
      <c r="D233" s="188"/>
      <c r="E233" s="186"/>
      <c r="F233" s="186">
        <f t="shared" si="9"/>
        <v>0</v>
      </c>
      <c r="G233" s="186" t="str">
        <f>IF(IFERROR(IF(Str_TypeDonneesCpt6=Cpt_Index,Tab_Compteur_6[[#This Row],[Index]]-E232,Tab_Compteur_6[[#This Row],[Quantité]])/Tab_Compteur_6[[#This Row],[Delta Jour]],"")&lt;0,"",IFERROR(IF(Str_TypeDonneesCpt6=Cpt_Index,Tab_Compteur_6[[#This Row],[Index]]-E232,Tab_Compteur_6[[#This Row],[Quantité]])/Tab_Compteur_6[[#This Row],[Delta Jour]],""))</f>
        <v/>
      </c>
      <c r="H233" s="186" t="str">
        <f>IFERROR(Tab_Compteur_6[[#This Row],[Montant]]/Tab_Compteur_6[[#This Row],[Delta Jour]],"")</f>
        <v/>
      </c>
      <c r="I233" s="212" t="str">
        <f t="shared" si="10"/>
        <v/>
      </c>
      <c r="J233" s="209"/>
      <c r="K233" s="38"/>
      <c r="L233" s="38"/>
      <c r="M233" s="38"/>
    </row>
    <row r="234" spans="1:13">
      <c r="A234" s="55">
        <f t="shared" si="11"/>
        <v>1</v>
      </c>
      <c r="B234" s="87"/>
      <c r="C234" s="187"/>
      <c r="D234" s="188"/>
      <c r="E234" s="186"/>
      <c r="F234" s="186">
        <f t="shared" si="9"/>
        <v>0</v>
      </c>
      <c r="G234" s="186" t="str">
        <f>IF(IFERROR(IF(Str_TypeDonneesCpt6=Cpt_Index,Tab_Compteur_6[[#This Row],[Index]]-E233,Tab_Compteur_6[[#This Row],[Quantité]])/Tab_Compteur_6[[#This Row],[Delta Jour]],"")&lt;0,"",IFERROR(IF(Str_TypeDonneesCpt6=Cpt_Index,Tab_Compteur_6[[#This Row],[Index]]-E233,Tab_Compteur_6[[#This Row],[Quantité]])/Tab_Compteur_6[[#This Row],[Delta Jour]],""))</f>
        <v/>
      </c>
      <c r="H234" s="186" t="str">
        <f>IFERROR(Tab_Compteur_6[[#This Row],[Montant]]/Tab_Compteur_6[[#This Row],[Delta Jour]],"")</f>
        <v/>
      </c>
      <c r="I234" s="212" t="str">
        <f t="shared" si="10"/>
        <v/>
      </c>
      <c r="J234" s="209"/>
      <c r="K234" s="38"/>
      <c r="L234" s="38"/>
      <c r="M234" s="38"/>
    </row>
    <row r="235" spans="1:13">
      <c r="A235" s="55">
        <f t="shared" si="11"/>
        <v>1</v>
      </c>
      <c r="B235" s="87"/>
      <c r="C235" s="187"/>
      <c r="D235" s="188"/>
      <c r="E235" s="186"/>
      <c r="F235" s="186">
        <f t="shared" si="9"/>
        <v>0</v>
      </c>
      <c r="G235" s="186" t="str">
        <f>IF(IFERROR(IF(Str_TypeDonneesCpt6=Cpt_Index,Tab_Compteur_6[[#This Row],[Index]]-E234,Tab_Compteur_6[[#This Row],[Quantité]])/Tab_Compteur_6[[#This Row],[Delta Jour]],"")&lt;0,"",IFERROR(IF(Str_TypeDonneesCpt6=Cpt_Index,Tab_Compteur_6[[#This Row],[Index]]-E234,Tab_Compteur_6[[#This Row],[Quantité]])/Tab_Compteur_6[[#This Row],[Delta Jour]],""))</f>
        <v/>
      </c>
      <c r="H235" s="186" t="str">
        <f>IFERROR(Tab_Compteur_6[[#This Row],[Montant]]/Tab_Compteur_6[[#This Row],[Delta Jour]],"")</f>
        <v/>
      </c>
      <c r="I235" s="212" t="str">
        <f t="shared" si="10"/>
        <v/>
      </c>
      <c r="J235" s="209"/>
      <c r="K235" s="38"/>
      <c r="L235" s="38"/>
      <c r="M235" s="38"/>
    </row>
    <row r="236" spans="1:13">
      <c r="A236" s="55">
        <f t="shared" si="11"/>
        <v>1</v>
      </c>
      <c r="B236" s="87"/>
      <c r="C236" s="187"/>
      <c r="D236" s="188"/>
      <c r="E236" s="186"/>
      <c r="F236" s="186">
        <f t="shared" si="9"/>
        <v>0</v>
      </c>
      <c r="G236" s="186" t="str">
        <f>IF(IFERROR(IF(Str_TypeDonneesCpt6=Cpt_Index,Tab_Compteur_6[[#This Row],[Index]]-E235,Tab_Compteur_6[[#This Row],[Quantité]])/Tab_Compteur_6[[#This Row],[Delta Jour]],"")&lt;0,"",IFERROR(IF(Str_TypeDonneesCpt6=Cpt_Index,Tab_Compteur_6[[#This Row],[Index]]-E235,Tab_Compteur_6[[#This Row],[Quantité]])/Tab_Compteur_6[[#This Row],[Delta Jour]],""))</f>
        <v/>
      </c>
      <c r="H236" s="186" t="str">
        <f>IFERROR(Tab_Compteur_6[[#This Row],[Montant]]/Tab_Compteur_6[[#This Row],[Delta Jour]],"")</f>
        <v/>
      </c>
      <c r="I236" s="212" t="str">
        <f t="shared" si="10"/>
        <v/>
      </c>
      <c r="J236" s="209"/>
      <c r="K236" s="38"/>
      <c r="L236" s="38"/>
      <c r="M236" s="38"/>
    </row>
    <row r="237" spans="1:13">
      <c r="A237" s="55">
        <f t="shared" si="11"/>
        <v>1</v>
      </c>
      <c r="B237" s="87"/>
      <c r="C237" s="187"/>
      <c r="D237" s="188"/>
      <c r="E237" s="186"/>
      <c r="F237" s="186">
        <f t="shared" si="9"/>
        <v>0</v>
      </c>
      <c r="G237" s="186" t="str">
        <f>IF(IFERROR(IF(Str_TypeDonneesCpt6=Cpt_Index,Tab_Compteur_6[[#This Row],[Index]]-E236,Tab_Compteur_6[[#This Row],[Quantité]])/Tab_Compteur_6[[#This Row],[Delta Jour]],"")&lt;0,"",IFERROR(IF(Str_TypeDonneesCpt6=Cpt_Index,Tab_Compteur_6[[#This Row],[Index]]-E236,Tab_Compteur_6[[#This Row],[Quantité]])/Tab_Compteur_6[[#This Row],[Delta Jour]],""))</f>
        <v/>
      </c>
      <c r="H237" s="186" t="str">
        <f>IFERROR(Tab_Compteur_6[[#This Row],[Montant]]/Tab_Compteur_6[[#This Row],[Delta Jour]],"")</f>
        <v/>
      </c>
      <c r="I237" s="212" t="str">
        <f t="shared" si="10"/>
        <v/>
      </c>
      <c r="J237" s="209"/>
      <c r="K237" s="38"/>
      <c r="L237" s="38"/>
      <c r="M237" s="38"/>
    </row>
    <row r="238" spans="1:13">
      <c r="A238" s="55">
        <f t="shared" si="11"/>
        <v>1</v>
      </c>
      <c r="B238" s="87"/>
      <c r="C238" s="187"/>
      <c r="D238" s="188"/>
      <c r="E238" s="186"/>
      <c r="F238" s="186">
        <f t="shared" si="9"/>
        <v>0</v>
      </c>
      <c r="G238" s="186" t="str">
        <f>IF(IFERROR(IF(Str_TypeDonneesCpt6=Cpt_Index,Tab_Compteur_6[[#This Row],[Index]]-E237,Tab_Compteur_6[[#This Row],[Quantité]])/Tab_Compteur_6[[#This Row],[Delta Jour]],"")&lt;0,"",IFERROR(IF(Str_TypeDonneesCpt6=Cpt_Index,Tab_Compteur_6[[#This Row],[Index]]-E237,Tab_Compteur_6[[#This Row],[Quantité]])/Tab_Compteur_6[[#This Row],[Delta Jour]],""))</f>
        <v/>
      </c>
      <c r="H238" s="186" t="str">
        <f>IFERROR(Tab_Compteur_6[[#This Row],[Montant]]/Tab_Compteur_6[[#This Row],[Delta Jour]],"")</f>
        <v/>
      </c>
      <c r="I238" s="212" t="str">
        <f t="shared" si="10"/>
        <v/>
      </c>
      <c r="J238" s="209"/>
      <c r="K238" s="38"/>
      <c r="L238" s="38"/>
      <c r="M238" s="38"/>
    </row>
    <row r="239" spans="1:13">
      <c r="A239" s="55">
        <f t="shared" si="11"/>
        <v>1</v>
      </c>
      <c r="B239" s="87"/>
      <c r="C239" s="187"/>
      <c r="D239" s="188"/>
      <c r="E239" s="186"/>
      <c r="F239" s="186">
        <f t="shared" si="9"/>
        <v>0</v>
      </c>
      <c r="G239" s="186" t="str">
        <f>IF(IFERROR(IF(Str_TypeDonneesCpt6=Cpt_Index,Tab_Compteur_6[[#This Row],[Index]]-E238,Tab_Compteur_6[[#This Row],[Quantité]])/Tab_Compteur_6[[#This Row],[Delta Jour]],"")&lt;0,"",IFERROR(IF(Str_TypeDonneesCpt6=Cpt_Index,Tab_Compteur_6[[#This Row],[Index]]-E238,Tab_Compteur_6[[#This Row],[Quantité]])/Tab_Compteur_6[[#This Row],[Delta Jour]],""))</f>
        <v/>
      </c>
      <c r="H239" s="186" t="str">
        <f>IFERROR(Tab_Compteur_6[[#This Row],[Montant]]/Tab_Compteur_6[[#This Row],[Delta Jour]],"")</f>
        <v/>
      </c>
      <c r="I239" s="212" t="str">
        <f t="shared" si="10"/>
        <v/>
      </c>
      <c r="J239" s="209"/>
      <c r="K239" s="38"/>
      <c r="L239" s="38"/>
      <c r="M239" s="38"/>
    </row>
    <row r="240" spans="1:13">
      <c r="A240" s="55">
        <f t="shared" si="11"/>
        <v>1</v>
      </c>
      <c r="B240" s="87"/>
      <c r="C240" s="187"/>
      <c r="D240" s="188"/>
      <c r="E240" s="186"/>
      <c r="F240" s="186">
        <f t="shared" si="9"/>
        <v>0</v>
      </c>
      <c r="G240" s="186" t="str">
        <f>IF(IFERROR(IF(Str_TypeDonneesCpt6=Cpt_Index,Tab_Compteur_6[[#This Row],[Index]]-E239,Tab_Compteur_6[[#This Row],[Quantité]])/Tab_Compteur_6[[#This Row],[Delta Jour]],"")&lt;0,"",IFERROR(IF(Str_TypeDonneesCpt6=Cpt_Index,Tab_Compteur_6[[#This Row],[Index]]-E239,Tab_Compteur_6[[#This Row],[Quantité]])/Tab_Compteur_6[[#This Row],[Delta Jour]],""))</f>
        <v/>
      </c>
      <c r="H240" s="186" t="str">
        <f>IFERROR(Tab_Compteur_6[[#This Row],[Montant]]/Tab_Compteur_6[[#This Row],[Delta Jour]],"")</f>
        <v/>
      </c>
      <c r="I240" s="212" t="str">
        <f t="shared" si="10"/>
        <v/>
      </c>
      <c r="J240" s="209"/>
      <c r="K240" s="38"/>
      <c r="L240" s="38"/>
      <c r="M240" s="38"/>
    </row>
    <row r="241" spans="1:13">
      <c r="A241" s="55">
        <f t="shared" si="11"/>
        <v>1</v>
      </c>
      <c r="B241" s="87"/>
      <c r="C241" s="187"/>
      <c r="D241" s="188"/>
      <c r="E241" s="186"/>
      <c r="F241" s="186">
        <f t="shared" si="9"/>
        <v>0</v>
      </c>
      <c r="G241" s="186" t="str">
        <f>IF(IFERROR(IF(Str_TypeDonneesCpt6=Cpt_Index,Tab_Compteur_6[[#This Row],[Index]]-E240,Tab_Compteur_6[[#This Row],[Quantité]])/Tab_Compteur_6[[#This Row],[Delta Jour]],"")&lt;0,"",IFERROR(IF(Str_TypeDonneesCpt6=Cpt_Index,Tab_Compteur_6[[#This Row],[Index]]-E240,Tab_Compteur_6[[#This Row],[Quantité]])/Tab_Compteur_6[[#This Row],[Delta Jour]],""))</f>
        <v/>
      </c>
      <c r="H241" s="186" t="str">
        <f>IFERROR(Tab_Compteur_6[[#This Row],[Montant]]/Tab_Compteur_6[[#This Row],[Delta Jour]],"")</f>
        <v/>
      </c>
      <c r="I241" s="212" t="str">
        <f t="shared" si="10"/>
        <v/>
      </c>
      <c r="J241" s="209"/>
      <c r="K241" s="38"/>
      <c r="L241" s="38"/>
      <c r="M241" s="38"/>
    </row>
    <row r="242" spans="1:13">
      <c r="A242" s="55">
        <f t="shared" si="11"/>
        <v>1</v>
      </c>
      <c r="B242" s="87"/>
      <c r="C242" s="187"/>
      <c r="D242" s="188"/>
      <c r="E242" s="186"/>
      <c r="F242" s="186">
        <f t="shared" si="9"/>
        <v>0</v>
      </c>
      <c r="G242" s="186" t="str">
        <f>IF(IFERROR(IF(Str_TypeDonneesCpt6=Cpt_Index,Tab_Compteur_6[[#This Row],[Index]]-E241,Tab_Compteur_6[[#This Row],[Quantité]])/Tab_Compteur_6[[#This Row],[Delta Jour]],"")&lt;0,"",IFERROR(IF(Str_TypeDonneesCpt6=Cpt_Index,Tab_Compteur_6[[#This Row],[Index]]-E241,Tab_Compteur_6[[#This Row],[Quantité]])/Tab_Compteur_6[[#This Row],[Delta Jour]],""))</f>
        <v/>
      </c>
      <c r="H242" s="186" t="str">
        <f>IFERROR(Tab_Compteur_6[[#This Row],[Montant]]/Tab_Compteur_6[[#This Row],[Delta Jour]],"")</f>
        <v/>
      </c>
      <c r="I242" s="212" t="str">
        <f t="shared" si="10"/>
        <v/>
      </c>
      <c r="J242" s="209"/>
      <c r="K242" s="38"/>
      <c r="L242" s="38"/>
      <c r="M242" s="38"/>
    </row>
    <row r="243" spans="1:13">
      <c r="A243" s="55">
        <f t="shared" si="11"/>
        <v>1</v>
      </c>
      <c r="B243" s="87"/>
      <c r="C243" s="187"/>
      <c r="D243" s="188"/>
      <c r="E243" s="186"/>
      <c r="F243" s="186">
        <f t="shared" si="9"/>
        <v>0</v>
      </c>
      <c r="G243" s="186" t="str">
        <f>IF(IFERROR(IF(Str_TypeDonneesCpt6=Cpt_Index,Tab_Compteur_6[[#This Row],[Index]]-E242,Tab_Compteur_6[[#This Row],[Quantité]])/Tab_Compteur_6[[#This Row],[Delta Jour]],"")&lt;0,"",IFERROR(IF(Str_TypeDonneesCpt6=Cpt_Index,Tab_Compteur_6[[#This Row],[Index]]-E242,Tab_Compteur_6[[#This Row],[Quantité]])/Tab_Compteur_6[[#This Row],[Delta Jour]],""))</f>
        <v/>
      </c>
      <c r="H243" s="186" t="str">
        <f>IFERROR(Tab_Compteur_6[[#This Row],[Montant]]/Tab_Compteur_6[[#This Row],[Delta Jour]],"")</f>
        <v/>
      </c>
      <c r="I243" s="212" t="str">
        <f t="shared" si="10"/>
        <v/>
      </c>
      <c r="J243" s="209"/>
      <c r="K243" s="38"/>
      <c r="L243" s="38"/>
      <c r="M243" s="38"/>
    </row>
  </sheetData>
  <sheetProtection sheet="1" objects="1" scenarios="1" selectLockedCells="1"/>
  <protectedRanges>
    <protectedRange sqref="K5:M7 L2:M2 B177:D243 J34:M243 J8:M10 J2:J7 K3:M3 A244:D1048576 K244:N1048576" name="Données_compteur6"/>
    <protectedRange sqref="A4:A243" name="Données_compteur3_1"/>
    <protectedRange sqref="J11:M33" name="Données_compteur3_3_1"/>
    <protectedRange sqref="E2" name="Compteur_1_1"/>
    <protectedRange sqref="I2" name="Compteur_1_1_1"/>
    <protectedRange sqref="K4:L4" name="Compteur_1"/>
    <protectedRange sqref="L1 E1 I1" name="Compteur_1_2"/>
    <protectedRange sqref="C4:D15" name="Données_compteur2_1_2_1_1"/>
    <protectedRange sqref="C16:C47 D16:D143" name="Données_compteur2_1_2"/>
    <protectedRange sqref="C48:C143" name="Données_compteur2_3"/>
    <protectedRange sqref="D144:D147" name="Données_compteur2_1_1"/>
    <protectedRange sqref="C144:C147" name="Données_compteur2_2"/>
    <protectedRange sqref="D148:D171" name="Données_compteur2_1_2_1"/>
    <protectedRange sqref="C148:C171" name="Données_compteur2_3_1"/>
    <protectedRange sqref="B4:B176 D172:D176" name="Données_compteur2_1"/>
    <protectedRange sqref="C172:C176" name="Données_compteur2"/>
  </protectedRanges>
  <mergeCells count="2">
    <mergeCell ref="L2:M2"/>
    <mergeCell ref="K11:M33"/>
  </mergeCells>
  <conditionalFormatting sqref="B4:B243">
    <cfRule type="expression" dxfId="7"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0"/>
  <dimension ref="A1:O243"/>
  <sheetViews>
    <sheetView workbookViewId="0">
      <pane ySplit="3" topLeftCell="A4" activePane="bottomLeft" state="frozen"/>
      <selection pane="bottomLeft" activeCell="B8" sqref="B8"/>
    </sheetView>
  </sheetViews>
  <sheetFormatPr baseColWidth="10" defaultColWidth="0" defaultRowHeight="15" zeroHeight="1"/>
  <cols>
    <col min="1" max="1" width="18.42578125" customWidth="1"/>
    <col min="2" max="2" width="14.140625" style="186" customWidth="1"/>
    <col min="3" max="3" width="13.85546875" style="247" customWidth="1"/>
    <col min="4" max="4" width="15.42578125" style="266" customWidth="1"/>
    <col min="5" max="5" width="11.42578125" style="247" customWidth="1"/>
    <col min="6" max="6" width="11.5703125" style="247" hidden="1" customWidth="1"/>
    <col min="7" max="8" width="11.42578125" style="247" hidden="1" customWidth="1"/>
    <col min="9" max="9" width="10.85546875" customWidth="1"/>
    <col min="10" max="10" width="13.7109375" style="208" customWidth="1"/>
    <col min="11" max="11" width="21.7109375" customWidth="1"/>
    <col min="12" max="13" width="11.42578125" customWidth="1"/>
    <col min="14" max="14" width="21.7109375" customWidth="1"/>
    <col min="15" max="15" width="0" hidden="1" customWidth="1"/>
    <col min="16" max="16384" width="11.42578125" hidden="1"/>
  </cols>
  <sheetData>
    <row r="1" spans="1:13" ht="31.15" customHeight="1">
      <c r="A1" s="57" t="s">
        <v>397</v>
      </c>
      <c r="B1" s="227" t="s">
        <v>398</v>
      </c>
      <c r="C1" s="257" t="s">
        <v>399</v>
      </c>
      <c r="D1" s="258" t="str">
        <f>CONCATENATE("Montant ",Controle_des_données!$A$40)</f>
        <v>Montant TTC</v>
      </c>
      <c r="E1" s="260" t="s">
        <v>215</v>
      </c>
      <c r="F1" s="259" t="s">
        <v>400</v>
      </c>
      <c r="G1" s="260" t="s">
        <v>401</v>
      </c>
      <c r="H1" s="260" t="s">
        <v>402</v>
      </c>
      <c r="I1" s="260" t="s">
        <v>403</v>
      </c>
      <c r="J1" s="181" t="s">
        <v>404</v>
      </c>
      <c r="K1" s="172" t="s">
        <v>19</v>
      </c>
      <c r="L1" s="179" t="str">
        <f>IF(Site!C44="", "Compteur 7",Site!C44)</f>
        <v>Compteur 7</v>
      </c>
    </row>
    <row r="2" spans="1:13" ht="20.25" hidden="1" customHeight="1">
      <c r="A2" s="28" t="s">
        <v>397</v>
      </c>
      <c r="B2" s="85" t="s">
        <v>398</v>
      </c>
      <c r="C2" s="261" t="s">
        <v>399</v>
      </c>
      <c r="D2" s="262" t="s">
        <v>433</v>
      </c>
      <c r="E2" s="260" t="s">
        <v>215</v>
      </c>
      <c r="F2" s="259" t="s">
        <v>400</v>
      </c>
      <c r="G2" s="263" t="s">
        <v>401</v>
      </c>
      <c r="H2" s="264" t="s">
        <v>402</v>
      </c>
      <c r="I2" s="208" t="s">
        <v>403</v>
      </c>
      <c r="J2" s="43" t="s">
        <v>404</v>
      </c>
      <c r="K2" s="172"/>
      <c r="L2" s="600"/>
      <c r="M2" s="601"/>
    </row>
    <row r="3" spans="1:13" hidden="1">
      <c r="A3" s="3"/>
      <c r="B3" s="231">
        <f>A4-1</f>
        <v>-1</v>
      </c>
      <c r="C3" s="265">
        <v>0</v>
      </c>
      <c r="D3" s="266">
        <v>0</v>
      </c>
      <c r="F3" s="247">
        <f t="shared" ref="F3:F66" si="0">IFERROR(B3-A3+1,"")</f>
        <v>0</v>
      </c>
      <c r="G3" s="247" t="str">
        <f>IFERROR(IF(Str_TypeDonneesCpt7=Cpt_Index,Tab_Compteur_7[[#This Row],[Index]]-M6,Tab_Compteur_7[[#This Row],[Quantité]])/Tab_Compteur_7[[#This Row],[Delta Jour]],"")</f>
        <v/>
      </c>
      <c r="H3" s="247" t="str">
        <f>IFERROR(Tab_Compteur_7[[#This Row],[Montant]]/Tab_Compteur_7[[#This Row],[Delta Jour]],"")</f>
        <v/>
      </c>
      <c r="I3" s="208" t="str">
        <f t="shared" ref="I3:I66" si="1">G3</f>
        <v/>
      </c>
      <c r="J3" s="38"/>
      <c r="K3" s="38"/>
      <c r="L3" s="38"/>
      <c r="M3" s="38"/>
    </row>
    <row r="4" spans="1:13">
      <c r="A4" s="3">
        <f>Site!I44</f>
        <v>0</v>
      </c>
      <c r="B4" s="231"/>
      <c r="C4" s="187"/>
      <c r="D4" s="188"/>
      <c r="E4" s="434"/>
      <c r="F4" s="247">
        <f t="shared" si="0"/>
        <v>1</v>
      </c>
      <c r="G4" s="247">
        <f>IF(IFERROR(IF(Str_TypeDonneesCpt7=Cpt_Index,Tab_Compteur_7[[#This Row],[Index]]-L4,Tab_Compteur_7[[#This Row],[Quantité]])/Tab_Compteur_7[[#This Row],[Delta Jour]],"")&lt;0,"",IFERROR(IF(Str_TypeDonneesCpt7=Cpt_Index,Tab_Compteur_7[[#This Row],[Index]]-L4,Tab_Compteur_7[[#This Row],[Quantité]])/Tab_Compteur_7[[#This Row],[Delta Jour]],""))</f>
        <v>0</v>
      </c>
      <c r="H4" s="247">
        <f>IFERROR(Tab_Compteur_7[[#This Row],[Montant]]/Tab_Compteur_7[[#This Row],[Delta Jour]],"")</f>
        <v>0</v>
      </c>
      <c r="I4" s="208">
        <f t="shared" si="1"/>
        <v>0</v>
      </c>
      <c r="J4" s="209"/>
      <c r="K4" s="216" t="s">
        <v>405</v>
      </c>
      <c r="L4" s="491">
        <v>0</v>
      </c>
    </row>
    <row r="5" spans="1:13">
      <c r="A5" s="3">
        <f>IFERROR(B4+1,0)</f>
        <v>1</v>
      </c>
      <c r="B5" s="231"/>
      <c r="C5" s="187"/>
      <c r="D5" s="188"/>
      <c r="E5" s="186"/>
      <c r="F5" s="247">
        <f t="shared" si="0"/>
        <v>0</v>
      </c>
      <c r="G5" s="247" t="str">
        <f>IF(IFERROR(IF(Str_TypeDonneesCpt7=Cpt_Index,Tab_Compteur_7[[#This Row],[Index]]-E4,Tab_Compteur_7[[#This Row],[Quantité]])/Tab_Compteur_7[[#This Row],[Delta Jour]],"")&lt;0,"",IFERROR(IF(Str_TypeDonneesCpt7=Cpt_Index,Tab_Compteur_7[[#This Row],[Index]]-E4,Tab_Compteur_7[[#This Row],[Quantité]])/Tab_Compteur_7[[#This Row],[Delta Jour]],""))</f>
        <v/>
      </c>
      <c r="H5" s="247" t="str">
        <f>IFERROR(Tab_Compteur_7[[#This Row],[Montant]]/Tab_Compteur_7[[#This Row],[Delta Jour]],"")</f>
        <v/>
      </c>
      <c r="I5" s="208" t="str">
        <f t="shared" si="1"/>
        <v/>
      </c>
      <c r="J5" s="209"/>
      <c r="K5" s="38"/>
      <c r="L5" s="38"/>
      <c r="M5" s="38"/>
    </row>
    <row r="6" spans="1:13">
      <c r="A6" s="3">
        <f t="shared" ref="A6:A69" si="2">IFERROR(B5+1,0)</f>
        <v>1</v>
      </c>
      <c r="B6" s="231"/>
      <c r="C6" s="187"/>
      <c r="D6" s="188"/>
      <c r="E6" s="186"/>
      <c r="F6" s="247">
        <f t="shared" si="0"/>
        <v>0</v>
      </c>
      <c r="G6" s="247" t="str">
        <f>IF(IFERROR(IF(Str_TypeDonneesCpt7=Cpt_Index,Tab_Compteur_7[[#This Row],[Index]]-E5,Tab_Compteur_7[[#This Row],[Quantité]])/Tab_Compteur_7[[#This Row],[Delta Jour]],"")&lt;0,"",IFERROR(IF(Str_TypeDonneesCpt7=Cpt_Index,Tab_Compteur_7[[#This Row],[Index]]-E5,Tab_Compteur_7[[#This Row],[Quantité]])/Tab_Compteur_7[[#This Row],[Delta Jour]],""))</f>
        <v/>
      </c>
      <c r="H6" s="247" t="str">
        <f>IFERROR(Tab_Compteur_7[[#This Row],[Montant]]/Tab_Compteur_7[[#This Row],[Delta Jour]],"")</f>
        <v/>
      </c>
      <c r="I6" s="208" t="str">
        <f t="shared" si="1"/>
        <v/>
      </c>
      <c r="J6" s="209"/>
      <c r="K6" s="38"/>
      <c r="L6" s="38"/>
      <c r="M6" s="38"/>
    </row>
    <row r="7" spans="1:13">
      <c r="A7" s="3">
        <f t="shared" si="2"/>
        <v>1</v>
      </c>
      <c r="B7" s="231"/>
      <c r="C7" s="187"/>
      <c r="D7" s="188"/>
      <c r="E7" s="186"/>
      <c r="F7" s="247">
        <f t="shared" si="0"/>
        <v>0</v>
      </c>
      <c r="G7" s="247" t="str">
        <f>IF(IFERROR(IF(Str_TypeDonneesCpt7=Cpt_Index,Tab_Compteur_7[[#This Row],[Index]]-E6,Tab_Compteur_7[[#This Row],[Quantité]])/Tab_Compteur_7[[#This Row],[Delta Jour]],"")&lt;0,"",IFERROR(IF(Str_TypeDonneesCpt7=Cpt_Index,Tab_Compteur_7[[#This Row],[Index]]-E6,Tab_Compteur_7[[#This Row],[Quantité]])/Tab_Compteur_7[[#This Row],[Delta Jour]],""))</f>
        <v/>
      </c>
      <c r="H7" s="247" t="str">
        <f>IFERROR(Tab_Compteur_7[[#This Row],[Montant]]/Tab_Compteur_7[[#This Row],[Delta Jour]],"")</f>
        <v/>
      </c>
      <c r="I7" s="208" t="str">
        <f t="shared" si="1"/>
        <v/>
      </c>
      <c r="J7" s="209"/>
      <c r="K7" s="38"/>
      <c r="L7" s="38"/>
      <c r="M7" s="38"/>
    </row>
    <row r="8" spans="1:13">
      <c r="A8" s="3">
        <f t="shared" si="2"/>
        <v>1</v>
      </c>
      <c r="B8" s="231"/>
      <c r="C8" s="187"/>
      <c r="D8" s="188"/>
      <c r="E8" s="186"/>
      <c r="F8" s="247">
        <f t="shared" si="0"/>
        <v>0</v>
      </c>
      <c r="G8" s="247" t="str">
        <f>IF(IFERROR(IF(Str_TypeDonneesCpt7=Cpt_Index,Tab_Compteur_7[[#This Row],[Index]]-E7,Tab_Compteur_7[[#This Row],[Quantité]])/Tab_Compteur_7[[#This Row],[Delta Jour]],"")&lt;0,"",IFERROR(IF(Str_TypeDonneesCpt7=Cpt_Index,Tab_Compteur_7[[#This Row],[Index]]-E7,Tab_Compteur_7[[#This Row],[Quantité]])/Tab_Compteur_7[[#This Row],[Delta Jour]],""))</f>
        <v/>
      </c>
      <c r="H8" s="247" t="str">
        <f>IFERROR(Tab_Compteur_7[[#This Row],[Montant]]/Tab_Compteur_7[[#This Row],[Delta Jour]],"")</f>
        <v/>
      </c>
      <c r="I8" s="208" t="str">
        <f t="shared" si="1"/>
        <v/>
      </c>
      <c r="J8" s="209"/>
      <c r="K8" s="173"/>
      <c r="L8" s="173"/>
      <c r="M8" s="173"/>
    </row>
    <row r="9" spans="1:13">
      <c r="A9" s="3">
        <f t="shared" si="2"/>
        <v>1</v>
      </c>
      <c r="B9" s="231"/>
      <c r="C9" s="187"/>
      <c r="D9" s="188"/>
      <c r="E9" s="186"/>
      <c r="F9" s="247">
        <f t="shared" si="0"/>
        <v>0</v>
      </c>
      <c r="G9" s="247" t="str">
        <f>IF(IFERROR(IF(Str_TypeDonneesCpt7=Cpt_Index,Tab_Compteur_7[[#This Row],[Index]]-E8,Tab_Compteur_7[[#This Row],[Quantité]])/Tab_Compteur_7[[#This Row],[Delta Jour]],"")&lt;0,"",IFERROR(IF(Str_TypeDonneesCpt7=Cpt_Index,Tab_Compteur_7[[#This Row],[Index]]-E8,Tab_Compteur_7[[#This Row],[Quantité]])/Tab_Compteur_7[[#This Row],[Delta Jour]],""))</f>
        <v/>
      </c>
      <c r="H9" s="247" t="str">
        <f>IFERROR(Tab_Compteur_7[[#This Row],[Montant]]/Tab_Compteur_7[[#This Row],[Delta Jour]],"")</f>
        <v/>
      </c>
      <c r="I9" s="208" t="str">
        <f t="shared" si="1"/>
        <v/>
      </c>
      <c r="J9" s="209"/>
      <c r="K9" s="173"/>
      <c r="L9" s="173"/>
      <c r="M9" s="173"/>
    </row>
    <row r="10" spans="1:13">
      <c r="A10" s="3">
        <f t="shared" si="2"/>
        <v>1</v>
      </c>
      <c r="B10" s="231"/>
      <c r="C10" s="187"/>
      <c r="D10" s="188"/>
      <c r="E10" s="186"/>
      <c r="F10" s="247">
        <f t="shared" si="0"/>
        <v>0</v>
      </c>
      <c r="G10" s="247" t="str">
        <f>IF(IFERROR(IF(Str_TypeDonneesCpt7=Cpt_Index,Tab_Compteur_7[[#This Row],[Index]]-E9,Tab_Compteur_7[[#This Row],[Quantité]])/Tab_Compteur_7[[#This Row],[Delta Jour]],"")&lt;0,"",IFERROR(IF(Str_TypeDonneesCpt7=Cpt_Index,Tab_Compteur_7[[#This Row],[Index]]-E9,Tab_Compteur_7[[#This Row],[Quantité]])/Tab_Compteur_7[[#This Row],[Delta Jour]],""))</f>
        <v/>
      </c>
      <c r="H10" s="247" t="str">
        <f>IFERROR(Tab_Compteur_7[[#This Row],[Montant]]/Tab_Compteur_7[[#This Row],[Delta Jour]],"")</f>
        <v/>
      </c>
      <c r="I10" s="208" t="str">
        <f t="shared" si="1"/>
        <v/>
      </c>
      <c r="J10" s="209"/>
      <c r="K10" s="173"/>
      <c r="L10" s="173"/>
      <c r="M10" s="173"/>
    </row>
    <row r="11" spans="1:13">
      <c r="A11" s="3">
        <f t="shared" si="2"/>
        <v>1</v>
      </c>
      <c r="B11" s="231"/>
      <c r="C11" s="187"/>
      <c r="D11" s="188"/>
      <c r="E11" s="186"/>
      <c r="F11" s="247">
        <f t="shared" si="0"/>
        <v>0</v>
      </c>
      <c r="G11" s="247" t="str">
        <f>IF(IFERROR(IF(Str_TypeDonneesCpt7=Cpt_Index,Tab_Compteur_7[[#This Row],[Index]]-E10,Tab_Compteur_7[[#This Row],[Quantité]])/Tab_Compteur_7[[#This Row],[Delta Jour]],"")&lt;0,"",IFERROR(IF(Str_TypeDonneesCpt7=Cpt_Index,Tab_Compteur_7[[#This Row],[Index]]-E10,Tab_Compteur_7[[#This Row],[Quantité]])/Tab_Compteur_7[[#This Row],[Delta Jour]],""))</f>
        <v/>
      </c>
      <c r="H11" s="247" t="str">
        <f>IFERROR(Tab_Compteur_7[[#This Row],[Montant]]/Tab_Compteur_7[[#This Row],[Delta Jour]],"")</f>
        <v/>
      </c>
      <c r="I11" s="208" t="str">
        <f t="shared" si="1"/>
        <v/>
      </c>
      <c r="J11" s="209"/>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3">
        <f t="shared" si="2"/>
        <v>1</v>
      </c>
      <c r="B12" s="231"/>
      <c r="C12" s="187"/>
      <c r="D12" s="188"/>
      <c r="E12" s="186"/>
      <c r="F12" s="247">
        <f t="shared" si="0"/>
        <v>0</v>
      </c>
      <c r="G12" s="247" t="str">
        <f>IF(IFERROR(IF(Str_TypeDonneesCpt7=Cpt_Index,Tab_Compteur_7[[#This Row],[Index]]-E11,Tab_Compteur_7[[#This Row],[Quantité]])/Tab_Compteur_7[[#This Row],[Delta Jour]],"")&lt;0,"",IFERROR(IF(Str_TypeDonneesCpt7=Cpt_Index,Tab_Compteur_7[[#This Row],[Index]]-E11,Tab_Compteur_7[[#This Row],[Quantité]])/Tab_Compteur_7[[#This Row],[Delta Jour]],""))</f>
        <v/>
      </c>
      <c r="H12" s="247" t="str">
        <f>IFERROR(Tab_Compteur_7[[#This Row],[Montant]]/Tab_Compteur_7[[#This Row],[Delta Jour]],"")</f>
        <v/>
      </c>
      <c r="I12" s="208" t="str">
        <f t="shared" si="1"/>
        <v/>
      </c>
      <c r="J12" s="209"/>
      <c r="K12" s="599"/>
      <c r="L12" s="599"/>
      <c r="M12" s="599"/>
    </row>
    <row r="13" spans="1:13">
      <c r="A13" s="3">
        <f t="shared" si="2"/>
        <v>1</v>
      </c>
      <c r="B13" s="231"/>
      <c r="C13" s="187"/>
      <c r="D13" s="188"/>
      <c r="E13" s="186"/>
      <c r="F13" s="247">
        <f t="shared" si="0"/>
        <v>0</v>
      </c>
      <c r="G13" s="247" t="str">
        <f>IF(IFERROR(IF(Str_TypeDonneesCpt7=Cpt_Index,Tab_Compteur_7[[#This Row],[Index]]-E12,Tab_Compteur_7[[#This Row],[Quantité]])/Tab_Compteur_7[[#This Row],[Delta Jour]],"")&lt;0,"",IFERROR(IF(Str_TypeDonneesCpt7=Cpt_Index,Tab_Compteur_7[[#This Row],[Index]]-E12,Tab_Compteur_7[[#This Row],[Quantité]])/Tab_Compteur_7[[#This Row],[Delta Jour]],""))</f>
        <v/>
      </c>
      <c r="H13" s="247" t="str">
        <f>IFERROR(Tab_Compteur_7[[#This Row],[Montant]]/Tab_Compteur_7[[#This Row],[Delta Jour]],"")</f>
        <v/>
      </c>
      <c r="I13" s="208" t="str">
        <f t="shared" si="1"/>
        <v/>
      </c>
      <c r="J13" s="209"/>
      <c r="K13" s="599"/>
      <c r="L13" s="599"/>
      <c r="M13" s="599"/>
    </row>
    <row r="14" spans="1:13">
      <c r="A14" s="3">
        <f t="shared" si="2"/>
        <v>1</v>
      </c>
      <c r="B14" s="231"/>
      <c r="C14" s="187"/>
      <c r="D14" s="188"/>
      <c r="E14" s="186"/>
      <c r="F14" s="247">
        <f t="shared" si="0"/>
        <v>0</v>
      </c>
      <c r="G14" s="247" t="str">
        <f>IF(IFERROR(IF(Str_TypeDonneesCpt7=Cpt_Index,Tab_Compteur_7[[#This Row],[Index]]-E13,Tab_Compteur_7[[#This Row],[Quantité]])/Tab_Compteur_7[[#This Row],[Delta Jour]],"")&lt;0,"",IFERROR(IF(Str_TypeDonneesCpt7=Cpt_Index,Tab_Compteur_7[[#This Row],[Index]]-E13,Tab_Compteur_7[[#This Row],[Quantité]])/Tab_Compteur_7[[#This Row],[Delta Jour]],""))</f>
        <v/>
      </c>
      <c r="H14" s="247" t="str">
        <f>IFERROR(Tab_Compteur_7[[#This Row],[Montant]]/Tab_Compteur_7[[#This Row],[Delta Jour]],"")</f>
        <v/>
      </c>
      <c r="I14" s="208" t="str">
        <f t="shared" si="1"/>
        <v/>
      </c>
      <c r="J14" s="209"/>
      <c r="K14" s="599"/>
      <c r="L14" s="599"/>
      <c r="M14" s="599"/>
    </row>
    <row r="15" spans="1:13">
      <c r="A15" s="3">
        <f t="shared" si="2"/>
        <v>1</v>
      </c>
      <c r="B15" s="231"/>
      <c r="C15" s="187"/>
      <c r="D15" s="188"/>
      <c r="E15" s="186"/>
      <c r="F15" s="247">
        <f t="shared" si="0"/>
        <v>0</v>
      </c>
      <c r="G15" s="247" t="str">
        <f>IF(IFERROR(IF(Str_TypeDonneesCpt7=Cpt_Index,Tab_Compteur_7[[#This Row],[Index]]-E14,Tab_Compteur_7[[#This Row],[Quantité]])/Tab_Compteur_7[[#This Row],[Delta Jour]],"")&lt;0,"",IFERROR(IF(Str_TypeDonneesCpt7=Cpt_Index,Tab_Compteur_7[[#This Row],[Index]]-E14,Tab_Compteur_7[[#This Row],[Quantité]])/Tab_Compteur_7[[#This Row],[Delta Jour]],""))</f>
        <v/>
      </c>
      <c r="H15" s="247" t="str">
        <f>IFERROR(Tab_Compteur_7[[#This Row],[Montant]]/Tab_Compteur_7[[#This Row],[Delta Jour]],"")</f>
        <v/>
      </c>
      <c r="I15" s="208" t="str">
        <f t="shared" si="1"/>
        <v/>
      </c>
      <c r="J15" s="209"/>
      <c r="K15" s="599"/>
      <c r="L15" s="599"/>
      <c r="M15" s="599"/>
    </row>
    <row r="16" spans="1:13">
      <c r="A16" s="3">
        <f t="shared" si="2"/>
        <v>1</v>
      </c>
      <c r="B16" s="231"/>
      <c r="C16" s="187"/>
      <c r="D16" s="188"/>
      <c r="E16" s="186"/>
      <c r="F16" s="247">
        <f t="shared" si="0"/>
        <v>0</v>
      </c>
      <c r="G16" s="247" t="str">
        <f>IF(IFERROR(IF(Str_TypeDonneesCpt7=Cpt_Index,Tab_Compteur_7[[#This Row],[Index]]-E15,Tab_Compteur_7[[#This Row],[Quantité]])/Tab_Compteur_7[[#This Row],[Delta Jour]],"")&lt;0,"",IFERROR(IF(Str_TypeDonneesCpt7=Cpt_Index,Tab_Compteur_7[[#This Row],[Index]]-E15,Tab_Compteur_7[[#This Row],[Quantité]])/Tab_Compteur_7[[#This Row],[Delta Jour]],""))</f>
        <v/>
      </c>
      <c r="H16" s="247" t="str">
        <f>IFERROR(Tab_Compteur_7[[#This Row],[Montant]]/Tab_Compteur_7[[#This Row],[Delta Jour]],"")</f>
        <v/>
      </c>
      <c r="I16" s="208" t="str">
        <f t="shared" si="1"/>
        <v/>
      </c>
      <c r="J16" s="209"/>
      <c r="K16" s="599"/>
      <c r="L16" s="599"/>
      <c r="M16" s="599"/>
    </row>
    <row r="17" spans="1:13">
      <c r="A17" s="3">
        <f t="shared" si="2"/>
        <v>1</v>
      </c>
      <c r="B17" s="231"/>
      <c r="C17" s="187"/>
      <c r="D17" s="188"/>
      <c r="E17" s="186"/>
      <c r="F17" s="247">
        <f t="shared" si="0"/>
        <v>0</v>
      </c>
      <c r="G17" s="247" t="str">
        <f>IF(IFERROR(IF(Str_TypeDonneesCpt7=Cpt_Index,Tab_Compteur_7[[#This Row],[Index]]-E16,Tab_Compteur_7[[#This Row],[Quantité]])/Tab_Compteur_7[[#This Row],[Delta Jour]],"")&lt;0,"",IFERROR(IF(Str_TypeDonneesCpt7=Cpt_Index,Tab_Compteur_7[[#This Row],[Index]]-E16,Tab_Compteur_7[[#This Row],[Quantité]])/Tab_Compteur_7[[#This Row],[Delta Jour]],""))</f>
        <v/>
      </c>
      <c r="H17" s="247" t="str">
        <f>IFERROR(Tab_Compteur_7[[#This Row],[Montant]]/Tab_Compteur_7[[#This Row],[Delta Jour]],"")</f>
        <v/>
      </c>
      <c r="I17" s="208" t="str">
        <f t="shared" si="1"/>
        <v/>
      </c>
      <c r="J17" s="209"/>
      <c r="K17" s="599"/>
      <c r="L17" s="599"/>
      <c r="M17" s="599"/>
    </row>
    <row r="18" spans="1:13">
      <c r="A18" s="3">
        <f t="shared" si="2"/>
        <v>1</v>
      </c>
      <c r="B18" s="231"/>
      <c r="C18" s="187"/>
      <c r="D18" s="188"/>
      <c r="E18" s="186"/>
      <c r="F18" s="247">
        <f t="shared" si="0"/>
        <v>0</v>
      </c>
      <c r="G18" s="247" t="str">
        <f>IF(IFERROR(IF(Str_TypeDonneesCpt7=Cpt_Index,Tab_Compteur_7[[#This Row],[Index]]-E17,Tab_Compteur_7[[#This Row],[Quantité]])/Tab_Compteur_7[[#This Row],[Delta Jour]],"")&lt;0,"",IFERROR(IF(Str_TypeDonneesCpt7=Cpt_Index,Tab_Compteur_7[[#This Row],[Index]]-E17,Tab_Compteur_7[[#This Row],[Quantité]])/Tab_Compteur_7[[#This Row],[Delta Jour]],""))</f>
        <v/>
      </c>
      <c r="H18" s="247" t="str">
        <f>IFERROR(Tab_Compteur_7[[#This Row],[Montant]]/Tab_Compteur_7[[#This Row],[Delta Jour]],"")</f>
        <v/>
      </c>
      <c r="I18" s="208" t="str">
        <f t="shared" si="1"/>
        <v/>
      </c>
      <c r="J18" s="209"/>
      <c r="K18" s="599"/>
      <c r="L18" s="599"/>
      <c r="M18" s="599"/>
    </row>
    <row r="19" spans="1:13">
      <c r="A19" s="3">
        <f t="shared" si="2"/>
        <v>1</v>
      </c>
      <c r="B19" s="231"/>
      <c r="C19" s="187"/>
      <c r="D19" s="191"/>
      <c r="E19" s="186"/>
      <c r="F19" s="247">
        <f t="shared" si="0"/>
        <v>0</v>
      </c>
      <c r="G19" s="247" t="str">
        <f>IF(IFERROR(IF(Str_TypeDonneesCpt7=Cpt_Index,Tab_Compteur_7[[#This Row],[Index]]-E18,Tab_Compteur_7[[#This Row],[Quantité]])/Tab_Compteur_7[[#This Row],[Delta Jour]],"")&lt;0,"",IFERROR(IF(Str_TypeDonneesCpt7=Cpt_Index,Tab_Compteur_7[[#This Row],[Index]]-E18,Tab_Compteur_7[[#This Row],[Quantité]])/Tab_Compteur_7[[#This Row],[Delta Jour]],""))</f>
        <v/>
      </c>
      <c r="H19" s="247" t="str">
        <f>IFERROR(Tab_Compteur_7[[#This Row],[Montant]]/Tab_Compteur_7[[#This Row],[Delta Jour]],"")</f>
        <v/>
      </c>
      <c r="I19" s="208" t="str">
        <f t="shared" si="1"/>
        <v/>
      </c>
      <c r="J19" s="209"/>
      <c r="K19" s="599"/>
      <c r="L19" s="599"/>
      <c r="M19" s="599"/>
    </row>
    <row r="20" spans="1:13">
      <c r="A20" s="3">
        <f t="shared" si="2"/>
        <v>1</v>
      </c>
      <c r="B20" s="231"/>
      <c r="C20" s="187"/>
      <c r="D20" s="191"/>
      <c r="E20" s="186"/>
      <c r="F20" s="247">
        <f t="shared" si="0"/>
        <v>0</v>
      </c>
      <c r="G20" s="247" t="str">
        <f>IF(IFERROR(IF(Str_TypeDonneesCpt7=Cpt_Index,Tab_Compteur_7[[#This Row],[Index]]-E19,Tab_Compteur_7[[#This Row],[Quantité]])/Tab_Compteur_7[[#This Row],[Delta Jour]],"")&lt;0,"",IFERROR(IF(Str_TypeDonneesCpt7=Cpt_Index,Tab_Compteur_7[[#This Row],[Index]]-E19,Tab_Compteur_7[[#This Row],[Quantité]])/Tab_Compteur_7[[#This Row],[Delta Jour]],""))</f>
        <v/>
      </c>
      <c r="H20" s="247" t="str">
        <f>IFERROR(Tab_Compteur_7[[#This Row],[Montant]]/Tab_Compteur_7[[#This Row],[Delta Jour]],"")</f>
        <v/>
      </c>
      <c r="I20" s="208" t="str">
        <f t="shared" si="1"/>
        <v/>
      </c>
      <c r="J20" s="209"/>
      <c r="K20" s="599"/>
      <c r="L20" s="599"/>
      <c r="M20" s="599"/>
    </row>
    <row r="21" spans="1:13">
      <c r="A21" s="3">
        <f t="shared" si="2"/>
        <v>1</v>
      </c>
      <c r="B21" s="231"/>
      <c r="C21" s="187"/>
      <c r="D21" s="191"/>
      <c r="E21" s="186"/>
      <c r="F21" s="247">
        <f t="shared" si="0"/>
        <v>0</v>
      </c>
      <c r="G21" s="247" t="str">
        <f>IF(IFERROR(IF(Str_TypeDonneesCpt7=Cpt_Index,Tab_Compteur_7[[#This Row],[Index]]-E20,Tab_Compteur_7[[#This Row],[Quantité]])/Tab_Compteur_7[[#This Row],[Delta Jour]],"")&lt;0,"",IFERROR(IF(Str_TypeDonneesCpt7=Cpt_Index,Tab_Compteur_7[[#This Row],[Index]]-E20,Tab_Compteur_7[[#This Row],[Quantité]])/Tab_Compteur_7[[#This Row],[Delta Jour]],""))</f>
        <v/>
      </c>
      <c r="H21" s="247" t="str">
        <f>IFERROR(Tab_Compteur_7[[#This Row],[Montant]]/Tab_Compteur_7[[#This Row],[Delta Jour]],"")</f>
        <v/>
      </c>
      <c r="I21" s="208" t="str">
        <f t="shared" si="1"/>
        <v/>
      </c>
      <c r="J21" s="209"/>
      <c r="K21" s="599"/>
      <c r="L21" s="599"/>
      <c r="M21" s="599"/>
    </row>
    <row r="22" spans="1:13">
      <c r="A22" s="3">
        <f t="shared" si="2"/>
        <v>1</v>
      </c>
      <c r="B22" s="231"/>
      <c r="C22" s="187"/>
      <c r="D22" s="191"/>
      <c r="E22" s="186"/>
      <c r="F22" s="247">
        <f t="shared" si="0"/>
        <v>0</v>
      </c>
      <c r="G22" s="247" t="str">
        <f>IF(IFERROR(IF(Str_TypeDonneesCpt7=Cpt_Index,Tab_Compteur_7[[#This Row],[Index]]-E21,Tab_Compteur_7[[#This Row],[Quantité]])/Tab_Compteur_7[[#This Row],[Delta Jour]],"")&lt;0,"",IFERROR(IF(Str_TypeDonneesCpt7=Cpt_Index,Tab_Compteur_7[[#This Row],[Index]]-E21,Tab_Compteur_7[[#This Row],[Quantité]])/Tab_Compteur_7[[#This Row],[Delta Jour]],""))</f>
        <v/>
      </c>
      <c r="H22" s="247" t="str">
        <f>IFERROR(Tab_Compteur_7[[#This Row],[Montant]]/Tab_Compteur_7[[#This Row],[Delta Jour]],"")</f>
        <v/>
      </c>
      <c r="I22" s="208" t="str">
        <f t="shared" si="1"/>
        <v/>
      </c>
      <c r="J22" s="209"/>
      <c r="K22" s="599"/>
      <c r="L22" s="599"/>
      <c r="M22" s="599"/>
    </row>
    <row r="23" spans="1:13">
      <c r="A23" s="3">
        <f t="shared" si="2"/>
        <v>1</v>
      </c>
      <c r="B23" s="231"/>
      <c r="C23" s="187"/>
      <c r="D23" s="191"/>
      <c r="E23" s="186"/>
      <c r="F23" s="247">
        <f t="shared" si="0"/>
        <v>0</v>
      </c>
      <c r="G23" s="247" t="str">
        <f>IF(IFERROR(IF(Str_TypeDonneesCpt7=Cpt_Index,Tab_Compteur_7[[#This Row],[Index]]-E22,Tab_Compteur_7[[#This Row],[Quantité]])/Tab_Compteur_7[[#This Row],[Delta Jour]],"")&lt;0,"",IFERROR(IF(Str_TypeDonneesCpt7=Cpt_Index,Tab_Compteur_7[[#This Row],[Index]]-E22,Tab_Compteur_7[[#This Row],[Quantité]])/Tab_Compteur_7[[#This Row],[Delta Jour]],""))</f>
        <v/>
      </c>
      <c r="H23" s="247" t="str">
        <f>IFERROR(Tab_Compteur_7[[#This Row],[Montant]]/Tab_Compteur_7[[#This Row],[Delta Jour]],"")</f>
        <v/>
      </c>
      <c r="I23" s="208" t="str">
        <f t="shared" si="1"/>
        <v/>
      </c>
      <c r="J23" s="209"/>
      <c r="K23" s="599"/>
      <c r="L23" s="599"/>
      <c r="M23" s="599"/>
    </row>
    <row r="24" spans="1:13">
      <c r="A24" s="3">
        <f t="shared" si="2"/>
        <v>1</v>
      </c>
      <c r="B24" s="231"/>
      <c r="C24" s="187"/>
      <c r="D24" s="191"/>
      <c r="E24" s="186"/>
      <c r="F24" s="247">
        <f t="shared" si="0"/>
        <v>0</v>
      </c>
      <c r="G24" s="247" t="str">
        <f>IF(IFERROR(IF(Str_TypeDonneesCpt7=Cpt_Index,Tab_Compteur_7[[#This Row],[Index]]-E23,Tab_Compteur_7[[#This Row],[Quantité]])/Tab_Compteur_7[[#This Row],[Delta Jour]],"")&lt;0,"",IFERROR(IF(Str_TypeDonneesCpt7=Cpt_Index,Tab_Compteur_7[[#This Row],[Index]]-E23,Tab_Compteur_7[[#This Row],[Quantité]])/Tab_Compteur_7[[#This Row],[Delta Jour]],""))</f>
        <v/>
      </c>
      <c r="H24" s="247" t="str">
        <f>IFERROR(Tab_Compteur_7[[#This Row],[Montant]]/Tab_Compteur_7[[#This Row],[Delta Jour]],"")</f>
        <v/>
      </c>
      <c r="I24" s="208" t="str">
        <f t="shared" si="1"/>
        <v/>
      </c>
      <c r="J24" s="209"/>
      <c r="K24" s="599"/>
      <c r="L24" s="599"/>
      <c r="M24" s="599"/>
    </row>
    <row r="25" spans="1:13">
      <c r="A25" s="3">
        <f t="shared" si="2"/>
        <v>1</v>
      </c>
      <c r="B25" s="231"/>
      <c r="C25" s="187"/>
      <c r="D25" s="191"/>
      <c r="E25" s="186"/>
      <c r="F25" s="247">
        <f t="shared" si="0"/>
        <v>0</v>
      </c>
      <c r="G25" s="247" t="str">
        <f>IF(IFERROR(IF(Str_TypeDonneesCpt7=Cpt_Index,Tab_Compteur_7[[#This Row],[Index]]-E24,Tab_Compteur_7[[#This Row],[Quantité]])/Tab_Compteur_7[[#This Row],[Delta Jour]],"")&lt;0,"",IFERROR(IF(Str_TypeDonneesCpt7=Cpt_Index,Tab_Compteur_7[[#This Row],[Index]]-E24,Tab_Compteur_7[[#This Row],[Quantité]])/Tab_Compteur_7[[#This Row],[Delta Jour]],""))</f>
        <v/>
      </c>
      <c r="H25" s="247" t="str">
        <f>IFERROR(Tab_Compteur_7[[#This Row],[Montant]]/Tab_Compteur_7[[#This Row],[Delta Jour]],"")</f>
        <v/>
      </c>
      <c r="I25" s="208" t="str">
        <f t="shared" si="1"/>
        <v/>
      </c>
      <c r="J25" s="209"/>
      <c r="K25" s="599"/>
      <c r="L25" s="599"/>
      <c r="M25" s="599"/>
    </row>
    <row r="26" spans="1:13">
      <c r="A26" s="3">
        <f t="shared" si="2"/>
        <v>1</v>
      </c>
      <c r="B26" s="231"/>
      <c r="C26" s="187"/>
      <c r="D26" s="191"/>
      <c r="E26" s="186"/>
      <c r="F26" s="247">
        <f t="shared" si="0"/>
        <v>0</v>
      </c>
      <c r="G26" s="247" t="str">
        <f>IF(IFERROR(IF(Str_TypeDonneesCpt7=Cpt_Index,Tab_Compteur_7[[#This Row],[Index]]-E25,Tab_Compteur_7[[#This Row],[Quantité]])/Tab_Compteur_7[[#This Row],[Delta Jour]],"")&lt;0,"",IFERROR(IF(Str_TypeDonneesCpt7=Cpt_Index,Tab_Compteur_7[[#This Row],[Index]]-E25,Tab_Compteur_7[[#This Row],[Quantité]])/Tab_Compteur_7[[#This Row],[Delta Jour]],""))</f>
        <v/>
      </c>
      <c r="H26" s="247" t="str">
        <f>IFERROR(Tab_Compteur_7[[#This Row],[Montant]]/Tab_Compteur_7[[#This Row],[Delta Jour]],"")</f>
        <v/>
      </c>
      <c r="I26" s="208" t="str">
        <f t="shared" si="1"/>
        <v/>
      </c>
      <c r="J26" s="209"/>
      <c r="K26" s="599"/>
      <c r="L26" s="599"/>
      <c r="M26" s="599"/>
    </row>
    <row r="27" spans="1:13">
      <c r="A27" s="3">
        <f t="shared" si="2"/>
        <v>1</v>
      </c>
      <c r="B27" s="231"/>
      <c r="C27" s="187"/>
      <c r="D27" s="191"/>
      <c r="E27" s="186"/>
      <c r="F27" s="247">
        <f t="shared" si="0"/>
        <v>0</v>
      </c>
      <c r="G27" s="247" t="str">
        <f>IF(IFERROR(IF(Str_TypeDonneesCpt7=Cpt_Index,Tab_Compteur_7[[#This Row],[Index]]-E26,Tab_Compteur_7[[#This Row],[Quantité]])/Tab_Compteur_7[[#This Row],[Delta Jour]],"")&lt;0,"",IFERROR(IF(Str_TypeDonneesCpt7=Cpt_Index,Tab_Compteur_7[[#This Row],[Index]]-E26,Tab_Compteur_7[[#This Row],[Quantité]])/Tab_Compteur_7[[#This Row],[Delta Jour]],""))</f>
        <v/>
      </c>
      <c r="H27" s="247" t="str">
        <f>IFERROR(Tab_Compteur_7[[#This Row],[Montant]]/Tab_Compteur_7[[#This Row],[Delta Jour]],"")</f>
        <v/>
      </c>
      <c r="I27" s="208" t="str">
        <f t="shared" si="1"/>
        <v/>
      </c>
      <c r="J27" s="209"/>
      <c r="K27" s="599"/>
      <c r="L27" s="599"/>
      <c r="M27" s="599"/>
    </row>
    <row r="28" spans="1:13">
      <c r="A28" s="3">
        <f t="shared" si="2"/>
        <v>1</v>
      </c>
      <c r="B28" s="231"/>
      <c r="C28" s="187"/>
      <c r="D28" s="191"/>
      <c r="E28" s="186"/>
      <c r="F28" s="247">
        <f t="shared" si="0"/>
        <v>0</v>
      </c>
      <c r="G28" s="247" t="str">
        <f>IF(IFERROR(IF(Str_TypeDonneesCpt7=Cpt_Index,Tab_Compteur_7[[#This Row],[Index]]-E27,Tab_Compteur_7[[#This Row],[Quantité]])/Tab_Compteur_7[[#This Row],[Delta Jour]],"")&lt;0,"",IFERROR(IF(Str_TypeDonneesCpt7=Cpt_Index,Tab_Compteur_7[[#This Row],[Index]]-E27,Tab_Compteur_7[[#This Row],[Quantité]])/Tab_Compteur_7[[#This Row],[Delta Jour]],""))</f>
        <v/>
      </c>
      <c r="H28" s="247" t="str">
        <f>IFERROR(Tab_Compteur_7[[#This Row],[Montant]]/Tab_Compteur_7[[#This Row],[Delta Jour]],"")</f>
        <v/>
      </c>
      <c r="I28" s="208" t="str">
        <f t="shared" si="1"/>
        <v/>
      </c>
      <c r="J28" s="209"/>
      <c r="K28" s="599"/>
      <c r="L28" s="599"/>
      <c r="M28" s="599"/>
    </row>
    <row r="29" spans="1:13">
      <c r="A29" s="3">
        <f t="shared" si="2"/>
        <v>1</v>
      </c>
      <c r="B29" s="231"/>
      <c r="C29" s="187"/>
      <c r="D29" s="191"/>
      <c r="E29" s="186"/>
      <c r="F29" s="247">
        <f t="shared" si="0"/>
        <v>0</v>
      </c>
      <c r="G29" s="247" t="str">
        <f>IF(IFERROR(IF(Str_TypeDonneesCpt7=Cpt_Index,Tab_Compteur_7[[#This Row],[Index]]-E28,Tab_Compteur_7[[#This Row],[Quantité]])/Tab_Compteur_7[[#This Row],[Delta Jour]],"")&lt;0,"",IFERROR(IF(Str_TypeDonneesCpt7=Cpt_Index,Tab_Compteur_7[[#This Row],[Index]]-E28,Tab_Compteur_7[[#This Row],[Quantité]])/Tab_Compteur_7[[#This Row],[Delta Jour]],""))</f>
        <v/>
      </c>
      <c r="H29" s="247" t="str">
        <f>IFERROR(Tab_Compteur_7[[#This Row],[Montant]]/Tab_Compteur_7[[#This Row],[Delta Jour]],"")</f>
        <v/>
      </c>
      <c r="I29" s="208" t="str">
        <f t="shared" si="1"/>
        <v/>
      </c>
      <c r="J29" s="209"/>
      <c r="K29" s="599"/>
      <c r="L29" s="599"/>
      <c r="M29" s="599"/>
    </row>
    <row r="30" spans="1:13">
      <c r="A30" s="3">
        <f t="shared" si="2"/>
        <v>1</v>
      </c>
      <c r="B30" s="231"/>
      <c r="C30" s="187"/>
      <c r="D30" s="191"/>
      <c r="E30" s="186"/>
      <c r="F30" s="247">
        <f t="shared" si="0"/>
        <v>0</v>
      </c>
      <c r="G30" s="247" t="str">
        <f>IF(IFERROR(IF(Str_TypeDonneesCpt7=Cpt_Index,Tab_Compteur_7[[#This Row],[Index]]-E29,Tab_Compteur_7[[#This Row],[Quantité]])/Tab_Compteur_7[[#This Row],[Delta Jour]],"")&lt;0,"",IFERROR(IF(Str_TypeDonneesCpt7=Cpt_Index,Tab_Compteur_7[[#This Row],[Index]]-E29,Tab_Compteur_7[[#This Row],[Quantité]])/Tab_Compteur_7[[#This Row],[Delta Jour]],""))</f>
        <v/>
      </c>
      <c r="H30" s="247" t="str">
        <f>IFERROR(Tab_Compteur_7[[#This Row],[Montant]]/Tab_Compteur_7[[#This Row],[Delta Jour]],"")</f>
        <v/>
      </c>
      <c r="I30" s="208" t="str">
        <f t="shared" si="1"/>
        <v/>
      </c>
      <c r="J30" s="209"/>
      <c r="K30" s="599"/>
      <c r="L30" s="599"/>
      <c r="M30" s="599"/>
    </row>
    <row r="31" spans="1:13">
      <c r="A31" s="3">
        <f t="shared" si="2"/>
        <v>1</v>
      </c>
      <c r="B31" s="231"/>
      <c r="C31" s="187"/>
      <c r="D31" s="191"/>
      <c r="E31" s="186"/>
      <c r="F31" s="247">
        <f t="shared" si="0"/>
        <v>0</v>
      </c>
      <c r="G31" s="247" t="str">
        <f>IF(IFERROR(IF(Str_TypeDonneesCpt7=Cpt_Index,Tab_Compteur_7[[#This Row],[Index]]-E30,Tab_Compteur_7[[#This Row],[Quantité]])/Tab_Compteur_7[[#This Row],[Delta Jour]],"")&lt;0,"",IFERROR(IF(Str_TypeDonneesCpt7=Cpt_Index,Tab_Compteur_7[[#This Row],[Index]]-E30,Tab_Compteur_7[[#This Row],[Quantité]])/Tab_Compteur_7[[#This Row],[Delta Jour]],""))</f>
        <v/>
      </c>
      <c r="H31" s="247" t="str">
        <f>IFERROR(Tab_Compteur_7[[#This Row],[Montant]]/Tab_Compteur_7[[#This Row],[Delta Jour]],"")</f>
        <v/>
      </c>
      <c r="I31" s="208" t="str">
        <f t="shared" si="1"/>
        <v/>
      </c>
      <c r="J31" s="209"/>
      <c r="K31" s="599"/>
      <c r="L31" s="599"/>
      <c r="M31" s="599"/>
    </row>
    <row r="32" spans="1:13">
      <c r="A32" s="3">
        <f t="shared" si="2"/>
        <v>1</v>
      </c>
      <c r="B32" s="231"/>
      <c r="C32" s="187"/>
      <c r="D32" s="191"/>
      <c r="E32" s="186"/>
      <c r="F32" s="247">
        <f t="shared" si="0"/>
        <v>0</v>
      </c>
      <c r="G32" s="247" t="str">
        <f>IF(IFERROR(IF(Str_TypeDonneesCpt7=Cpt_Index,Tab_Compteur_7[[#This Row],[Index]]-E31,Tab_Compteur_7[[#This Row],[Quantité]])/Tab_Compteur_7[[#This Row],[Delta Jour]],"")&lt;0,"",IFERROR(IF(Str_TypeDonneesCpt7=Cpt_Index,Tab_Compteur_7[[#This Row],[Index]]-E31,Tab_Compteur_7[[#This Row],[Quantité]])/Tab_Compteur_7[[#This Row],[Delta Jour]],""))</f>
        <v/>
      </c>
      <c r="H32" s="247" t="str">
        <f>IFERROR(Tab_Compteur_7[[#This Row],[Montant]]/Tab_Compteur_7[[#This Row],[Delta Jour]],"")</f>
        <v/>
      </c>
      <c r="I32" s="208" t="str">
        <f t="shared" si="1"/>
        <v/>
      </c>
      <c r="J32" s="209"/>
      <c r="K32" s="599"/>
      <c r="L32" s="599"/>
      <c r="M32" s="599"/>
    </row>
    <row r="33" spans="1:13">
      <c r="A33" s="3">
        <f t="shared" si="2"/>
        <v>1</v>
      </c>
      <c r="B33" s="231"/>
      <c r="C33" s="187"/>
      <c r="D33" s="191"/>
      <c r="E33" s="186"/>
      <c r="F33" s="247">
        <f t="shared" si="0"/>
        <v>0</v>
      </c>
      <c r="G33" s="247" t="str">
        <f>IF(IFERROR(IF(Str_TypeDonneesCpt7=Cpt_Index,Tab_Compteur_7[[#This Row],[Index]]-E32,Tab_Compteur_7[[#This Row],[Quantité]])/Tab_Compteur_7[[#This Row],[Delta Jour]],"")&lt;0,"",IFERROR(IF(Str_TypeDonneesCpt7=Cpt_Index,Tab_Compteur_7[[#This Row],[Index]]-E32,Tab_Compteur_7[[#This Row],[Quantité]])/Tab_Compteur_7[[#This Row],[Delta Jour]],""))</f>
        <v/>
      </c>
      <c r="H33" s="247" t="str">
        <f>IFERROR(Tab_Compteur_7[[#This Row],[Montant]]/Tab_Compteur_7[[#This Row],[Delta Jour]],"")</f>
        <v/>
      </c>
      <c r="I33" s="208" t="str">
        <f t="shared" si="1"/>
        <v/>
      </c>
      <c r="J33" s="209"/>
      <c r="K33" s="599"/>
      <c r="L33" s="599"/>
      <c r="M33" s="599"/>
    </row>
    <row r="34" spans="1:13">
      <c r="A34" s="3">
        <f t="shared" si="2"/>
        <v>1</v>
      </c>
      <c r="B34" s="231"/>
      <c r="C34" s="187"/>
      <c r="D34" s="191"/>
      <c r="E34" s="186"/>
      <c r="F34" s="247">
        <f t="shared" si="0"/>
        <v>0</v>
      </c>
      <c r="G34" s="247" t="str">
        <f>IF(IFERROR(IF(Str_TypeDonneesCpt7=Cpt_Index,Tab_Compteur_7[[#This Row],[Index]]-E33,Tab_Compteur_7[[#This Row],[Quantité]])/Tab_Compteur_7[[#This Row],[Delta Jour]],"")&lt;0,"",IFERROR(IF(Str_TypeDonneesCpt7=Cpt_Index,Tab_Compteur_7[[#This Row],[Index]]-E33,Tab_Compteur_7[[#This Row],[Quantité]])/Tab_Compteur_7[[#This Row],[Delta Jour]],""))</f>
        <v/>
      </c>
      <c r="H34" s="247" t="str">
        <f>IFERROR(Tab_Compteur_7[[#This Row],[Montant]]/Tab_Compteur_7[[#This Row],[Delta Jour]],"")</f>
        <v/>
      </c>
      <c r="I34" s="208" t="str">
        <f t="shared" si="1"/>
        <v/>
      </c>
      <c r="J34" s="209"/>
      <c r="K34" s="38"/>
      <c r="L34" s="38"/>
      <c r="M34" s="38"/>
    </row>
    <row r="35" spans="1:13">
      <c r="A35" s="3">
        <f t="shared" si="2"/>
        <v>1</v>
      </c>
      <c r="B35" s="231"/>
      <c r="C35" s="187"/>
      <c r="D35" s="191"/>
      <c r="E35" s="186"/>
      <c r="F35" s="247">
        <f t="shared" si="0"/>
        <v>0</v>
      </c>
      <c r="G35" s="247" t="str">
        <f>IF(IFERROR(IF(Str_TypeDonneesCpt7=Cpt_Index,Tab_Compteur_7[[#This Row],[Index]]-E34,Tab_Compteur_7[[#This Row],[Quantité]])/Tab_Compteur_7[[#This Row],[Delta Jour]],"")&lt;0,"",IFERROR(IF(Str_TypeDonneesCpt7=Cpt_Index,Tab_Compteur_7[[#This Row],[Index]]-E34,Tab_Compteur_7[[#This Row],[Quantité]])/Tab_Compteur_7[[#This Row],[Delta Jour]],""))</f>
        <v/>
      </c>
      <c r="H35" s="247" t="str">
        <f>IFERROR(Tab_Compteur_7[[#This Row],[Montant]]/Tab_Compteur_7[[#This Row],[Delta Jour]],"")</f>
        <v/>
      </c>
      <c r="I35" s="208" t="str">
        <f t="shared" si="1"/>
        <v/>
      </c>
      <c r="J35" s="209"/>
      <c r="K35" s="38"/>
      <c r="L35" s="38"/>
      <c r="M35" s="38"/>
    </row>
    <row r="36" spans="1:13">
      <c r="A36" s="3">
        <f t="shared" si="2"/>
        <v>1</v>
      </c>
      <c r="B36" s="231"/>
      <c r="C36" s="187"/>
      <c r="D36" s="191"/>
      <c r="E36" s="186"/>
      <c r="F36" s="247">
        <f t="shared" si="0"/>
        <v>0</v>
      </c>
      <c r="G36" s="247" t="str">
        <f>IF(IFERROR(IF(Str_TypeDonneesCpt7=Cpt_Index,Tab_Compteur_7[[#This Row],[Index]]-E35,Tab_Compteur_7[[#This Row],[Quantité]])/Tab_Compteur_7[[#This Row],[Delta Jour]],"")&lt;0,"",IFERROR(IF(Str_TypeDonneesCpt7=Cpt_Index,Tab_Compteur_7[[#This Row],[Index]]-E35,Tab_Compteur_7[[#This Row],[Quantité]])/Tab_Compteur_7[[#This Row],[Delta Jour]],""))</f>
        <v/>
      </c>
      <c r="H36" s="247" t="str">
        <f>IFERROR(Tab_Compteur_7[[#This Row],[Montant]]/Tab_Compteur_7[[#This Row],[Delta Jour]],"")</f>
        <v/>
      </c>
      <c r="I36" s="208" t="str">
        <f t="shared" si="1"/>
        <v/>
      </c>
      <c r="J36" s="209"/>
      <c r="K36" s="38"/>
      <c r="L36" s="38"/>
      <c r="M36" s="38"/>
    </row>
    <row r="37" spans="1:13">
      <c r="A37" s="3">
        <f t="shared" si="2"/>
        <v>1</v>
      </c>
      <c r="B37" s="231"/>
      <c r="C37" s="187"/>
      <c r="D37" s="191"/>
      <c r="E37" s="186"/>
      <c r="F37" s="247">
        <f t="shared" si="0"/>
        <v>0</v>
      </c>
      <c r="G37" s="247" t="str">
        <f>IF(IFERROR(IF(Str_TypeDonneesCpt7=Cpt_Index,Tab_Compteur_7[[#This Row],[Index]]-E36,Tab_Compteur_7[[#This Row],[Quantité]])/Tab_Compteur_7[[#This Row],[Delta Jour]],"")&lt;0,"",IFERROR(IF(Str_TypeDonneesCpt7=Cpt_Index,Tab_Compteur_7[[#This Row],[Index]]-E36,Tab_Compteur_7[[#This Row],[Quantité]])/Tab_Compteur_7[[#This Row],[Delta Jour]],""))</f>
        <v/>
      </c>
      <c r="H37" s="247" t="str">
        <f>IFERROR(Tab_Compteur_7[[#This Row],[Montant]]/Tab_Compteur_7[[#This Row],[Delta Jour]],"")</f>
        <v/>
      </c>
      <c r="I37" s="208" t="str">
        <f t="shared" si="1"/>
        <v/>
      </c>
      <c r="J37" s="209"/>
      <c r="K37" s="38"/>
      <c r="L37" s="38"/>
      <c r="M37" s="38"/>
    </row>
    <row r="38" spans="1:13">
      <c r="A38" s="3">
        <f t="shared" si="2"/>
        <v>1</v>
      </c>
      <c r="B38" s="231"/>
      <c r="C38" s="187"/>
      <c r="D38" s="191"/>
      <c r="E38" s="186"/>
      <c r="F38" s="247">
        <f t="shared" si="0"/>
        <v>0</v>
      </c>
      <c r="G38" s="247" t="str">
        <f>IF(IFERROR(IF(Str_TypeDonneesCpt7=Cpt_Index,Tab_Compteur_7[[#This Row],[Index]]-E37,Tab_Compteur_7[[#This Row],[Quantité]])/Tab_Compteur_7[[#This Row],[Delta Jour]],"")&lt;0,"",IFERROR(IF(Str_TypeDonneesCpt7=Cpt_Index,Tab_Compteur_7[[#This Row],[Index]]-E37,Tab_Compteur_7[[#This Row],[Quantité]])/Tab_Compteur_7[[#This Row],[Delta Jour]],""))</f>
        <v/>
      </c>
      <c r="H38" s="247" t="str">
        <f>IFERROR(Tab_Compteur_7[[#This Row],[Montant]]/Tab_Compteur_7[[#This Row],[Delta Jour]],"")</f>
        <v/>
      </c>
      <c r="I38" s="208" t="str">
        <f t="shared" si="1"/>
        <v/>
      </c>
      <c r="J38" s="209"/>
      <c r="K38" s="38"/>
      <c r="L38" s="38"/>
      <c r="M38" s="38"/>
    </row>
    <row r="39" spans="1:13">
      <c r="A39" s="3">
        <f t="shared" si="2"/>
        <v>1</v>
      </c>
      <c r="B39" s="231"/>
      <c r="C39" s="187"/>
      <c r="D39" s="193"/>
      <c r="E39" s="186"/>
      <c r="F39" s="247">
        <f t="shared" si="0"/>
        <v>0</v>
      </c>
      <c r="G39" s="247" t="str">
        <f>IF(IFERROR(IF(Str_TypeDonneesCpt7=Cpt_Index,Tab_Compteur_7[[#This Row],[Index]]-E38,Tab_Compteur_7[[#This Row],[Quantité]])/Tab_Compteur_7[[#This Row],[Delta Jour]],"")&lt;0,"",IFERROR(IF(Str_TypeDonneesCpt7=Cpt_Index,Tab_Compteur_7[[#This Row],[Index]]-E38,Tab_Compteur_7[[#This Row],[Quantité]])/Tab_Compteur_7[[#This Row],[Delta Jour]],""))</f>
        <v/>
      </c>
      <c r="H39" s="247" t="str">
        <f>IFERROR(Tab_Compteur_7[[#This Row],[Montant]]/Tab_Compteur_7[[#This Row],[Delta Jour]],"")</f>
        <v/>
      </c>
      <c r="I39" s="208" t="str">
        <f t="shared" si="1"/>
        <v/>
      </c>
      <c r="J39" s="209"/>
      <c r="K39" s="38"/>
      <c r="L39" s="38"/>
      <c r="M39" s="38"/>
    </row>
    <row r="40" spans="1:13">
      <c r="A40" s="3">
        <f t="shared" si="2"/>
        <v>1</v>
      </c>
      <c r="B40" s="231"/>
      <c r="C40" s="187"/>
      <c r="D40" s="193"/>
      <c r="E40" s="186"/>
      <c r="F40" s="247">
        <f t="shared" si="0"/>
        <v>0</v>
      </c>
      <c r="G40" s="247" t="str">
        <f>IF(IFERROR(IF(Str_TypeDonneesCpt7=Cpt_Index,Tab_Compteur_7[[#This Row],[Index]]-E39,Tab_Compteur_7[[#This Row],[Quantité]])/Tab_Compteur_7[[#This Row],[Delta Jour]],"")&lt;0,"",IFERROR(IF(Str_TypeDonneesCpt7=Cpt_Index,Tab_Compteur_7[[#This Row],[Index]]-E39,Tab_Compteur_7[[#This Row],[Quantité]])/Tab_Compteur_7[[#This Row],[Delta Jour]],""))</f>
        <v/>
      </c>
      <c r="H40" s="247" t="str">
        <f>IFERROR(Tab_Compteur_7[[#This Row],[Montant]]/Tab_Compteur_7[[#This Row],[Delta Jour]],"")</f>
        <v/>
      </c>
      <c r="I40" s="208" t="str">
        <f t="shared" si="1"/>
        <v/>
      </c>
      <c r="J40" s="209"/>
      <c r="K40" s="38"/>
      <c r="L40" s="38"/>
      <c r="M40" s="38"/>
    </row>
    <row r="41" spans="1:13">
      <c r="A41" s="3">
        <f t="shared" si="2"/>
        <v>1</v>
      </c>
      <c r="B41" s="231"/>
      <c r="C41" s="187"/>
      <c r="D41" s="193"/>
      <c r="E41" s="186"/>
      <c r="F41" s="247">
        <f t="shared" si="0"/>
        <v>0</v>
      </c>
      <c r="G41" s="247" t="str">
        <f>IF(IFERROR(IF(Str_TypeDonneesCpt7=Cpt_Index,Tab_Compteur_7[[#This Row],[Index]]-E40,Tab_Compteur_7[[#This Row],[Quantité]])/Tab_Compteur_7[[#This Row],[Delta Jour]],"")&lt;0,"",IFERROR(IF(Str_TypeDonneesCpt7=Cpt_Index,Tab_Compteur_7[[#This Row],[Index]]-E40,Tab_Compteur_7[[#This Row],[Quantité]])/Tab_Compteur_7[[#This Row],[Delta Jour]],""))</f>
        <v/>
      </c>
      <c r="H41" s="247" t="str">
        <f>IFERROR(Tab_Compteur_7[[#This Row],[Montant]]/Tab_Compteur_7[[#This Row],[Delta Jour]],"")</f>
        <v/>
      </c>
      <c r="I41" s="208" t="str">
        <f t="shared" si="1"/>
        <v/>
      </c>
      <c r="J41" s="209"/>
      <c r="K41" s="38"/>
      <c r="L41" s="38"/>
      <c r="M41" s="38"/>
    </row>
    <row r="42" spans="1:13">
      <c r="A42" s="3">
        <f t="shared" si="2"/>
        <v>1</v>
      </c>
      <c r="B42" s="231"/>
      <c r="C42" s="187"/>
      <c r="D42" s="193"/>
      <c r="E42" s="186"/>
      <c r="F42" s="247">
        <f t="shared" si="0"/>
        <v>0</v>
      </c>
      <c r="G42" s="247" t="str">
        <f>IF(IFERROR(IF(Str_TypeDonneesCpt7=Cpt_Index,Tab_Compteur_7[[#This Row],[Index]]-E41,Tab_Compteur_7[[#This Row],[Quantité]])/Tab_Compteur_7[[#This Row],[Delta Jour]],"")&lt;0,"",IFERROR(IF(Str_TypeDonneesCpt7=Cpt_Index,Tab_Compteur_7[[#This Row],[Index]]-E41,Tab_Compteur_7[[#This Row],[Quantité]])/Tab_Compteur_7[[#This Row],[Delta Jour]],""))</f>
        <v/>
      </c>
      <c r="H42" s="247" t="str">
        <f>IFERROR(Tab_Compteur_7[[#This Row],[Montant]]/Tab_Compteur_7[[#This Row],[Delta Jour]],"")</f>
        <v/>
      </c>
      <c r="I42" s="208" t="str">
        <f t="shared" si="1"/>
        <v/>
      </c>
      <c r="J42" s="209"/>
      <c r="K42" s="38"/>
      <c r="L42" s="38"/>
      <c r="M42" s="38"/>
    </row>
    <row r="43" spans="1:13">
      <c r="A43" s="3">
        <f t="shared" si="2"/>
        <v>1</v>
      </c>
      <c r="B43" s="231"/>
      <c r="C43" s="187"/>
      <c r="D43" s="193"/>
      <c r="E43" s="186"/>
      <c r="F43" s="247">
        <f t="shared" si="0"/>
        <v>0</v>
      </c>
      <c r="G43" s="247" t="str">
        <f>IF(IFERROR(IF(Str_TypeDonneesCpt7=Cpt_Index,Tab_Compteur_7[[#This Row],[Index]]-E42,Tab_Compteur_7[[#This Row],[Quantité]])/Tab_Compteur_7[[#This Row],[Delta Jour]],"")&lt;0,"",IFERROR(IF(Str_TypeDonneesCpt7=Cpt_Index,Tab_Compteur_7[[#This Row],[Index]]-E42,Tab_Compteur_7[[#This Row],[Quantité]])/Tab_Compteur_7[[#This Row],[Delta Jour]],""))</f>
        <v/>
      </c>
      <c r="H43" s="247" t="str">
        <f>IFERROR(Tab_Compteur_7[[#This Row],[Montant]]/Tab_Compteur_7[[#This Row],[Delta Jour]],"")</f>
        <v/>
      </c>
      <c r="I43" s="208" t="str">
        <f t="shared" si="1"/>
        <v/>
      </c>
      <c r="J43" s="209"/>
      <c r="K43" s="38"/>
      <c r="L43" s="38"/>
      <c r="M43" s="38"/>
    </row>
    <row r="44" spans="1:13">
      <c r="A44" s="3">
        <f t="shared" si="2"/>
        <v>1</v>
      </c>
      <c r="B44" s="231"/>
      <c r="C44" s="187"/>
      <c r="D44" s="193"/>
      <c r="E44" s="186"/>
      <c r="F44" s="247">
        <f t="shared" si="0"/>
        <v>0</v>
      </c>
      <c r="G44" s="247" t="str">
        <f>IF(IFERROR(IF(Str_TypeDonneesCpt7=Cpt_Index,Tab_Compteur_7[[#This Row],[Index]]-E43,Tab_Compteur_7[[#This Row],[Quantité]])/Tab_Compteur_7[[#This Row],[Delta Jour]],"")&lt;0,"",IFERROR(IF(Str_TypeDonneesCpt7=Cpt_Index,Tab_Compteur_7[[#This Row],[Index]]-E43,Tab_Compteur_7[[#This Row],[Quantité]])/Tab_Compteur_7[[#This Row],[Delta Jour]],""))</f>
        <v/>
      </c>
      <c r="H44" s="247" t="str">
        <f>IFERROR(Tab_Compteur_7[[#This Row],[Montant]]/Tab_Compteur_7[[#This Row],[Delta Jour]],"")</f>
        <v/>
      </c>
      <c r="I44" s="208" t="str">
        <f t="shared" si="1"/>
        <v/>
      </c>
      <c r="J44" s="209"/>
      <c r="K44" s="38"/>
      <c r="L44" s="38"/>
      <c r="M44" s="38"/>
    </row>
    <row r="45" spans="1:13">
      <c r="A45" s="3">
        <f t="shared" si="2"/>
        <v>1</v>
      </c>
      <c r="B45" s="231"/>
      <c r="C45" s="187"/>
      <c r="D45" s="193"/>
      <c r="E45" s="186"/>
      <c r="F45" s="247">
        <f t="shared" si="0"/>
        <v>0</v>
      </c>
      <c r="G45" s="247" t="str">
        <f>IF(IFERROR(IF(Str_TypeDonneesCpt7=Cpt_Index,Tab_Compteur_7[[#This Row],[Index]]-E44,Tab_Compteur_7[[#This Row],[Quantité]])/Tab_Compteur_7[[#This Row],[Delta Jour]],"")&lt;0,"",IFERROR(IF(Str_TypeDonneesCpt7=Cpt_Index,Tab_Compteur_7[[#This Row],[Index]]-E44,Tab_Compteur_7[[#This Row],[Quantité]])/Tab_Compteur_7[[#This Row],[Delta Jour]],""))</f>
        <v/>
      </c>
      <c r="H45" s="247" t="str">
        <f>IFERROR(Tab_Compteur_7[[#This Row],[Montant]]/Tab_Compteur_7[[#This Row],[Delta Jour]],"")</f>
        <v/>
      </c>
      <c r="I45" s="208" t="str">
        <f t="shared" si="1"/>
        <v/>
      </c>
      <c r="J45" s="209"/>
      <c r="K45" s="38"/>
      <c r="L45" s="38"/>
      <c r="M45" s="38"/>
    </row>
    <row r="46" spans="1:13">
      <c r="A46" s="3">
        <f t="shared" si="2"/>
        <v>1</v>
      </c>
      <c r="B46" s="231"/>
      <c r="C46" s="187"/>
      <c r="D46" s="193"/>
      <c r="E46" s="186"/>
      <c r="F46" s="247">
        <f t="shared" si="0"/>
        <v>0</v>
      </c>
      <c r="G46" s="247" t="str">
        <f>IF(IFERROR(IF(Str_TypeDonneesCpt7=Cpt_Index,Tab_Compteur_7[[#This Row],[Index]]-E45,Tab_Compteur_7[[#This Row],[Quantité]])/Tab_Compteur_7[[#This Row],[Delta Jour]],"")&lt;0,"",IFERROR(IF(Str_TypeDonneesCpt7=Cpt_Index,Tab_Compteur_7[[#This Row],[Index]]-E45,Tab_Compteur_7[[#This Row],[Quantité]])/Tab_Compteur_7[[#This Row],[Delta Jour]],""))</f>
        <v/>
      </c>
      <c r="H46" s="247" t="str">
        <f>IFERROR(Tab_Compteur_7[[#This Row],[Montant]]/Tab_Compteur_7[[#This Row],[Delta Jour]],"")</f>
        <v/>
      </c>
      <c r="I46" s="208" t="str">
        <f t="shared" si="1"/>
        <v/>
      </c>
      <c r="J46" s="209"/>
      <c r="K46" s="38"/>
      <c r="L46" s="38"/>
      <c r="M46" s="38"/>
    </row>
    <row r="47" spans="1:13">
      <c r="A47" s="3">
        <f t="shared" si="2"/>
        <v>1</v>
      </c>
      <c r="B47" s="231"/>
      <c r="C47" s="187"/>
      <c r="D47" s="193"/>
      <c r="E47" s="186"/>
      <c r="F47" s="247">
        <f t="shared" si="0"/>
        <v>0</v>
      </c>
      <c r="G47" s="247" t="str">
        <f>IF(IFERROR(IF(Str_TypeDonneesCpt7=Cpt_Index,Tab_Compteur_7[[#This Row],[Index]]-E46,Tab_Compteur_7[[#This Row],[Quantité]])/Tab_Compteur_7[[#This Row],[Delta Jour]],"")&lt;0,"",IFERROR(IF(Str_TypeDonneesCpt7=Cpt_Index,Tab_Compteur_7[[#This Row],[Index]]-E46,Tab_Compteur_7[[#This Row],[Quantité]])/Tab_Compteur_7[[#This Row],[Delta Jour]],""))</f>
        <v/>
      </c>
      <c r="H47" s="247" t="str">
        <f>IFERROR(Tab_Compteur_7[[#This Row],[Montant]]/Tab_Compteur_7[[#This Row],[Delta Jour]],"")</f>
        <v/>
      </c>
      <c r="I47" s="208" t="str">
        <f t="shared" si="1"/>
        <v/>
      </c>
      <c r="J47" s="209"/>
      <c r="K47" s="38"/>
      <c r="L47" s="38"/>
      <c r="M47" s="38"/>
    </row>
    <row r="48" spans="1:13">
      <c r="A48" s="3">
        <f t="shared" si="2"/>
        <v>1</v>
      </c>
      <c r="B48" s="231"/>
      <c r="C48" s="187"/>
      <c r="D48" s="193"/>
      <c r="E48" s="186"/>
      <c r="F48" s="247">
        <f t="shared" si="0"/>
        <v>0</v>
      </c>
      <c r="G48" s="247" t="str">
        <f>IF(IFERROR(IF(Str_TypeDonneesCpt7=Cpt_Index,Tab_Compteur_7[[#This Row],[Index]]-E47,Tab_Compteur_7[[#This Row],[Quantité]])/Tab_Compteur_7[[#This Row],[Delta Jour]],"")&lt;0,"",IFERROR(IF(Str_TypeDonneesCpt7=Cpt_Index,Tab_Compteur_7[[#This Row],[Index]]-E47,Tab_Compteur_7[[#This Row],[Quantité]])/Tab_Compteur_7[[#This Row],[Delta Jour]],""))</f>
        <v/>
      </c>
      <c r="H48" s="247" t="str">
        <f>IFERROR(Tab_Compteur_7[[#This Row],[Montant]]/Tab_Compteur_7[[#This Row],[Delta Jour]],"")</f>
        <v/>
      </c>
      <c r="I48" s="208" t="str">
        <f t="shared" si="1"/>
        <v/>
      </c>
      <c r="J48" s="209"/>
      <c r="K48" s="38"/>
      <c r="L48" s="38"/>
      <c r="M48" s="38"/>
    </row>
    <row r="49" spans="1:13">
      <c r="A49" s="3">
        <f t="shared" si="2"/>
        <v>1</v>
      </c>
      <c r="B49" s="231"/>
      <c r="C49" s="187"/>
      <c r="D49" s="193"/>
      <c r="E49" s="186"/>
      <c r="F49" s="247">
        <f t="shared" si="0"/>
        <v>0</v>
      </c>
      <c r="G49" s="247" t="str">
        <f>IF(IFERROR(IF(Str_TypeDonneesCpt7=Cpt_Index,Tab_Compteur_7[[#This Row],[Index]]-E48,Tab_Compteur_7[[#This Row],[Quantité]])/Tab_Compteur_7[[#This Row],[Delta Jour]],"")&lt;0,"",IFERROR(IF(Str_TypeDonneesCpt7=Cpt_Index,Tab_Compteur_7[[#This Row],[Index]]-E48,Tab_Compteur_7[[#This Row],[Quantité]])/Tab_Compteur_7[[#This Row],[Delta Jour]],""))</f>
        <v/>
      </c>
      <c r="H49" s="247" t="str">
        <f>IFERROR(Tab_Compteur_7[[#This Row],[Montant]]/Tab_Compteur_7[[#This Row],[Delta Jour]],"")</f>
        <v/>
      </c>
      <c r="I49" s="208" t="str">
        <f t="shared" si="1"/>
        <v/>
      </c>
      <c r="J49" s="209"/>
      <c r="K49" s="38"/>
      <c r="L49" s="38"/>
      <c r="M49" s="38"/>
    </row>
    <row r="50" spans="1:13">
      <c r="A50" s="3">
        <f t="shared" si="2"/>
        <v>1</v>
      </c>
      <c r="B50" s="231"/>
      <c r="C50" s="187"/>
      <c r="D50" s="193"/>
      <c r="E50" s="186"/>
      <c r="F50" s="247">
        <f t="shared" si="0"/>
        <v>0</v>
      </c>
      <c r="G50" s="247" t="str">
        <f>IF(IFERROR(IF(Str_TypeDonneesCpt7=Cpt_Index,Tab_Compteur_7[[#This Row],[Index]]-E49,Tab_Compteur_7[[#This Row],[Quantité]])/Tab_Compteur_7[[#This Row],[Delta Jour]],"")&lt;0,"",IFERROR(IF(Str_TypeDonneesCpt7=Cpt_Index,Tab_Compteur_7[[#This Row],[Index]]-E49,Tab_Compteur_7[[#This Row],[Quantité]])/Tab_Compteur_7[[#This Row],[Delta Jour]],""))</f>
        <v/>
      </c>
      <c r="H50" s="247" t="str">
        <f>IFERROR(Tab_Compteur_7[[#This Row],[Montant]]/Tab_Compteur_7[[#This Row],[Delta Jour]],"")</f>
        <v/>
      </c>
      <c r="I50" s="208" t="str">
        <f t="shared" si="1"/>
        <v/>
      </c>
      <c r="J50" s="209"/>
      <c r="K50" s="38"/>
      <c r="L50" s="38"/>
      <c r="M50" s="38"/>
    </row>
    <row r="51" spans="1:13">
      <c r="A51" s="3">
        <f t="shared" si="2"/>
        <v>1</v>
      </c>
      <c r="B51" s="231"/>
      <c r="C51" s="187"/>
      <c r="D51" s="193"/>
      <c r="E51" s="186"/>
      <c r="F51" s="247">
        <f t="shared" si="0"/>
        <v>0</v>
      </c>
      <c r="G51" s="247" t="str">
        <f>IF(IFERROR(IF(Str_TypeDonneesCpt7=Cpt_Index,Tab_Compteur_7[[#This Row],[Index]]-E50,Tab_Compteur_7[[#This Row],[Quantité]])/Tab_Compteur_7[[#This Row],[Delta Jour]],"")&lt;0,"",IFERROR(IF(Str_TypeDonneesCpt7=Cpt_Index,Tab_Compteur_7[[#This Row],[Index]]-E50,Tab_Compteur_7[[#This Row],[Quantité]])/Tab_Compteur_7[[#This Row],[Delta Jour]],""))</f>
        <v/>
      </c>
      <c r="H51" s="247" t="str">
        <f>IFERROR(Tab_Compteur_7[[#This Row],[Montant]]/Tab_Compteur_7[[#This Row],[Delta Jour]],"")</f>
        <v/>
      </c>
      <c r="I51" s="208" t="str">
        <f t="shared" si="1"/>
        <v/>
      </c>
      <c r="J51" s="209"/>
      <c r="K51" s="38"/>
      <c r="L51" s="38"/>
      <c r="M51" s="38"/>
    </row>
    <row r="52" spans="1:13">
      <c r="A52" s="3">
        <f t="shared" si="2"/>
        <v>1</v>
      </c>
      <c r="B52" s="231"/>
      <c r="C52" s="187"/>
      <c r="D52" s="193"/>
      <c r="E52" s="186"/>
      <c r="F52" s="247">
        <f t="shared" si="0"/>
        <v>0</v>
      </c>
      <c r="G52" s="247" t="str">
        <f>IF(IFERROR(IF(Str_TypeDonneesCpt7=Cpt_Index,Tab_Compteur_7[[#This Row],[Index]]-E51,Tab_Compteur_7[[#This Row],[Quantité]])/Tab_Compteur_7[[#This Row],[Delta Jour]],"")&lt;0,"",IFERROR(IF(Str_TypeDonneesCpt7=Cpt_Index,Tab_Compteur_7[[#This Row],[Index]]-E51,Tab_Compteur_7[[#This Row],[Quantité]])/Tab_Compteur_7[[#This Row],[Delta Jour]],""))</f>
        <v/>
      </c>
      <c r="H52" s="247" t="str">
        <f>IFERROR(Tab_Compteur_7[[#This Row],[Montant]]/Tab_Compteur_7[[#This Row],[Delta Jour]],"")</f>
        <v/>
      </c>
      <c r="I52" s="208" t="str">
        <f t="shared" si="1"/>
        <v/>
      </c>
      <c r="J52" s="209"/>
      <c r="K52" s="38"/>
      <c r="L52" s="38"/>
      <c r="M52" s="38"/>
    </row>
    <row r="53" spans="1:13">
      <c r="A53" s="3">
        <f t="shared" si="2"/>
        <v>1</v>
      </c>
      <c r="B53" s="231"/>
      <c r="C53" s="187"/>
      <c r="D53" s="193"/>
      <c r="E53" s="186"/>
      <c r="F53" s="247">
        <f t="shared" si="0"/>
        <v>0</v>
      </c>
      <c r="G53" s="247" t="str">
        <f>IF(IFERROR(IF(Str_TypeDonneesCpt7=Cpt_Index,Tab_Compteur_7[[#This Row],[Index]]-E52,Tab_Compteur_7[[#This Row],[Quantité]])/Tab_Compteur_7[[#This Row],[Delta Jour]],"")&lt;0,"",IFERROR(IF(Str_TypeDonneesCpt7=Cpt_Index,Tab_Compteur_7[[#This Row],[Index]]-E52,Tab_Compteur_7[[#This Row],[Quantité]])/Tab_Compteur_7[[#This Row],[Delta Jour]],""))</f>
        <v/>
      </c>
      <c r="H53" s="247" t="str">
        <f>IFERROR(Tab_Compteur_7[[#This Row],[Montant]]/Tab_Compteur_7[[#This Row],[Delta Jour]],"")</f>
        <v/>
      </c>
      <c r="I53" s="208" t="str">
        <f t="shared" si="1"/>
        <v/>
      </c>
      <c r="J53" s="209"/>
      <c r="K53" s="38"/>
      <c r="L53" s="38"/>
      <c r="M53" s="38"/>
    </row>
    <row r="54" spans="1:13">
      <c r="A54" s="3">
        <f t="shared" si="2"/>
        <v>1</v>
      </c>
      <c r="B54" s="231"/>
      <c r="C54" s="187"/>
      <c r="D54" s="193"/>
      <c r="E54" s="186"/>
      <c r="F54" s="247">
        <f t="shared" si="0"/>
        <v>0</v>
      </c>
      <c r="G54" s="247" t="str">
        <f>IF(IFERROR(IF(Str_TypeDonneesCpt7=Cpt_Index,Tab_Compteur_7[[#This Row],[Index]]-E53,Tab_Compteur_7[[#This Row],[Quantité]])/Tab_Compteur_7[[#This Row],[Delta Jour]],"")&lt;0,"",IFERROR(IF(Str_TypeDonneesCpt7=Cpt_Index,Tab_Compteur_7[[#This Row],[Index]]-E53,Tab_Compteur_7[[#This Row],[Quantité]])/Tab_Compteur_7[[#This Row],[Delta Jour]],""))</f>
        <v/>
      </c>
      <c r="H54" s="247" t="str">
        <f>IFERROR(Tab_Compteur_7[[#This Row],[Montant]]/Tab_Compteur_7[[#This Row],[Delta Jour]],"")</f>
        <v/>
      </c>
      <c r="I54" s="208" t="str">
        <f t="shared" si="1"/>
        <v/>
      </c>
      <c r="J54" s="209"/>
      <c r="K54" s="38"/>
      <c r="L54" s="38"/>
      <c r="M54" s="38"/>
    </row>
    <row r="55" spans="1:13">
      <c r="A55" s="3">
        <f t="shared" si="2"/>
        <v>1</v>
      </c>
      <c r="B55" s="231"/>
      <c r="C55" s="187"/>
      <c r="D55" s="193"/>
      <c r="E55" s="186"/>
      <c r="F55" s="247">
        <f t="shared" si="0"/>
        <v>0</v>
      </c>
      <c r="G55" s="247" t="str">
        <f>IF(IFERROR(IF(Str_TypeDonneesCpt7=Cpt_Index,Tab_Compteur_7[[#This Row],[Index]]-E54,Tab_Compteur_7[[#This Row],[Quantité]])/Tab_Compteur_7[[#This Row],[Delta Jour]],"")&lt;0,"",IFERROR(IF(Str_TypeDonneesCpt7=Cpt_Index,Tab_Compteur_7[[#This Row],[Index]]-E54,Tab_Compteur_7[[#This Row],[Quantité]])/Tab_Compteur_7[[#This Row],[Delta Jour]],""))</f>
        <v/>
      </c>
      <c r="H55" s="247" t="str">
        <f>IFERROR(Tab_Compteur_7[[#This Row],[Montant]]/Tab_Compteur_7[[#This Row],[Delta Jour]],"")</f>
        <v/>
      </c>
      <c r="I55" s="208" t="str">
        <f t="shared" si="1"/>
        <v/>
      </c>
      <c r="J55" s="209"/>
      <c r="K55" s="38"/>
      <c r="L55" s="38"/>
      <c r="M55" s="38"/>
    </row>
    <row r="56" spans="1:13">
      <c r="A56" s="3">
        <f t="shared" si="2"/>
        <v>1</v>
      </c>
      <c r="B56" s="231"/>
      <c r="C56" s="187"/>
      <c r="D56" s="193"/>
      <c r="E56" s="186"/>
      <c r="F56" s="247">
        <f t="shared" si="0"/>
        <v>0</v>
      </c>
      <c r="G56" s="247" t="str">
        <f>IF(IFERROR(IF(Str_TypeDonneesCpt7=Cpt_Index,Tab_Compteur_7[[#This Row],[Index]]-E55,Tab_Compteur_7[[#This Row],[Quantité]])/Tab_Compteur_7[[#This Row],[Delta Jour]],"")&lt;0,"",IFERROR(IF(Str_TypeDonneesCpt7=Cpt_Index,Tab_Compteur_7[[#This Row],[Index]]-E55,Tab_Compteur_7[[#This Row],[Quantité]])/Tab_Compteur_7[[#This Row],[Delta Jour]],""))</f>
        <v/>
      </c>
      <c r="H56" s="247" t="str">
        <f>IFERROR(Tab_Compteur_7[[#This Row],[Montant]]/Tab_Compteur_7[[#This Row],[Delta Jour]],"")</f>
        <v/>
      </c>
      <c r="I56" s="208" t="str">
        <f t="shared" si="1"/>
        <v/>
      </c>
      <c r="J56" s="209"/>
      <c r="K56" s="38"/>
      <c r="L56" s="38"/>
      <c r="M56" s="38"/>
    </row>
    <row r="57" spans="1:13">
      <c r="A57" s="3">
        <f t="shared" si="2"/>
        <v>1</v>
      </c>
      <c r="B57" s="231"/>
      <c r="C57" s="187"/>
      <c r="D57" s="193"/>
      <c r="E57" s="186"/>
      <c r="F57" s="247">
        <f t="shared" si="0"/>
        <v>0</v>
      </c>
      <c r="G57" s="247" t="str">
        <f>IF(IFERROR(IF(Str_TypeDonneesCpt7=Cpt_Index,Tab_Compteur_7[[#This Row],[Index]]-E56,Tab_Compteur_7[[#This Row],[Quantité]])/Tab_Compteur_7[[#This Row],[Delta Jour]],"")&lt;0,"",IFERROR(IF(Str_TypeDonneesCpt7=Cpt_Index,Tab_Compteur_7[[#This Row],[Index]]-E56,Tab_Compteur_7[[#This Row],[Quantité]])/Tab_Compteur_7[[#This Row],[Delta Jour]],""))</f>
        <v/>
      </c>
      <c r="H57" s="247" t="str">
        <f>IFERROR(Tab_Compteur_7[[#This Row],[Montant]]/Tab_Compteur_7[[#This Row],[Delta Jour]],"")</f>
        <v/>
      </c>
      <c r="I57" s="208" t="str">
        <f t="shared" si="1"/>
        <v/>
      </c>
      <c r="J57" s="209"/>
      <c r="K57" s="38"/>
      <c r="L57" s="38"/>
      <c r="M57" s="38"/>
    </row>
    <row r="58" spans="1:13">
      <c r="A58" s="3">
        <f t="shared" si="2"/>
        <v>1</v>
      </c>
      <c r="B58" s="231"/>
      <c r="C58" s="187"/>
      <c r="D58" s="193"/>
      <c r="E58" s="186"/>
      <c r="F58" s="247">
        <f t="shared" si="0"/>
        <v>0</v>
      </c>
      <c r="G58" s="247" t="str">
        <f>IF(IFERROR(IF(Str_TypeDonneesCpt7=Cpt_Index,Tab_Compteur_7[[#This Row],[Index]]-E57,Tab_Compteur_7[[#This Row],[Quantité]])/Tab_Compteur_7[[#This Row],[Delta Jour]],"")&lt;0,"",IFERROR(IF(Str_TypeDonneesCpt7=Cpt_Index,Tab_Compteur_7[[#This Row],[Index]]-E57,Tab_Compteur_7[[#This Row],[Quantité]])/Tab_Compteur_7[[#This Row],[Delta Jour]],""))</f>
        <v/>
      </c>
      <c r="H58" s="247" t="str">
        <f>IFERROR(Tab_Compteur_7[[#This Row],[Montant]]/Tab_Compteur_7[[#This Row],[Delta Jour]],"")</f>
        <v/>
      </c>
      <c r="I58" s="208" t="str">
        <f t="shared" si="1"/>
        <v/>
      </c>
      <c r="J58" s="209"/>
      <c r="K58" s="38"/>
      <c r="L58" s="38"/>
      <c r="M58" s="38"/>
    </row>
    <row r="59" spans="1:13">
      <c r="A59" s="3">
        <f t="shared" si="2"/>
        <v>1</v>
      </c>
      <c r="B59" s="231"/>
      <c r="C59" s="187"/>
      <c r="D59" s="193"/>
      <c r="E59" s="186"/>
      <c r="F59" s="247">
        <f t="shared" si="0"/>
        <v>0</v>
      </c>
      <c r="G59" s="247" t="str">
        <f>IF(IFERROR(IF(Str_TypeDonneesCpt7=Cpt_Index,Tab_Compteur_7[[#This Row],[Index]]-E58,Tab_Compteur_7[[#This Row],[Quantité]])/Tab_Compteur_7[[#This Row],[Delta Jour]],"")&lt;0,"",IFERROR(IF(Str_TypeDonneesCpt7=Cpt_Index,Tab_Compteur_7[[#This Row],[Index]]-E58,Tab_Compteur_7[[#This Row],[Quantité]])/Tab_Compteur_7[[#This Row],[Delta Jour]],""))</f>
        <v/>
      </c>
      <c r="H59" s="247" t="str">
        <f>IFERROR(Tab_Compteur_7[[#This Row],[Montant]]/Tab_Compteur_7[[#This Row],[Delta Jour]],"")</f>
        <v/>
      </c>
      <c r="I59" s="208" t="str">
        <f t="shared" si="1"/>
        <v/>
      </c>
      <c r="J59" s="209"/>
      <c r="K59" s="38"/>
      <c r="L59" s="38"/>
      <c r="M59" s="38"/>
    </row>
    <row r="60" spans="1:13">
      <c r="A60" s="3">
        <f t="shared" si="2"/>
        <v>1</v>
      </c>
      <c r="B60" s="231"/>
      <c r="C60" s="187"/>
      <c r="D60" s="188"/>
      <c r="E60" s="186"/>
      <c r="F60" s="247">
        <f t="shared" si="0"/>
        <v>0</v>
      </c>
      <c r="G60" s="247" t="str">
        <f>IF(IFERROR(IF(Str_TypeDonneesCpt7=Cpt_Index,Tab_Compteur_7[[#This Row],[Index]]-E59,Tab_Compteur_7[[#This Row],[Quantité]])/Tab_Compteur_7[[#This Row],[Delta Jour]],"")&lt;0,"",IFERROR(IF(Str_TypeDonneesCpt7=Cpt_Index,Tab_Compteur_7[[#This Row],[Index]]-E59,Tab_Compteur_7[[#This Row],[Quantité]])/Tab_Compteur_7[[#This Row],[Delta Jour]],""))</f>
        <v/>
      </c>
      <c r="H60" s="247" t="str">
        <f>IFERROR(Tab_Compteur_7[[#This Row],[Montant]]/Tab_Compteur_7[[#This Row],[Delta Jour]],"")</f>
        <v/>
      </c>
      <c r="I60" s="208" t="str">
        <f t="shared" si="1"/>
        <v/>
      </c>
      <c r="J60" s="209"/>
      <c r="K60" s="38"/>
      <c r="L60" s="38"/>
      <c r="M60" s="38"/>
    </row>
    <row r="61" spans="1:13">
      <c r="A61" s="3">
        <f t="shared" si="2"/>
        <v>1</v>
      </c>
      <c r="B61" s="231"/>
      <c r="C61" s="187"/>
      <c r="D61" s="188"/>
      <c r="E61" s="186"/>
      <c r="F61" s="247">
        <f t="shared" si="0"/>
        <v>0</v>
      </c>
      <c r="G61" s="247" t="str">
        <f>IF(IFERROR(IF(Str_TypeDonneesCpt7=Cpt_Index,Tab_Compteur_7[[#This Row],[Index]]-E60,Tab_Compteur_7[[#This Row],[Quantité]])/Tab_Compteur_7[[#This Row],[Delta Jour]],"")&lt;0,"",IFERROR(IF(Str_TypeDonneesCpt7=Cpt_Index,Tab_Compteur_7[[#This Row],[Index]]-E60,Tab_Compteur_7[[#This Row],[Quantité]])/Tab_Compteur_7[[#This Row],[Delta Jour]],""))</f>
        <v/>
      </c>
      <c r="H61" s="247" t="str">
        <f>IFERROR(Tab_Compteur_7[[#This Row],[Montant]]/Tab_Compteur_7[[#This Row],[Delta Jour]],"")</f>
        <v/>
      </c>
      <c r="I61" s="208" t="str">
        <f t="shared" si="1"/>
        <v/>
      </c>
      <c r="J61" s="209"/>
      <c r="K61" s="38"/>
      <c r="L61" s="38"/>
      <c r="M61" s="38"/>
    </row>
    <row r="62" spans="1:13">
      <c r="A62" s="3">
        <f t="shared" si="2"/>
        <v>1</v>
      </c>
      <c r="B62" s="231"/>
      <c r="C62" s="187"/>
      <c r="D62" s="188"/>
      <c r="E62" s="186"/>
      <c r="F62" s="247">
        <f t="shared" si="0"/>
        <v>0</v>
      </c>
      <c r="G62" s="247" t="str">
        <f>IF(IFERROR(IF(Str_TypeDonneesCpt7=Cpt_Index,Tab_Compteur_7[[#This Row],[Index]]-E61,Tab_Compteur_7[[#This Row],[Quantité]])/Tab_Compteur_7[[#This Row],[Delta Jour]],"")&lt;0,"",IFERROR(IF(Str_TypeDonneesCpt7=Cpt_Index,Tab_Compteur_7[[#This Row],[Index]]-E61,Tab_Compteur_7[[#This Row],[Quantité]])/Tab_Compteur_7[[#This Row],[Delta Jour]],""))</f>
        <v/>
      </c>
      <c r="H62" s="247" t="str">
        <f>IFERROR(Tab_Compteur_7[[#This Row],[Montant]]/Tab_Compteur_7[[#This Row],[Delta Jour]],"")</f>
        <v/>
      </c>
      <c r="I62" s="208" t="str">
        <f t="shared" si="1"/>
        <v/>
      </c>
      <c r="J62" s="209"/>
      <c r="K62" s="38"/>
      <c r="L62" s="38"/>
      <c r="M62" s="38"/>
    </row>
    <row r="63" spans="1:13">
      <c r="A63" s="3">
        <f t="shared" si="2"/>
        <v>1</v>
      </c>
      <c r="B63" s="231"/>
      <c r="C63" s="187"/>
      <c r="D63" s="188"/>
      <c r="E63" s="186"/>
      <c r="F63" s="247">
        <f t="shared" si="0"/>
        <v>0</v>
      </c>
      <c r="G63" s="247" t="str">
        <f>IF(IFERROR(IF(Str_TypeDonneesCpt7=Cpt_Index,Tab_Compteur_7[[#This Row],[Index]]-E62,Tab_Compteur_7[[#This Row],[Quantité]])/Tab_Compteur_7[[#This Row],[Delta Jour]],"")&lt;0,"",IFERROR(IF(Str_TypeDonneesCpt7=Cpt_Index,Tab_Compteur_7[[#This Row],[Index]]-E62,Tab_Compteur_7[[#This Row],[Quantité]])/Tab_Compteur_7[[#This Row],[Delta Jour]],""))</f>
        <v/>
      </c>
      <c r="H63" s="247" t="str">
        <f>IFERROR(Tab_Compteur_7[[#This Row],[Montant]]/Tab_Compteur_7[[#This Row],[Delta Jour]],"")</f>
        <v/>
      </c>
      <c r="I63" s="208" t="str">
        <f t="shared" si="1"/>
        <v/>
      </c>
      <c r="J63" s="209"/>
      <c r="K63" s="38"/>
      <c r="L63" s="38"/>
      <c r="M63" s="38"/>
    </row>
    <row r="64" spans="1:13">
      <c r="A64" s="3">
        <f t="shared" si="2"/>
        <v>1</v>
      </c>
      <c r="B64" s="231"/>
      <c r="C64" s="187"/>
      <c r="D64" s="188"/>
      <c r="E64" s="186"/>
      <c r="F64" s="247">
        <f t="shared" si="0"/>
        <v>0</v>
      </c>
      <c r="G64" s="247" t="str">
        <f>IF(IFERROR(IF(Str_TypeDonneesCpt7=Cpt_Index,Tab_Compteur_7[[#This Row],[Index]]-E63,Tab_Compteur_7[[#This Row],[Quantité]])/Tab_Compteur_7[[#This Row],[Delta Jour]],"")&lt;0,"",IFERROR(IF(Str_TypeDonneesCpt7=Cpt_Index,Tab_Compteur_7[[#This Row],[Index]]-E63,Tab_Compteur_7[[#This Row],[Quantité]])/Tab_Compteur_7[[#This Row],[Delta Jour]],""))</f>
        <v/>
      </c>
      <c r="H64" s="247" t="str">
        <f>IFERROR(Tab_Compteur_7[[#This Row],[Montant]]/Tab_Compteur_7[[#This Row],[Delta Jour]],"")</f>
        <v/>
      </c>
      <c r="I64" s="208" t="str">
        <f t="shared" si="1"/>
        <v/>
      </c>
      <c r="J64" s="209"/>
      <c r="K64" s="38"/>
      <c r="L64" s="38"/>
      <c r="M64" s="38"/>
    </row>
    <row r="65" spans="1:13">
      <c r="A65" s="3">
        <f t="shared" si="2"/>
        <v>1</v>
      </c>
      <c r="B65" s="231"/>
      <c r="C65" s="187"/>
      <c r="D65" s="188"/>
      <c r="E65" s="186"/>
      <c r="F65" s="247">
        <f t="shared" si="0"/>
        <v>0</v>
      </c>
      <c r="G65" s="247" t="str">
        <f>IF(IFERROR(IF(Str_TypeDonneesCpt7=Cpt_Index,Tab_Compteur_7[[#This Row],[Index]]-E64,Tab_Compteur_7[[#This Row],[Quantité]])/Tab_Compteur_7[[#This Row],[Delta Jour]],"")&lt;0,"",IFERROR(IF(Str_TypeDonneesCpt7=Cpt_Index,Tab_Compteur_7[[#This Row],[Index]]-E64,Tab_Compteur_7[[#This Row],[Quantité]])/Tab_Compteur_7[[#This Row],[Delta Jour]],""))</f>
        <v/>
      </c>
      <c r="H65" s="247" t="str">
        <f>IFERROR(Tab_Compteur_7[[#This Row],[Montant]]/Tab_Compteur_7[[#This Row],[Delta Jour]],"")</f>
        <v/>
      </c>
      <c r="I65" s="208" t="str">
        <f t="shared" si="1"/>
        <v/>
      </c>
      <c r="J65" s="209"/>
      <c r="K65" s="38"/>
      <c r="L65" s="38"/>
      <c r="M65" s="38"/>
    </row>
    <row r="66" spans="1:13">
      <c r="A66" s="3">
        <f t="shared" si="2"/>
        <v>1</v>
      </c>
      <c r="B66" s="231"/>
      <c r="C66" s="187"/>
      <c r="D66" s="188"/>
      <c r="E66" s="186"/>
      <c r="F66" s="247">
        <f t="shared" si="0"/>
        <v>0</v>
      </c>
      <c r="G66" s="247" t="str">
        <f>IF(IFERROR(IF(Str_TypeDonneesCpt7=Cpt_Index,Tab_Compteur_7[[#This Row],[Index]]-E65,Tab_Compteur_7[[#This Row],[Quantité]])/Tab_Compteur_7[[#This Row],[Delta Jour]],"")&lt;0,"",IFERROR(IF(Str_TypeDonneesCpt7=Cpt_Index,Tab_Compteur_7[[#This Row],[Index]]-E65,Tab_Compteur_7[[#This Row],[Quantité]])/Tab_Compteur_7[[#This Row],[Delta Jour]],""))</f>
        <v/>
      </c>
      <c r="H66" s="247" t="str">
        <f>IFERROR(Tab_Compteur_7[[#This Row],[Montant]]/Tab_Compteur_7[[#This Row],[Delta Jour]],"")</f>
        <v/>
      </c>
      <c r="I66" s="208" t="str">
        <f t="shared" si="1"/>
        <v/>
      </c>
      <c r="J66" s="209"/>
      <c r="K66" s="38"/>
      <c r="L66" s="38"/>
      <c r="M66" s="38"/>
    </row>
    <row r="67" spans="1:13">
      <c r="A67" s="3">
        <f t="shared" si="2"/>
        <v>1</v>
      </c>
      <c r="B67" s="231"/>
      <c r="C67" s="187"/>
      <c r="D67" s="188"/>
      <c r="E67" s="186"/>
      <c r="F67" s="247">
        <f t="shared" ref="F67:F130" si="3">IFERROR(B67-A67+1,"")</f>
        <v>0</v>
      </c>
      <c r="G67" s="247" t="str">
        <f>IF(IFERROR(IF(Str_TypeDonneesCpt7=Cpt_Index,Tab_Compteur_7[[#This Row],[Index]]-E66,Tab_Compteur_7[[#This Row],[Quantité]])/Tab_Compteur_7[[#This Row],[Delta Jour]],"")&lt;0,"",IFERROR(IF(Str_TypeDonneesCpt7=Cpt_Index,Tab_Compteur_7[[#This Row],[Index]]-E66,Tab_Compteur_7[[#This Row],[Quantité]])/Tab_Compteur_7[[#This Row],[Delta Jour]],""))</f>
        <v/>
      </c>
      <c r="H67" s="247" t="str">
        <f>IFERROR(Tab_Compteur_7[[#This Row],[Montant]]/Tab_Compteur_7[[#This Row],[Delta Jour]],"")</f>
        <v/>
      </c>
      <c r="I67" s="208" t="str">
        <f t="shared" ref="I67:I130" si="4">G67</f>
        <v/>
      </c>
      <c r="J67" s="209"/>
      <c r="K67" s="38"/>
      <c r="L67" s="38"/>
      <c r="M67" s="38"/>
    </row>
    <row r="68" spans="1:13">
      <c r="A68" s="3">
        <f t="shared" si="2"/>
        <v>1</v>
      </c>
      <c r="B68" s="231"/>
      <c r="C68" s="187"/>
      <c r="D68" s="188"/>
      <c r="E68" s="186"/>
      <c r="F68" s="247">
        <f t="shared" si="3"/>
        <v>0</v>
      </c>
      <c r="G68" s="247" t="str">
        <f>IF(IFERROR(IF(Str_TypeDonneesCpt7=Cpt_Index,Tab_Compteur_7[[#This Row],[Index]]-E67,Tab_Compteur_7[[#This Row],[Quantité]])/Tab_Compteur_7[[#This Row],[Delta Jour]],"")&lt;0,"",IFERROR(IF(Str_TypeDonneesCpt7=Cpt_Index,Tab_Compteur_7[[#This Row],[Index]]-E67,Tab_Compteur_7[[#This Row],[Quantité]])/Tab_Compteur_7[[#This Row],[Delta Jour]],""))</f>
        <v/>
      </c>
      <c r="H68" s="247" t="str">
        <f>IFERROR(Tab_Compteur_7[[#This Row],[Montant]]/Tab_Compteur_7[[#This Row],[Delta Jour]],"")</f>
        <v/>
      </c>
      <c r="I68" s="208" t="str">
        <f t="shared" si="4"/>
        <v/>
      </c>
      <c r="J68" s="209"/>
      <c r="K68" s="38"/>
      <c r="L68" s="38"/>
      <c r="M68" s="38"/>
    </row>
    <row r="69" spans="1:13">
      <c r="A69" s="3">
        <f t="shared" si="2"/>
        <v>1</v>
      </c>
      <c r="B69" s="231"/>
      <c r="C69" s="187"/>
      <c r="D69" s="188"/>
      <c r="E69" s="186"/>
      <c r="F69" s="247">
        <f t="shared" si="3"/>
        <v>0</v>
      </c>
      <c r="G69" s="247" t="str">
        <f>IF(IFERROR(IF(Str_TypeDonneesCpt7=Cpt_Index,Tab_Compteur_7[[#This Row],[Index]]-E68,Tab_Compteur_7[[#This Row],[Quantité]])/Tab_Compteur_7[[#This Row],[Delta Jour]],"")&lt;0,"",IFERROR(IF(Str_TypeDonneesCpt7=Cpt_Index,Tab_Compteur_7[[#This Row],[Index]]-E68,Tab_Compteur_7[[#This Row],[Quantité]])/Tab_Compteur_7[[#This Row],[Delta Jour]],""))</f>
        <v/>
      </c>
      <c r="H69" s="247" t="str">
        <f>IFERROR(Tab_Compteur_7[[#This Row],[Montant]]/Tab_Compteur_7[[#This Row],[Delta Jour]],"")</f>
        <v/>
      </c>
      <c r="I69" s="208" t="str">
        <f t="shared" si="4"/>
        <v/>
      </c>
      <c r="J69" s="209"/>
      <c r="K69" s="38"/>
      <c r="L69" s="38"/>
      <c r="M69" s="38"/>
    </row>
    <row r="70" spans="1:13">
      <c r="A70" s="3">
        <f t="shared" ref="A70:A133" si="5">IFERROR(B69+1,0)</f>
        <v>1</v>
      </c>
      <c r="B70" s="231"/>
      <c r="C70" s="187"/>
      <c r="D70" s="188"/>
      <c r="E70" s="186"/>
      <c r="F70" s="247">
        <f t="shared" si="3"/>
        <v>0</v>
      </c>
      <c r="G70" s="247" t="str">
        <f>IF(IFERROR(IF(Str_TypeDonneesCpt7=Cpt_Index,Tab_Compteur_7[[#This Row],[Index]]-E69,Tab_Compteur_7[[#This Row],[Quantité]])/Tab_Compteur_7[[#This Row],[Delta Jour]],"")&lt;0,"",IFERROR(IF(Str_TypeDonneesCpt7=Cpt_Index,Tab_Compteur_7[[#This Row],[Index]]-E69,Tab_Compteur_7[[#This Row],[Quantité]])/Tab_Compteur_7[[#This Row],[Delta Jour]],""))</f>
        <v/>
      </c>
      <c r="H70" s="247" t="str">
        <f>IFERROR(Tab_Compteur_7[[#This Row],[Montant]]/Tab_Compteur_7[[#This Row],[Delta Jour]],"")</f>
        <v/>
      </c>
      <c r="I70" s="208" t="str">
        <f t="shared" si="4"/>
        <v/>
      </c>
      <c r="J70" s="209"/>
      <c r="K70" s="38"/>
      <c r="L70" s="38"/>
      <c r="M70" s="38"/>
    </row>
    <row r="71" spans="1:13">
      <c r="A71" s="3">
        <f t="shared" si="5"/>
        <v>1</v>
      </c>
      <c r="B71" s="231"/>
      <c r="C71" s="187"/>
      <c r="D71" s="188"/>
      <c r="E71" s="186"/>
      <c r="F71" s="247">
        <f t="shared" si="3"/>
        <v>0</v>
      </c>
      <c r="G71" s="247" t="str">
        <f>IF(IFERROR(IF(Str_TypeDonneesCpt7=Cpt_Index,Tab_Compteur_7[[#This Row],[Index]]-E70,Tab_Compteur_7[[#This Row],[Quantité]])/Tab_Compteur_7[[#This Row],[Delta Jour]],"")&lt;0,"",IFERROR(IF(Str_TypeDonneesCpt7=Cpt_Index,Tab_Compteur_7[[#This Row],[Index]]-E70,Tab_Compteur_7[[#This Row],[Quantité]])/Tab_Compteur_7[[#This Row],[Delta Jour]],""))</f>
        <v/>
      </c>
      <c r="H71" s="247" t="str">
        <f>IFERROR(Tab_Compteur_7[[#This Row],[Montant]]/Tab_Compteur_7[[#This Row],[Delta Jour]],"")</f>
        <v/>
      </c>
      <c r="I71" s="208" t="str">
        <f t="shared" si="4"/>
        <v/>
      </c>
      <c r="J71" s="209"/>
      <c r="K71" s="38"/>
      <c r="L71" s="38"/>
      <c r="M71" s="38"/>
    </row>
    <row r="72" spans="1:13">
      <c r="A72" s="3">
        <f t="shared" si="5"/>
        <v>1</v>
      </c>
      <c r="B72" s="231"/>
      <c r="C72" s="187"/>
      <c r="D72" s="188"/>
      <c r="E72" s="186"/>
      <c r="F72" s="247">
        <f t="shared" si="3"/>
        <v>0</v>
      </c>
      <c r="G72" s="247" t="str">
        <f>IF(IFERROR(IF(Str_TypeDonneesCpt7=Cpt_Index,Tab_Compteur_7[[#This Row],[Index]]-E71,Tab_Compteur_7[[#This Row],[Quantité]])/Tab_Compteur_7[[#This Row],[Delta Jour]],"")&lt;0,"",IFERROR(IF(Str_TypeDonneesCpt7=Cpt_Index,Tab_Compteur_7[[#This Row],[Index]]-E71,Tab_Compteur_7[[#This Row],[Quantité]])/Tab_Compteur_7[[#This Row],[Delta Jour]],""))</f>
        <v/>
      </c>
      <c r="H72" s="247" t="str">
        <f>IFERROR(Tab_Compteur_7[[#This Row],[Montant]]/Tab_Compteur_7[[#This Row],[Delta Jour]],"")</f>
        <v/>
      </c>
      <c r="I72" s="208" t="str">
        <f t="shared" si="4"/>
        <v/>
      </c>
      <c r="J72" s="209"/>
      <c r="K72" s="38"/>
      <c r="L72" s="38"/>
      <c r="M72" s="38"/>
    </row>
    <row r="73" spans="1:13">
      <c r="A73" s="3">
        <f t="shared" si="5"/>
        <v>1</v>
      </c>
      <c r="B73" s="231"/>
      <c r="C73" s="187"/>
      <c r="D73" s="188"/>
      <c r="E73" s="186"/>
      <c r="F73" s="247">
        <f t="shared" si="3"/>
        <v>0</v>
      </c>
      <c r="G73" s="247" t="str">
        <f>IF(IFERROR(IF(Str_TypeDonneesCpt7=Cpt_Index,Tab_Compteur_7[[#This Row],[Index]]-E72,Tab_Compteur_7[[#This Row],[Quantité]])/Tab_Compteur_7[[#This Row],[Delta Jour]],"")&lt;0,"",IFERROR(IF(Str_TypeDonneesCpt7=Cpt_Index,Tab_Compteur_7[[#This Row],[Index]]-E72,Tab_Compteur_7[[#This Row],[Quantité]])/Tab_Compteur_7[[#This Row],[Delta Jour]],""))</f>
        <v/>
      </c>
      <c r="H73" s="247" t="str">
        <f>IFERROR(Tab_Compteur_7[[#This Row],[Montant]]/Tab_Compteur_7[[#This Row],[Delta Jour]],"")</f>
        <v/>
      </c>
      <c r="I73" s="208" t="str">
        <f t="shared" si="4"/>
        <v/>
      </c>
      <c r="J73" s="209"/>
      <c r="K73" s="38"/>
      <c r="L73" s="38"/>
      <c r="M73" s="38"/>
    </row>
    <row r="74" spans="1:13">
      <c r="A74" s="3">
        <f t="shared" si="5"/>
        <v>1</v>
      </c>
      <c r="B74" s="231"/>
      <c r="C74" s="187"/>
      <c r="D74" s="188"/>
      <c r="E74" s="186"/>
      <c r="F74" s="247">
        <f t="shared" si="3"/>
        <v>0</v>
      </c>
      <c r="G74" s="247" t="str">
        <f>IF(IFERROR(IF(Str_TypeDonneesCpt7=Cpt_Index,Tab_Compteur_7[[#This Row],[Index]]-E73,Tab_Compteur_7[[#This Row],[Quantité]])/Tab_Compteur_7[[#This Row],[Delta Jour]],"")&lt;0,"",IFERROR(IF(Str_TypeDonneesCpt7=Cpt_Index,Tab_Compteur_7[[#This Row],[Index]]-E73,Tab_Compteur_7[[#This Row],[Quantité]])/Tab_Compteur_7[[#This Row],[Delta Jour]],""))</f>
        <v/>
      </c>
      <c r="H74" s="247" t="str">
        <f>IFERROR(Tab_Compteur_7[[#This Row],[Montant]]/Tab_Compteur_7[[#This Row],[Delta Jour]],"")</f>
        <v/>
      </c>
      <c r="I74" s="208" t="str">
        <f t="shared" si="4"/>
        <v/>
      </c>
      <c r="J74" s="209"/>
      <c r="K74" s="38"/>
      <c r="L74" s="38"/>
      <c r="M74" s="38"/>
    </row>
    <row r="75" spans="1:13">
      <c r="A75" s="3">
        <f t="shared" si="5"/>
        <v>1</v>
      </c>
      <c r="B75" s="231"/>
      <c r="C75" s="187"/>
      <c r="D75" s="188"/>
      <c r="E75" s="186"/>
      <c r="F75" s="247">
        <f t="shared" si="3"/>
        <v>0</v>
      </c>
      <c r="G75" s="247" t="str">
        <f>IF(IFERROR(IF(Str_TypeDonneesCpt7=Cpt_Index,Tab_Compteur_7[[#This Row],[Index]]-E74,Tab_Compteur_7[[#This Row],[Quantité]])/Tab_Compteur_7[[#This Row],[Delta Jour]],"")&lt;0,"",IFERROR(IF(Str_TypeDonneesCpt7=Cpt_Index,Tab_Compteur_7[[#This Row],[Index]]-E74,Tab_Compteur_7[[#This Row],[Quantité]])/Tab_Compteur_7[[#This Row],[Delta Jour]],""))</f>
        <v/>
      </c>
      <c r="H75" s="247" t="str">
        <f>IFERROR(Tab_Compteur_7[[#This Row],[Montant]]/Tab_Compteur_7[[#This Row],[Delta Jour]],"")</f>
        <v/>
      </c>
      <c r="I75" s="208" t="str">
        <f t="shared" si="4"/>
        <v/>
      </c>
      <c r="J75" s="209"/>
      <c r="K75" s="38"/>
      <c r="L75" s="38"/>
      <c r="M75" s="38"/>
    </row>
    <row r="76" spans="1:13">
      <c r="A76" s="3">
        <f t="shared" si="5"/>
        <v>1</v>
      </c>
      <c r="B76" s="231"/>
      <c r="C76" s="187"/>
      <c r="D76" s="188"/>
      <c r="E76" s="186"/>
      <c r="F76" s="247">
        <f t="shared" si="3"/>
        <v>0</v>
      </c>
      <c r="G76" s="247" t="str">
        <f>IF(IFERROR(IF(Str_TypeDonneesCpt7=Cpt_Index,Tab_Compteur_7[[#This Row],[Index]]-E75,Tab_Compteur_7[[#This Row],[Quantité]])/Tab_Compteur_7[[#This Row],[Delta Jour]],"")&lt;0,"",IFERROR(IF(Str_TypeDonneesCpt7=Cpt_Index,Tab_Compteur_7[[#This Row],[Index]]-E75,Tab_Compteur_7[[#This Row],[Quantité]])/Tab_Compteur_7[[#This Row],[Delta Jour]],""))</f>
        <v/>
      </c>
      <c r="H76" s="247" t="str">
        <f>IFERROR(Tab_Compteur_7[[#This Row],[Montant]]/Tab_Compteur_7[[#This Row],[Delta Jour]],"")</f>
        <v/>
      </c>
      <c r="I76" s="208" t="str">
        <f t="shared" si="4"/>
        <v/>
      </c>
      <c r="J76" s="209"/>
      <c r="K76" s="38"/>
      <c r="L76" s="38"/>
      <c r="M76" s="38"/>
    </row>
    <row r="77" spans="1:13">
      <c r="A77" s="3">
        <f t="shared" si="5"/>
        <v>1</v>
      </c>
      <c r="B77" s="231"/>
      <c r="C77" s="187"/>
      <c r="D77" s="188"/>
      <c r="E77" s="186"/>
      <c r="F77" s="247">
        <f t="shared" si="3"/>
        <v>0</v>
      </c>
      <c r="G77" s="247" t="str">
        <f>IF(IFERROR(IF(Str_TypeDonneesCpt7=Cpt_Index,Tab_Compteur_7[[#This Row],[Index]]-E76,Tab_Compteur_7[[#This Row],[Quantité]])/Tab_Compteur_7[[#This Row],[Delta Jour]],"")&lt;0,"",IFERROR(IF(Str_TypeDonneesCpt7=Cpt_Index,Tab_Compteur_7[[#This Row],[Index]]-E76,Tab_Compteur_7[[#This Row],[Quantité]])/Tab_Compteur_7[[#This Row],[Delta Jour]],""))</f>
        <v/>
      </c>
      <c r="H77" s="247" t="str">
        <f>IFERROR(Tab_Compteur_7[[#This Row],[Montant]]/Tab_Compteur_7[[#This Row],[Delta Jour]],"")</f>
        <v/>
      </c>
      <c r="I77" s="208" t="str">
        <f t="shared" si="4"/>
        <v/>
      </c>
      <c r="J77" s="209"/>
      <c r="K77" s="38"/>
      <c r="L77" s="38"/>
      <c r="M77" s="38"/>
    </row>
    <row r="78" spans="1:13">
      <c r="A78" s="3">
        <f t="shared" si="5"/>
        <v>1</v>
      </c>
      <c r="B78" s="231"/>
      <c r="C78" s="187"/>
      <c r="D78" s="188"/>
      <c r="E78" s="186"/>
      <c r="F78" s="247">
        <f t="shared" si="3"/>
        <v>0</v>
      </c>
      <c r="G78" s="247" t="str">
        <f>IF(IFERROR(IF(Str_TypeDonneesCpt7=Cpt_Index,Tab_Compteur_7[[#This Row],[Index]]-E77,Tab_Compteur_7[[#This Row],[Quantité]])/Tab_Compteur_7[[#This Row],[Delta Jour]],"")&lt;0,"",IFERROR(IF(Str_TypeDonneesCpt7=Cpt_Index,Tab_Compteur_7[[#This Row],[Index]]-E77,Tab_Compteur_7[[#This Row],[Quantité]])/Tab_Compteur_7[[#This Row],[Delta Jour]],""))</f>
        <v/>
      </c>
      <c r="H78" s="247" t="str">
        <f>IFERROR(Tab_Compteur_7[[#This Row],[Montant]]/Tab_Compteur_7[[#This Row],[Delta Jour]],"")</f>
        <v/>
      </c>
      <c r="I78" s="208" t="str">
        <f t="shared" si="4"/>
        <v/>
      </c>
      <c r="J78" s="209"/>
      <c r="K78" s="38"/>
      <c r="L78" s="38"/>
      <c r="M78" s="38"/>
    </row>
    <row r="79" spans="1:13">
      <c r="A79" s="3">
        <f t="shared" si="5"/>
        <v>1</v>
      </c>
      <c r="B79" s="231"/>
      <c r="C79" s="187"/>
      <c r="D79" s="188"/>
      <c r="E79" s="186"/>
      <c r="F79" s="247">
        <f t="shared" si="3"/>
        <v>0</v>
      </c>
      <c r="G79" s="247" t="str">
        <f>IF(IFERROR(IF(Str_TypeDonneesCpt7=Cpt_Index,Tab_Compteur_7[[#This Row],[Index]]-E78,Tab_Compteur_7[[#This Row],[Quantité]])/Tab_Compteur_7[[#This Row],[Delta Jour]],"")&lt;0,"",IFERROR(IF(Str_TypeDonneesCpt7=Cpt_Index,Tab_Compteur_7[[#This Row],[Index]]-E78,Tab_Compteur_7[[#This Row],[Quantité]])/Tab_Compteur_7[[#This Row],[Delta Jour]],""))</f>
        <v/>
      </c>
      <c r="H79" s="247" t="str">
        <f>IFERROR(Tab_Compteur_7[[#This Row],[Montant]]/Tab_Compteur_7[[#This Row],[Delta Jour]],"")</f>
        <v/>
      </c>
      <c r="I79" s="208" t="str">
        <f t="shared" si="4"/>
        <v/>
      </c>
      <c r="J79" s="209"/>
      <c r="K79" s="38"/>
      <c r="L79" s="38"/>
      <c r="M79" s="38"/>
    </row>
    <row r="80" spans="1:13">
      <c r="A80" s="3">
        <f t="shared" si="5"/>
        <v>1</v>
      </c>
      <c r="B80" s="231"/>
      <c r="C80" s="187"/>
      <c r="D80" s="188"/>
      <c r="E80" s="186"/>
      <c r="F80" s="247">
        <f t="shared" si="3"/>
        <v>0</v>
      </c>
      <c r="G80" s="247" t="str">
        <f>IF(IFERROR(IF(Str_TypeDonneesCpt7=Cpt_Index,Tab_Compteur_7[[#This Row],[Index]]-E79,Tab_Compteur_7[[#This Row],[Quantité]])/Tab_Compteur_7[[#This Row],[Delta Jour]],"")&lt;0,"",IFERROR(IF(Str_TypeDonneesCpt7=Cpt_Index,Tab_Compteur_7[[#This Row],[Index]]-E79,Tab_Compteur_7[[#This Row],[Quantité]])/Tab_Compteur_7[[#This Row],[Delta Jour]],""))</f>
        <v/>
      </c>
      <c r="H80" s="247" t="str">
        <f>IFERROR(Tab_Compteur_7[[#This Row],[Montant]]/Tab_Compteur_7[[#This Row],[Delta Jour]],"")</f>
        <v/>
      </c>
      <c r="I80" s="208" t="str">
        <f t="shared" si="4"/>
        <v/>
      </c>
      <c r="J80" s="209"/>
      <c r="K80" s="38"/>
      <c r="L80" s="38"/>
      <c r="M80" s="38"/>
    </row>
    <row r="81" spans="1:13">
      <c r="A81" s="3">
        <f t="shared" si="5"/>
        <v>1</v>
      </c>
      <c r="B81" s="231"/>
      <c r="C81" s="187"/>
      <c r="D81" s="188"/>
      <c r="E81" s="186"/>
      <c r="F81" s="247">
        <f t="shared" si="3"/>
        <v>0</v>
      </c>
      <c r="G81" s="247" t="str">
        <f>IF(IFERROR(IF(Str_TypeDonneesCpt7=Cpt_Index,Tab_Compteur_7[[#This Row],[Index]]-E80,Tab_Compteur_7[[#This Row],[Quantité]])/Tab_Compteur_7[[#This Row],[Delta Jour]],"")&lt;0,"",IFERROR(IF(Str_TypeDonneesCpt7=Cpt_Index,Tab_Compteur_7[[#This Row],[Index]]-E80,Tab_Compteur_7[[#This Row],[Quantité]])/Tab_Compteur_7[[#This Row],[Delta Jour]],""))</f>
        <v/>
      </c>
      <c r="H81" s="247" t="str">
        <f>IFERROR(Tab_Compteur_7[[#This Row],[Montant]]/Tab_Compteur_7[[#This Row],[Delta Jour]],"")</f>
        <v/>
      </c>
      <c r="I81" s="208" t="str">
        <f t="shared" si="4"/>
        <v/>
      </c>
      <c r="J81" s="209"/>
      <c r="K81" s="38"/>
      <c r="L81" s="38"/>
      <c r="M81" s="38"/>
    </row>
    <row r="82" spans="1:13">
      <c r="A82" s="3">
        <f t="shared" si="5"/>
        <v>1</v>
      </c>
      <c r="B82" s="231"/>
      <c r="C82" s="187"/>
      <c r="D82" s="188"/>
      <c r="E82" s="186"/>
      <c r="F82" s="247">
        <f t="shared" si="3"/>
        <v>0</v>
      </c>
      <c r="G82" s="247" t="str">
        <f>IF(IFERROR(IF(Str_TypeDonneesCpt7=Cpt_Index,Tab_Compteur_7[[#This Row],[Index]]-E81,Tab_Compteur_7[[#This Row],[Quantité]])/Tab_Compteur_7[[#This Row],[Delta Jour]],"")&lt;0,"",IFERROR(IF(Str_TypeDonneesCpt7=Cpt_Index,Tab_Compteur_7[[#This Row],[Index]]-E81,Tab_Compteur_7[[#This Row],[Quantité]])/Tab_Compteur_7[[#This Row],[Delta Jour]],""))</f>
        <v/>
      </c>
      <c r="H82" s="247" t="str">
        <f>IFERROR(Tab_Compteur_7[[#This Row],[Montant]]/Tab_Compteur_7[[#This Row],[Delta Jour]],"")</f>
        <v/>
      </c>
      <c r="I82" s="208" t="str">
        <f t="shared" si="4"/>
        <v/>
      </c>
      <c r="J82" s="209"/>
      <c r="K82" s="38"/>
      <c r="L82" s="38"/>
      <c r="M82" s="38"/>
    </row>
    <row r="83" spans="1:13">
      <c r="A83" s="3">
        <f t="shared" si="5"/>
        <v>1</v>
      </c>
      <c r="B83" s="231"/>
      <c r="C83" s="187"/>
      <c r="D83" s="188"/>
      <c r="E83" s="186"/>
      <c r="F83" s="247">
        <f t="shared" si="3"/>
        <v>0</v>
      </c>
      <c r="G83" s="247" t="str">
        <f>IF(IFERROR(IF(Str_TypeDonneesCpt7=Cpt_Index,Tab_Compteur_7[[#This Row],[Index]]-E82,Tab_Compteur_7[[#This Row],[Quantité]])/Tab_Compteur_7[[#This Row],[Delta Jour]],"")&lt;0,"",IFERROR(IF(Str_TypeDonneesCpt7=Cpt_Index,Tab_Compteur_7[[#This Row],[Index]]-E82,Tab_Compteur_7[[#This Row],[Quantité]])/Tab_Compteur_7[[#This Row],[Delta Jour]],""))</f>
        <v/>
      </c>
      <c r="H83" s="247" t="str">
        <f>IFERROR(Tab_Compteur_7[[#This Row],[Montant]]/Tab_Compteur_7[[#This Row],[Delta Jour]],"")</f>
        <v/>
      </c>
      <c r="I83" s="208" t="str">
        <f t="shared" si="4"/>
        <v/>
      </c>
      <c r="J83" s="209"/>
      <c r="K83" s="38"/>
      <c r="L83" s="38"/>
      <c r="M83" s="38"/>
    </row>
    <row r="84" spans="1:13">
      <c r="A84" s="3">
        <f t="shared" si="5"/>
        <v>1</v>
      </c>
      <c r="B84" s="231"/>
      <c r="C84" s="187"/>
      <c r="D84" s="188"/>
      <c r="E84" s="186"/>
      <c r="F84" s="247">
        <f t="shared" si="3"/>
        <v>0</v>
      </c>
      <c r="G84" s="247" t="str">
        <f>IF(IFERROR(IF(Str_TypeDonneesCpt7=Cpt_Index,Tab_Compteur_7[[#This Row],[Index]]-E83,Tab_Compteur_7[[#This Row],[Quantité]])/Tab_Compteur_7[[#This Row],[Delta Jour]],"")&lt;0,"",IFERROR(IF(Str_TypeDonneesCpt7=Cpt_Index,Tab_Compteur_7[[#This Row],[Index]]-E83,Tab_Compteur_7[[#This Row],[Quantité]])/Tab_Compteur_7[[#This Row],[Delta Jour]],""))</f>
        <v/>
      </c>
      <c r="H84" s="247" t="str">
        <f>IFERROR(Tab_Compteur_7[[#This Row],[Montant]]/Tab_Compteur_7[[#This Row],[Delta Jour]],"")</f>
        <v/>
      </c>
      <c r="I84" s="208" t="str">
        <f t="shared" si="4"/>
        <v/>
      </c>
      <c r="J84" s="209"/>
      <c r="K84" s="38"/>
      <c r="L84" s="38"/>
      <c r="M84" s="38"/>
    </row>
    <row r="85" spans="1:13">
      <c r="A85" s="3">
        <f t="shared" si="5"/>
        <v>1</v>
      </c>
      <c r="B85" s="231"/>
      <c r="C85" s="187"/>
      <c r="D85" s="188"/>
      <c r="E85" s="186"/>
      <c r="F85" s="247">
        <f t="shared" si="3"/>
        <v>0</v>
      </c>
      <c r="G85" s="247" t="str">
        <f>IF(IFERROR(IF(Str_TypeDonneesCpt7=Cpt_Index,Tab_Compteur_7[[#This Row],[Index]]-E84,Tab_Compteur_7[[#This Row],[Quantité]])/Tab_Compteur_7[[#This Row],[Delta Jour]],"")&lt;0,"",IFERROR(IF(Str_TypeDonneesCpt7=Cpt_Index,Tab_Compteur_7[[#This Row],[Index]]-E84,Tab_Compteur_7[[#This Row],[Quantité]])/Tab_Compteur_7[[#This Row],[Delta Jour]],""))</f>
        <v/>
      </c>
      <c r="H85" s="247" t="str">
        <f>IFERROR(Tab_Compteur_7[[#This Row],[Montant]]/Tab_Compteur_7[[#This Row],[Delta Jour]],"")</f>
        <v/>
      </c>
      <c r="I85" s="208" t="str">
        <f t="shared" si="4"/>
        <v/>
      </c>
      <c r="J85" s="209"/>
      <c r="K85" s="38"/>
      <c r="L85" s="38"/>
      <c r="M85" s="38"/>
    </row>
    <row r="86" spans="1:13">
      <c r="A86" s="3">
        <f t="shared" si="5"/>
        <v>1</v>
      </c>
      <c r="B86" s="231"/>
      <c r="C86" s="187"/>
      <c r="D86" s="188"/>
      <c r="E86" s="186"/>
      <c r="F86" s="247">
        <f t="shared" si="3"/>
        <v>0</v>
      </c>
      <c r="G86" s="247" t="str">
        <f>IF(IFERROR(IF(Str_TypeDonneesCpt7=Cpt_Index,Tab_Compteur_7[[#This Row],[Index]]-E85,Tab_Compteur_7[[#This Row],[Quantité]])/Tab_Compteur_7[[#This Row],[Delta Jour]],"")&lt;0,"",IFERROR(IF(Str_TypeDonneesCpt7=Cpt_Index,Tab_Compteur_7[[#This Row],[Index]]-E85,Tab_Compteur_7[[#This Row],[Quantité]])/Tab_Compteur_7[[#This Row],[Delta Jour]],""))</f>
        <v/>
      </c>
      <c r="H86" s="247" t="str">
        <f>IFERROR(Tab_Compteur_7[[#This Row],[Montant]]/Tab_Compteur_7[[#This Row],[Delta Jour]],"")</f>
        <v/>
      </c>
      <c r="I86" s="208" t="str">
        <f t="shared" si="4"/>
        <v/>
      </c>
      <c r="J86" s="209"/>
      <c r="K86" s="38"/>
      <c r="L86" s="38"/>
      <c r="M86" s="38"/>
    </row>
    <row r="87" spans="1:13">
      <c r="A87" s="3">
        <f t="shared" si="5"/>
        <v>1</v>
      </c>
      <c r="B87" s="231"/>
      <c r="C87" s="187"/>
      <c r="D87" s="188"/>
      <c r="E87" s="186"/>
      <c r="F87" s="247">
        <f t="shared" si="3"/>
        <v>0</v>
      </c>
      <c r="G87" s="247" t="str">
        <f>IF(IFERROR(IF(Str_TypeDonneesCpt7=Cpt_Index,Tab_Compteur_7[[#This Row],[Index]]-E86,Tab_Compteur_7[[#This Row],[Quantité]])/Tab_Compteur_7[[#This Row],[Delta Jour]],"")&lt;0,"",IFERROR(IF(Str_TypeDonneesCpt7=Cpt_Index,Tab_Compteur_7[[#This Row],[Index]]-E86,Tab_Compteur_7[[#This Row],[Quantité]])/Tab_Compteur_7[[#This Row],[Delta Jour]],""))</f>
        <v/>
      </c>
      <c r="H87" s="247" t="str">
        <f>IFERROR(Tab_Compteur_7[[#This Row],[Montant]]/Tab_Compteur_7[[#This Row],[Delta Jour]],"")</f>
        <v/>
      </c>
      <c r="I87" s="208" t="str">
        <f t="shared" si="4"/>
        <v/>
      </c>
      <c r="J87" s="209"/>
      <c r="K87" s="38"/>
      <c r="L87" s="38"/>
      <c r="M87" s="38"/>
    </row>
    <row r="88" spans="1:13">
      <c r="A88" s="3">
        <f t="shared" si="5"/>
        <v>1</v>
      </c>
      <c r="B88" s="231"/>
      <c r="C88" s="187"/>
      <c r="D88" s="188"/>
      <c r="E88" s="186"/>
      <c r="F88" s="247">
        <f t="shared" si="3"/>
        <v>0</v>
      </c>
      <c r="G88" s="247" t="str">
        <f>IF(IFERROR(IF(Str_TypeDonneesCpt7=Cpt_Index,Tab_Compteur_7[[#This Row],[Index]]-E87,Tab_Compteur_7[[#This Row],[Quantité]])/Tab_Compteur_7[[#This Row],[Delta Jour]],"")&lt;0,"",IFERROR(IF(Str_TypeDonneesCpt7=Cpt_Index,Tab_Compteur_7[[#This Row],[Index]]-E87,Tab_Compteur_7[[#This Row],[Quantité]])/Tab_Compteur_7[[#This Row],[Delta Jour]],""))</f>
        <v/>
      </c>
      <c r="H88" s="247" t="str">
        <f>IFERROR(Tab_Compteur_7[[#This Row],[Montant]]/Tab_Compteur_7[[#This Row],[Delta Jour]],"")</f>
        <v/>
      </c>
      <c r="I88" s="208" t="str">
        <f t="shared" si="4"/>
        <v/>
      </c>
      <c r="J88" s="209"/>
      <c r="K88" s="38"/>
      <c r="L88" s="38"/>
      <c r="M88" s="38"/>
    </row>
    <row r="89" spans="1:13">
      <c r="A89" s="3">
        <f t="shared" si="5"/>
        <v>1</v>
      </c>
      <c r="B89" s="231"/>
      <c r="C89" s="187"/>
      <c r="D89" s="188"/>
      <c r="E89" s="186"/>
      <c r="F89" s="247">
        <f t="shared" si="3"/>
        <v>0</v>
      </c>
      <c r="G89" s="247" t="str">
        <f>IF(IFERROR(IF(Str_TypeDonneesCpt7=Cpt_Index,Tab_Compteur_7[[#This Row],[Index]]-E88,Tab_Compteur_7[[#This Row],[Quantité]])/Tab_Compteur_7[[#This Row],[Delta Jour]],"")&lt;0,"",IFERROR(IF(Str_TypeDonneesCpt7=Cpt_Index,Tab_Compteur_7[[#This Row],[Index]]-E88,Tab_Compteur_7[[#This Row],[Quantité]])/Tab_Compteur_7[[#This Row],[Delta Jour]],""))</f>
        <v/>
      </c>
      <c r="H89" s="247" t="str">
        <f>IFERROR(Tab_Compteur_7[[#This Row],[Montant]]/Tab_Compteur_7[[#This Row],[Delta Jour]],"")</f>
        <v/>
      </c>
      <c r="I89" s="208" t="str">
        <f t="shared" si="4"/>
        <v/>
      </c>
      <c r="J89" s="209"/>
      <c r="K89" s="38"/>
      <c r="L89" s="38"/>
      <c r="M89" s="38"/>
    </row>
    <row r="90" spans="1:13">
      <c r="A90" s="3">
        <f t="shared" si="5"/>
        <v>1</v>
      </c>
      <c r="B90" s="231"/>
      <c r="C90" s="187"/>
      <c r="D90" s="188"/>
      <c r="E90" s="186"/>
      <c r="F90" s="247">
        <f t="shared" si="3"/>
        <v>0</v>
      </c>
      <c r="G90" s="247" t="str">
        <f>IF(IFERROR(IF(Str_TypeDonneesCpt7=Cpt_Index,Tab_Compteur_7[[#This Row],[Index]]-E89,Tab_Compteur_7[[#This Row],[Quantité]])/Tab_Compteur_7[[#This Row],[Delta Jour]],"")&lt;0,"",IFERROR(IF(Str_TypeDonneesCpt7=Cpt_Index,Tab_Compteur_7[[#This Row],[Index]]-E89,Tab_Compteur_7[[#This Row],[Quantité]])/Tab_Compteur_7[[#This Row],[Delta Jour]],""))</f>
        <v/>
      </c>
      <c r="H90" s="247" t="str">
        <f>IFERROR(Tab_Compteur_7[[#This Row],[Montant]]/Tab_Compteur_7[[#This Row],[Delta Jour]],"")</f>
        <v/>
      </c>
      <c r="I90" s="208" t="str">
        <f t="shared" si="4"/>
        <v/>
      </c>
      <c r="J90" s="209"/>
      <c r="K90" s="38"/>
      <c r="L90" s="38"/>
      <c r="M90" s="38"/>
    </row>
    <row r="91" spans="1:13">
      <c r="A91" s="3">
        <f t="shared" si="5"/>
        <v>1</v>
      </c>
      <c r="B91" s="231"/>
      <c r="C91" s="187"/>
      <c r="D91" s="188"/>
      <c r="E91" s="186"/>
      <c r="F91" s="247">
        <f t="shared" si="3"/>
        <v>0</v>
      </c>
      <c r="G91" s="247" t="str">
        <f>IF(IFERROR(IF(Str_TypeDonneesCpt7=Cpt_Index,Tab_Compteur_7[[#This Row],[Index]]-E90,Tab_Compteur_7[[#This Row],[Quantité]])/Tab_Compteur_7[[#This Row],[Delta Jour]],"")&lt;0,"",IFERROR(IF(Str_TypeDonneesCpt7=Cpt_Index,Tab_Compteur_7[[#This Row],[Index]]-E90,Tab_Compteur_7[[#This Row],[Quantité]])/Tab_Compteur_7[[#This Row],[Delta Jour]],""))</f>
        <v/>
      </c>
      <c r="H91" s="247" t="str">
        <f>IFERROR(Tab_Compteur_7[[#This Row],[Montant]]/Tab_Compteur_7[[#This Row],[Delta Jour]],"")</f>
        <v/>
      </c>
      <c r="I91" s="208" t="str">
        <f t="shared" si="4"/>
        <v/>
      </c>
      <c r="J91" s="209"/>
      <c r="K91" s="38"/>
      <c r="L91" s="38"/>
      <c r="M91" s="38"/>
    </row>
    <row r="92" spans="1:13">
      <c r="A92" s="3">
        <f t="shared" si="5"/>
        <v>1</v>
      </c>
      <c r="B92" s="231"/>
      <c r="C92" s="187"/>
      <c r="D92" s="188"/>
      <c r="E92" s="186"/>
      <c r="F92" s="247">
        <f t="shared" si="3"/>
        <v>0</v>
      </c>
      <c r="G92" s="247" t="str">
        <f>IF(IFERROR(IF(Str_TypeDonneesCpt7=Cpt_Index,Tab_Compteur_7[[#This Row],[Index]]-E91,Tab_Compteur_7[[#This Row],[Quantité]])/Tab_Compteur_7[[#This Row],[Delta Jour]],"")&lt;0,"",IFERROR(IF(Str_TypeDonneesCpt7=Cpt_Index,Tab_Compteur_7[[#This Row],[Index]]-E91,Tab_Compteur_7[[#This Row],[Quantité]])/Tab_Compteur_7[[#This Row],[Delta Jour]],""))</f>
        <v/>
      </c>
      <c r="H92" s="247" t="str">
        <f>IFERROR(Tab_Compteur_7[[#This Row],[Montant]]/Tab_Compteur_7[[#This Row],[Delta Jour]],"")</f>
        <v/>
      </c>
      <c r="I92" s="208" t="str">
        <f t="shared" si="4"/>
        <v/>
      </c>
      <c r="J92" s="209"/>
      <c r="K92" s="38"/>
      <c r="L92" s="38"/>
      <c r="M92" s="38"/>
    </row>
    <row r="93" spans="1:13">
      <c r="A93" s="3">
        <f t="shared" si="5"/>
        <v>1</v>
      </c>
      <c r="B93" s="231"/>
      <c r="C93" s="187"/>
      <c r="D93" s="188"/>
      <c r="E93" s="186"/>
      <c r="F93" s="247">
        <f t="shared" si="3"/>
        <v>0</v>
      </c>
      <c r="G93" s="247" t="str">
        <f>IF(IFERROR(IF(Str_TypeDonneesCpt7=Cpt_Index,Tab_Compteur_7[[#This Row],[Index]]-E92,Tab_Compteur_7[[#This Row],[Quantité]])/Tab_Compteur_7[[#This Row],[Delta Jour]],"")&lt;0,"",IFERROR(IF(Str_TypeDonneesCpt7=Cpt_Index,Tab_Compteur_7[[#This Row],[Index]]-E92,Tab_Compteur_7[[#This Row],[Quantité]])/Tab_Compteur_7[[#This Row],[Delta Jour]],""))</f>
        <v/>
      </c>
      <c r="H93" s="247" t="str">
        <f>IFERROR(Tab_Compteur_7[[#This Row],[Montant]]/Tab_Compteur_7[[#This Row],[Delta Jour]],"")</f>
        <v/>
      </c>
      <c r="I93" s="208" t="str">
        <f t="shared" si="4"/>
        <v/>
      </c>
      <c r="J93" s="209"/>
      <c r="K93" s="38"/>
      <c r="L93" s="38"/>
      <c r="M93" s="38"/>
    </row>
    <row r="94" spans="1:13">
      <c r="A94" s="3">
        <f t="shared" si="5"/>
        <v>1</v>
      </c>
      <c r="B94" s="231"/>
      <c r="C94" s="187"/>
      <c r="D94" s="188"/>
      <c r="E94" s="186"/>
      <c r="F94" s="247">
        <f t="shared" si="3"/>
        <v>0</v>
      </c>
      <c r="G94" s="247" t="str">
        <f>IF(IFERROR(IF(Str_TypeDonneesCpt7=Cpt_Index,Tab_Compteur_7[[#This Row],[Index]]-E93,Tab_Compteur_7[[#This Row],[Quantité]])/Tab_Compteur_7[[#This Row],[Delta Jour]],"")&lt;0,"",IFERROR(IF(Str_TypeDonneesCpt7=Cpt_Index,Tab_Compteur_7[[#This Row],[Index]]-E93,Tab_Compteur_7[[#This Row],[Quantité]])/Tab_Compteur_7[[#This Row],[Delta Jour]],""))</f>
        <v/>
      </c>
      <c r="H94" s="247" t="str">
        <f>IFERROR(Tab_Compteur_7[[#This Row],[Montant]]/Tab_Compteur_7[[#This Row],[Delta Jour]],"")</f>
        <v/>
      </c>
      <c r="I94" s="208" t="str">
        <f t="shared" si="4"/>
        <v/>
      </c>
      <c r="J94" s="209"/>
      <c r="K94" s="38"/>
      <c r="L94" s="38"/>
      <c r="M94" s="38"/>
    </row>
    <row r="95" spans="1:13">
      <c r="A95" s="3">
        <f t="shared" si="5"/>
        <v>1</v>
      </c>
      <c r="B95" s="231"/>
      <c r="C95" s="187"/>
      <c r="D95" s="188"/>
      <c r="E95" s="186"/>
      <c r="F95" s="247">
        <f t="shared" si="3"/>
        <v>0</v>
      </c>
      <c r="G95" s="247" t="str">
        <f>IF(IFERROR(IF(Str_TypeDonneesCpt7=Cpt_Index,Tab_Compteur_7[[#This Row],[Index]]-E94,Tab_Compteur_7[[#This Row],[Quantité]])/Tab_Compteur_7[[#This Row],[Delta Jour]],"")&lt;0,"",IFERROR(IF(Str_TypeDonneesCpt7=Cpt_Index,Tab_Compteur_7[[#This Row],[Index]]-E94,Tab_Compteur_7[[#This Row],[Quantité]])/Tab_Compteur_7[[#This Row],[Delta Jour]],""))</f>
        <v/>
      </c>
      <c r="H95" s="247" t="str">
        <f>IFERROR(Tab_Compteur_7[[#This Row],[Montant]]/Tab_Compteur_7[[#This Row],[Delta Jour]],"")</f>
        <v/>
      </c>
      <c r="I95" s="208" t="str">
        <f t="shared" si="4"/>
        <v/>
      </c>
      <c r="J95" s="209"/>
      <c r="K95" s="38"/>
      <c r="L95" s="38"/>
      <c r="M95" s="38"/>
    </row>
    <row r="96" spans="1:13">
      <c r="A96" s="3">
        <f t="shared" si="5"/>
        <v>1</v>
      </c>
      <c r="B96" s="231"/>
      <c r="C96" s="187"/>
      <c r="D96" s="188"/>
      <c r="E96" s="186"/>
      <c r="F96" s="247">
        <f t="shared" si="3"/>
        <v>0</v>
      </c>
      <c r="G96" s="247" t="str">
        <f>IF(IFERROR(IF(Str_TypeDonneesCpt7=Cpt_Index,Tab_Compteur_7[[#This Row],[Index]]-E95,Tab_Compteur_7[[#This Row],[Quantité]])/Tab_Compteur_7[[#This Row],[Delta Jour]],"")&lt;0,"",IFERROR(IF(Str_TypeDonneesCpt7=Cpt_Index,Tab_Compteur_7[[#This Row],[Index]]-E95,Tab_Compteur_7[[#This Row],[Quantité]])/Tab_Compteur_7[[#This Row],[Delta Jour]],""))</f>
        <v/>
      </c>
      <c r="H96" s="247" t="str">
        <f>IFERROR(Tab_Compteur_7[[#This Row],[Montant]]/Tab_Compteur_7[[#This Row],[Delta Jour]],"")</f>
        <v/>
      </c>
      <c r="I96" s="208" t="str">
        <f t="shared" si="4"/>
        <v/>
      </c>
      <c r="J96" s="209"/>
      <c r="K96" s="38"/>
      <c r="L96" s="38"/>
      <c r="M96" s="38"/>
    </row>
    <row r="97" spans="1:13">
      <c r="A97" s="3">
        <f t="shared" si="5"/>
        <v>1</v>
      </c>
      <c r="B97" s="231"/>
      <c r="C97" s="187"/>
      <c r="D97" s="188"/>
      <c r="E97" s="186"/>
      <c r="F97" s="247">
        <f t="shared" si="3"/>
        <v>0</v>
      </c>
      <c r="G97" s="247" t="str">
        <f>IF(IFERROR(IF(Str_TypeDonneesCpt7=Cpt_Index,Tab_Compteur_7[[#This Row],[Index]]-E96,Tab_Compteur_7[[#This Row],[Quantité]])/Tab_Compteur_7[[#This Row],[Delta Jour]],"")&lt;0,"",IFERROR(IF(Str_TypeDonneesCpt7=Cpt_Index,Tab_Compteur_7[[#This Row],[Index]]-E96,Tab_Compteur_7[[#This Row],[Quantité]])/Tab_Compteur_7[[#This Row],[Delta Jour]],""))</f>
        <v/>
      </c>
      <c r="H97" s="247" t="str">
        <f>IFERROR(Tab_Compteur_7[[#This Row],[Montant]]/Tab_Compteur_7[[#This Row],[Delta Jour]],"")</f>
        <v/>
      </c>
      <c r="I97" s="208" t="str">
        <f t="shared" si="4"/>
        <v/>
      </c>
      <c r="J97" s="209"/>
      <c r="K97" s="38"/>
      <c r="L97" s="38"/>
      <c r="M97" s="38"/>
    </row>
    <row r="98" spans="1:13">
      <c r="A98" s="3">
        <f t="shared" si="5"/>
        <v>1</v>
      </c>
      <c r="B98" s="231"/>
      <c r="C98" s="187"/>
      <c r="D98" s="188"/>
      <c r="E98" s="186"/>
      <c r="F98" s="247">
        <f t="shared" si="3"/>
        <v>0</v>
      </c>
      <c r="G98" s="247" t="str">
        <f>IF(IFERROR(IF(Str_TypeDonneesCpt7=Cpt_Index,Tab_Compteur_7[[#This Row],[Index]]-E97,Tab_Compteur_7[[#This Row],[Quantité]])/Tab_Compteur_7[[#This Row],[Delta Jour]],"")&lt;0,"",IFERROR(IF(Str_TypeDonneesCpt7=Cpt_Index,Tab_Compteur_7[[#This Row],[Index]]-E97,Tab_Compteur_7[[#This Row],[Quantité]])/Tab_Compteur_7[[#This Row],[Delta Jour]],""))</f>
        <v/>
      </c>
      <c r="H98" s="247" t="str">
        <f>IFERROR(Tab_Compteur_7[[#This Row],[Montant]]/Tab_Compteur_7[[#This Row],[Delta Jour]],"")</f>
        <v/>
      </c>
      <c r="I98" s="208" t="str">
        <f t="shared" si="4"/>
        <v/>
      </c>
      <c r="J98" s="209"/>
      <c r="K98" s="38"/>
      <c r="L98" s="38"/>
      <c r="M98" s="38"/>
    </row>
    <row r="99" spans="1:13">
      <c r="A99" s="3">
        <f t="shared" si="5"/>
        <v>1</v>
      </c>
      <c r="B99" s="231"/>
      <c r="C99" s="187"/>
      <c r="D99" s="188"/>
      <c r="E99" s="186"/>
      <c r="F99" s="247">
        <f t="shared" si="3"/>
        <v>0</v>
      </c>
      <c r="G99" s="247" t="str">
        <f>IF(IFERROR(IF(Str_TypeDonneesCpt7=Cpt_Index,Tab_Compteur_7[[#This Row],[Index]]-E98,Tab_Compteur_7[[#This Row],[Quantité]])/Tab_Compteur_7[[#This Row],[Delta Jour]],"")&lt;0,"",IFERROR(IF(Str_TypeDonneesCpt7=Cpt_Index,Tab_Compteur_7[[#This Row],[Index]]-E98,Tab_Compteur_7[[#This Row],[Quantité]])/Tab_Compteur_7[[#This Row],[Delta Jour]],""))</f>
        <v/>
      </c>
      <c r="H99" s="247" t="str">
        <f>IFERROR(Tab_Compteur_7[[#This Row],[Montant]]/Tab_Compteur_7[[#This Row],[Delta Jour]],"")</f>
        <v/>
      </c>
      <c r="I99" s="208" t="str">
        <f t="shared" si="4"/>
        <v/>
      </c>
      <c r="J99" s="209"/>
      <c r="K99" s="38"/>
      <c r="L99" s="38"/>
      <c r="M99" s="38"/>
    </row>
    <row r="100" spans="1:13">
      <c r="A100" s="3">
        <f t="shared" si="5"/>
        <v>1</v>
      </c>
      <c r="B100" s="231"/>
      <c r="C100" s="187"/>
      <c r="D100" s="188"/>
      <c r="E100" s="186"/>
      <c r="F100" s="247">
        <f t="shared" si="3"/>
        <v>0</v>
      </c>
      <c r="G100" s="247" t="str">
        <f>IF(IFERROR(IF(Str_TypeDonneesCpt7=Cpt_Index,Tab_Compteur_7[[#This Row],[Index]]-E99,Tab_Compteur_7[[#This Row],[Quantité]])/Tab_Compteur_7[[#This Row],[Delta Jour]],"")&lt;0,"",IFERROR(IF(Str_TypeDonneesCpt7=Cpt_Index,Tab_Compteur_7[[#This Row],[Index]]-E99,Tab_Compteur_7[[#This Row],[Quantité]])/Tab_Compteur_7[[#This Row],[Delta Jour]],""))</f>
        <v/>
      </c>
      <c r="H100" s="247" t="str">
        <f>IFERROR(Tab_Compteur_7[[#This Row],[Montant]]/Tab_Compteur_7[[#This Row],[Delta Jour]],"")</f>
        <v/>
      </c>
      <c r="I100" s="208" t="str">
        <f t="shared" si="4"/>
        <v/>
      </c>
      <c r="J100" s="209"/>
      <c r="K100" s="38"/>
      <c r="L100" s="38"/>
      <c r="M100" s="38"/>
    </row>
    <row r="101" spans="1:13">
      <c r="A101" s="3">
        <f t="shared" si="5"/>
        <v>1</v>
      </c>
      <c r="B101" s="231"/>
      <c r="C101" s="187"/>
      <c r="D101" s="188"/>
      <c r="E101" s="186"/>
      <c r="F101" s="247">
        <f t="shared" si="3"/>
        <v>0</v>
      </c>
      <c r="G101" s="247" t="str">
        <f>IF(IFERROR(IF(Str_TypeDonneesCpt7=Cpt_Index,Tab_Compteur_7[[#This Row],[Index]]-E100,Tab_Compteur_7[[#This Row],[Quantité]])/Tab_Compteur_7[[#This Row],[Delta Jour]],"")&lt;0,"",IFERROR(IF(Str_TypeDonneesCpt7=Cpt_Index,Tab_Compteur_7[[#This Row],[Index]]-E100,Tab_Compteur_7[[#This Row],[Quantité]])/Tab_Compteur_7[[#This Row],[Delta Jour]],""))</f>
        <v/>
      </c>
      <c r="H101" s="247" t="str">
        <f>IFERROR(Tab_Compteur_7[[#This Row],[Montant]]/Tab_Compteur_7[[#This Row],[Delta Jour]],"")</f>
        <v/>
      </c>
      <c r="I101" s="208" t="str">
        <f t="shared" si="4"/>
        <v/>
      </c>
      <c r="J101" s="209"/>
      <c r="K101" s="38"/>
      <c r="L101" s="38"/>
      <c r="M101" s="38"/>
    </row>
    <row r="102" spans="1:13">
      <c r="A102" s="3">
        <f t="shared" si="5"/>
        <v>1</v>
      </c>
      <c r="B102" s="231"/>
      <c r="C102" s="187"/>
      <c r="D102" s="188"/>
      <c r="E102" s="186"/>
      <c r="F102" s="247">
        <f t="shared" si="3"/>
        <v>0</v>
      </c>
      <c r="G102" s="247" t="str">
        <f>IF(IFERROR(IF(Str_TypeDonneesCpt7=Cpt_Index,Tab_Compteur_7[[#This Row],[Index]]-E101,Tab_Compteur_7[[#This Row],[Quantité]])/Tab_Compteur_7[[#This Row],[Delta Jour]],"")&lt;0,"",IFERROR(IF(Str_TypeDonneesCpt7=Cpt_Index,Tab_Compteur_7[[#This Row],[Index]]-E101,Tab_Compteur_7[[#This Row],[Quantité]])/Tab_Compteur_7[[#This Row],[Delta Jour]],""))</f>
        <v/>
      </c>
      <c r="H102" s="247" t="str">
        <f>IFERROR(Tab_Compteur_7[[#This Row],[Montant]]/Tab_Compteur_7[[#This Row],[Delta Jour]],"")</f>
        <v/>
      </c>
      <c r="I102" s="208" t="str">
        <f t="shared" si="4"/>
        <v/>
      </c>
      <c r="J102" s="209"/>
      <c r="K102" s="38"/>
      <c r="L102" s="38"/>
      <c r="M102" s="38"/>
    </row>
    <row r="103" spans="1:13">
      <c r="A103" s="3">
        <f t="shared" si="5"/>
        <v>1</v>
      </c>
      <c r="B103" s="231"/>
      <c r="C103" s="187"/>
      <c r="D103" s="188"/>
      <c r="E103" s="186"/>
      <c r="F103" s="247">
        <f t="shared" si="3"/>
        <v>0</v>
      </c>
      <c r="G103" s="247" t="str">
        <f>IF(IFERROR(IF(Str_TypeDonneesCpt7=Cpt_Index,Tab_Compteur_7[[#This Row],[Index]]-E102,Tab_Compteur_7[[#This Row],[Quantité]])/Tab_Compteur_7[[#This Row],[Delta Jour]],"")&lt;0,"",IFERROR(IF(Str_TypeDonneesCpt7=Cpt_Index,Tab_Compteur_7[[#This Row],[Index]]-E102,Tab_Compteur_7[[#This Row],[Quantité]])/Tab_Compteur_7[[#This Row],[Delta Jour]],""))</f>
        <v/>
      </c>
      <c r="H103" s="247" t="str">
        <f>IFERROR(Tab_Compteur_7[[#This Row],[Montant]]/Tab_Compteur_7[[#This Row],[Delta Jour]],"")</f>
        <v/>
      </c>
      <c r="I103" s="208" t="str">
        <f t="shared" si="4"/>
        <v/>
      </c>
      <c r="J103" s="209"/>
      <c r="K103" s="38"/>
      <c r="L103" s="38"/>
      <c r="M103" s="38"/>
    </row>
    <row r="104" spans="1:13">
      <c r="A104" s="3">
        <f t="shared" si="5"/>
        <v>1</v>
      </c>
      <c r="B104" s="231"/>
      <c r="C104" s="187"/>
      <c r="D104" s="188"/>
      <c r="E104" s="186"/>
      <c r="F104" s="247">
        <f t="shared" si="3"/>
        <v>0</v>
      </c>
      <c r="G104" s="247" t="str">
        <f>IF(IFERROR(IF(Str_TypeDonneesCpt7=Cpt_Index,Tab_Compteur_7[[#This Row],[Index]]-E103,Tab_Compteur_7[[#This Row],[Quantité]])/Tab_Compteur_7[[#This Row],[Delta Jour]],"")&lt;0,"",IFERROR(IF(Str_TypeDonneesCpt7=Cpt_Index,Tab_Compteur_7[[#This Row],[Index]]-E103,Tab_Compteur_7[[#This Row],[Quantité]])/Tab_Compteur_7[[#This Row],[Delta Jour]],""))</f>
        <v/>
      </c>
      <c r="H104" s="247" t="str">
        <f>IFERROR(Tab_Compteur_7[[#This Row],[Montant]]/Tab_Compteur_7[[#This Row],[Delta Jour]],"")</f>
        <v/>
      </c>
      <c r="I104" s="208" t="str">
        <f t="shared" si="4"/>
        <v/>
      </c>
      <c r="J104" s="209"/>
      <c r="K104" s="38"/>
      <c r="L104" s="38"/>
      <c r="M104" s="38"/>
    </row>
    <row r="105" spans="1:13">
      <c r="A105" s="3">
        <f t="shared" si="5"/>
        <v>1</v>
      </c>
      <c r="B105" s="231"/>
      <c r="C105" s="187"/>
      <c r="D105" s="188"/>
      <c r="E105" s="186"/>
      <c r="F105" s="247">
        <f t="shared" si="3"/>
        <v>0</v>
      </c>
      <c r="G105" s="247" t="str">
        <f>IF(IFERROR(IF(Str_TypeDonneesCpt7=Cpt_Index,Tab_Compteur_7[[#This Row],[Index]]-E104,Tab_Compteur_7[[#This Row],[Quantité]])/Tab_Compteur_7[[#This Row],[Delta Jour]],"")&lt;0,"",IFERROR(IF(Str_TypeDonneesCpt7=Cpt_Index,Tab_Compteur_7[[#This Row],[Index]]-E104,Tab_Compteur_7[[#This Row],[Quantité]])/Tab_Compteur_7[[#This Row],[Delta Jour]],""))</f>
        <v/>
      </c>
      <c r="H105" s="247" t="str">
        <f>IFERROR(Tab_Compteur_7[[#This Row],[Montant]]/Tab_Compteur_7[[#This Row],[Delta Jour]],"")</f>
        <v/>
      </c>
      <c r="I105" s="208" t="str">
        <f t="shared" si="4"/>
        <v/>
      </c>
      <c r="J105" s="209"/>
      <c r="K105" s="38"/>
      <c r="L105" s="38"/>
      <c r="M105" s="38"/>
    </row>
    <row r="106" spans="1:13">
      <c r="A106" s="3">
        <f t="shared" si="5"/>
        <v>1</v>
      </c>
      <c r="B106" s="231"/>
      <c r="C106" s="187"/>
      <c r="D106" s="188"/>
      <c r="E106" s="186"/>
      <c r="F106" s="247">
        <f t="shared" si="3"/>
        <v>0</v>
      </c>
      <c r="G106" s="247" t="str">
        <f>IF(IFERROR(IF(Str_TypeDonneesCpt7=Cpt_Index,Tab_Compteur_7[[#This Row],[Index]]-E105,Tab_Compteur_7[[#This Row],[Quantité]])/Tab_Compteur_7[[#This Row],[Delta Jour]],"")&lt;0,"",IFERROR(IF(Str_TypeDonneesCpt7=Cpt_Index,Tab_Compteur_7[[#This Row],[Index]]-E105,Tab_Compteur_7[[#This Row],[Quantité]])/Tab_Compteur_7[[#This Row],[Delta Jour]],""))</f>
        <v/>
      </c>
      <c r="H106" s="247" t="str">
        <f>IFERROR(Tab_Compteur_7[[#This Row],[Montant]]/Tab_Compteur_7[[#This Row],[Delta Jour]],"")</f>
        <v/>
      </c>
      <c r="I106" s="208" t="str">
        <f t="shared" si="4"/>
        <v/>
      </c>
      <c r="J106" s="209"/>
      <c r="K106" s="38"/>
      <c r="L106" s="38"/>
      <c r="M106" s="38"/>
    </row>
    <row r="107" spans="1:13">
      <c r="A107" s="3">
        <f t="shared" si="5"/>
        <v>1</v>
      </c>
      <c r="B107" s="231"/>
      <c r="C107" s="187"/>
      <c r="D107" s="188"/>
      <c r="E107" s="186"/>
      <c r="F107" s="247">
        <f t="shared" si="3"/>
        <v>0</v>
      </c>
      <c r="G107" s="247" t="str">
        <f>IF(IFERROR(IF(Str_TypeDonneesCpt7=Cpt_Index,Tab_Compteur_7[[#This Row],[Index]]-E106,Tab_Compteur_7[[#This Row],[Quantité]])/Tab_Compteur_7[[#This Row],[Delta Jour]],"")&lt;0,"",IFERROR(IF(Str_TypeDonneesCpt7=Cpt_Index,Tab_Compteur_7[[#This Row],[Index]]-E106,Tab_Compteur_7[[#This Row],[Quantité]])/Tab_Compteur_7[[#This Row],[Delta Jour]],""))</f>
        <v/>
      </c>
      <c r="H107" s="247" t="str">
        <f>IFERROR(Tab_Compteur_7[[#This Row],[Montant]]/Tab_Compteur_7[[#This Row],[Delta Jour]],"")</f>
        <v/>
      </c>
      <c r="I107" s="208" t="str">
        <f t="shared" si="4"/>
        <v/>
      </c>
      <c r="J107" s="209"/>
      <c r="K107" s="38"/>
      <c r="L107" s="38"/>
      <c r="M107" s="38"/>
    </row>
    <row r="108" spans="1:13">
      <c r="A108" s="3">
        <f t="shared" si="5"/>
        <v>1</v>
      </c>
      <c r="B108" s="231"/>
      <c r="C108" s="187"/>
      <c r="D108" s="188"/>
      <c r="E108" s="186"/>
      <c r="F108" s="247">
        <f t="shared" si="3"/>
        <v>0</v>
      </c>
      <c r="G108" s="247" t="str">
        <f>IF(IFERROR(IF(Str_TypeDonneesCpt7=Cpt_Index,Tab_Compteur_7[[#This Row],[Index]]-E107,Tab_Compteur_7[[#This Row],[Quantité]])/Tab_Compteur_7[[#This Row],[Delta Jour]],"")&lt;0,"",IFERROR(IF(Str_TypeDonneesCpt7=Cpt_Index,Tab_Compteur_7[[#This Row],[Index]]-E107,Tab_Compteur_7[[#This Row],[Quantité]])/Tab_Compteur_7[[#This Row],[Delta Jour]],""))</f>
        <v/>
      </c>
      <c r="H108" s="247" t="str">
        <f>IFERROR(Tab_Compteur_7[[#This Row],[Montant]]/Tab_Compteur_7[[#This Row],[Delta Jour]],"")</f>
        <v/>
      </c>
      <c r="I108" s="208" t="str">
        <f t="shared" si="4"/>
        <v/>
      </c>
      <c r="J108" s="209"/>
      <c r="K108" s="38"/>
      <c r="L108" s="38"/>
      <c r="M108" s="38"/>
    </row>
    <row r="109" spans="1:13">
      <c r="A109" s="3">
        <f t="shared" si="5"/>
        <v>1</v>
      </c>
      <c r="B109" s="231"/>
      <c r="C109" s="187"/>
      <c r="D109" s="188"/>
      <c r="E109" s="186"/>
      <c r="F109" s="247">
        <f t="shared" si="3"/>
        <v>0</v>
      </c>
      <c r="G109" s="247" t="str">
        <f>IF(IFERROR(IF(Str_TypeDonneesCpt7=Cpt_Index,Tab_Compteur_7[[#This Row],[Index]]-E108,Tab_Compteur_7[[#This Row],[Quantité]])/Tab_Compteur_7[[#This Row],[Delta Jour]],"")&lt;0,"",IFERROR(IF(Str_TypeDonneesCpt7=Cpt_Index,Tab_Compteur_7[[#This Row],[Index]]-E108,Tab_Compteur_7[[#This Row],[Quantité]])/Tab_Compteur_7[[#This Row],[Delta Jour]],""))</f>
        <v/>
      </c>
      <c r="H109" s="247" t="str">
        <f>IFERROR(Tab_Compteur_7[[#This Row],[Montant]]/Tab_Compteur_7[[#This Row],[Delta Jour]],"")</f>
        <v/>
      </c>
      <c r="I109" s="208" t="str">
        <f t="shared" si="4"/>
        <v/>
      </c>
      <c r="J109" s="209"/>
      <c r="K109" s="38"/>
      <c r="L109" s="38"/>
      <c r="M109" s="38"/>
    </row>
    <row r="110" spans="1:13">
      <c r="A110" s="3">
        <f t="shared" si="5"/>
        <v>1</v>
      </c>
      <c r="B110" s="231"/>
      <c r="C110" s="187"/>
      <c r="D110" s="188"/>
      <c r="E110" s="186"/>
      <c r="F110" s="247">
        <f t="shared" si="3"/>
        <v>0</v>
      </c>
      <c r="G110" s="247" t="str">
        <f>IF(IFERROR(IF(Str_TypeDonneesCpt7=Cpt_Index,Tab_Compteur_7[[#This Row],[Index]]-E109,Tab_Compteur_7[[#This Row],[Quantité]])/Tab_Compteur_7[[#This Row],[Delta Jour]],"")&lt;0,"",IFERROR(IF(Str_TypeDonneesCpt7=Cpt_Index,Tab_Compteur_7[[#This Row],[Index]]-E109,Tab_Compteur_7[[#This Row],[Quantité]])/Tab_Compteur_7[[#This Row],[Delta Jour]],""))</f>
        <v/>
      </c>
      <c r="H110" s="247" t="str">
        <f>IFERROR(Tab_Compteur_7[[#This Row],[Montant]]/Tab_Compteur_7[[#This Row],[Delta Jour]],"")</f>
        <v/>
      </c>
      <c r="I110" s="208" t="str">
        <f t="shared" si="4"/>
        <v/>
      </c>
      <c r="J110" s="209"/>
      <c r="K110" s="38"/>
      <c r="L110" s="38"/>
      <c r="M110" s="38"/>
    </row>
    <row r="111" spans="1:13">
      <c r="A111" s="3">
        <f t="shared" si="5"/>
        <v>1</v>
      </c>
      <c r="B111" s="231"/>
      <c r="C111" s="187"/>
      <c r="D111" s="188"/>
      <c r="E111" s="186"/>
      <c r="F111" s="247">
        <f t="shared" si="3"/>
        <v>0</v>
      </c>
      <c r="G111" s="247" t="str">
        <f>IF(IFERROR(IF(Str_TypeDonneesCpt7=Cpt_Index,Tab_Compteur_7[[#This Row],[Index]]-E110,Tab_Compteur_7[[#This Row],[Quantité]])/Tab_Compteur_7[[#This Row],[Delta Jour]],"")&lt;0,"",IFERROR(IF(Str_TypeDonneesCpt7=Cpt_Index,Tab_Compteur_7[[#This Row],[Index]]-E110,Tab_Compteur_7[[#This Row],[Quantité]])/Tab_Compteur_7[[#This Row],[Delta Jour]],""))</f>
        <v/>
      </c>
      <c r="H111" s="247" t="str">
        <f>IFERROR(Tab_Compteur_7[[#This Row],[Montant]]/Tab_Compteur_7[[#This Row],[Delta Jour]],"")</f>
        <v/>
      </c>
      <c r="I111" s="208" t="str">
        <f t="shared" si="4"/>
        <v/>
      </c>
      <c r="J111" s="209"/>
      <c r="K111" s="38"/>
      <c r="L111" s="38"/>
      <c r="M111" s="38"/>
    </row>
    <row r="112" spans="1:13">
      <c r="A112" s="3">
        <f t="shared" si="5"/>
        <v>1</v>
      </c>
      <c r="B112" s="231"/>
      <c r="C112" s="187"/>
      <c r="D112" s="188"/>
      <c r="E112" s="186"/>
      <c r="F112" s="247">
        <f t="shared" si="3"/>
        <v>0</v>
      </c>
      <c r="G112" s="247" t="str">
        <f>IF(IFERROR(IF(Str_TypeDonneesCpt7=Cpt_Index,Tab_Compteur_7[[#This Row],[Index]]-E111,Tab_Compteur_7[[#This Row],[Quantité]])/Tab_Compteur_7[[#This Row],[Delta Jour]],"")&lt;0,"",IFERROR(IF(Str_TypeDonneesCpt7=Cpt_Index,Tab_Compteur_7[[#This Row],[Index]]-E111,Tab_Compteur_7[[#This Row],[Quantité]])/Tab_Compteur_7[[#This Row],[Delta Jour]],""))</f>
        <v/>
      </c>
      <c r="H112" s="247" t="str">
        <f>IFERROR(Tab_Compteur_7[[#This Row],[Montant]]/Tab_Compteur_7[[#This Row],[Delta Jour]],"")</f>
        <v/>
      </c>
      <c r="I112" s="208" t="str">
        <f t="shared" si="4"/>
        <v/>
      </c>
      <c r="J112" s="209"/>
      <c r="K112" s="38"/>
      <c r="L112" s="38"/>
      <c r="M112" s="38"/>
    </row>
    <row r="113" spans="1:13">
      <c r="A113" s="3">
        <f t="shared" si="5"/>
        <v>1</v>
      </c>
      <c r="B113" s="231"/>
      <c r="C113" s="187"/>
      <c r="D113" s="188"/>
      <c r="E113" s="186"/>
      <c r="F113" s="247">
        <f t="shared" si="3"/>
        <v>0</v>
      </c>
      <c r="G113" s="247" t="str">
        <f>IF(IFERROR(IF(Str_TypeDonneesCpt7=Cpt_Index,Tab_Compteur_7[[#This Row],[Index]]-E112,Tab_Compteur_7[[#This Row],[Quantité]])/Tab_Compteur_7[[#This Row],[Delta Jour]],"")&lt;0,"",IFERROR(IF(Str_TypeDonneesCpt7=Cpt_Index,Tab_Compteur_7[[#This Row],[Index]]-E112,Tab_Compteur_7[[#This Row],[Quantité]])/Tab_Compteur_7[[#This Row],[Delta Jour]],""))</f>
        <v/>
      </c>
      <c r="H113" s="247" t="str">
        <f>IFERROR(Tab_Compteur_7[[#This Row],[Montant]]/Tab_Compteur_7[[#This Row],[Delta Jour]],"")</f>
        <v/>
      </c>
      <c r="I113" s="208" t="str">
        <f t="shared" si="4"/>
        <v/>
      </c>
      <c r="J113" s="209"/>
      <c r="K113" s="38"/>
      <c r="L113" s="38"/>
      <c r="M113" s="38"/>
    </row>
    <row r="114" spans="1:13">
      <c r="A114" s="3">
        <f t="shared" si="5"/>
        <v>1</v>
      </c>
      <c r="B114" s="231"/>
      <c r="C114" s="187"/>
      <c r="D114" s="188"/>
      <c r="E114" s="186"/>
      <c r="F114" s="247">
        <f t="shared" si="3"/>
        <v>0</v>
      </c>
      <c r="G114" s="247" t="str">
        <f>IF(IFERROR(IF(Str_TypeDonneesCpt7=Cpt_Index,Tab_Compteur_7[[#This Row],[Index]]-E113,Tab_Compteur_7[[#This Row],[Quantité]])/Tab_Compteur_7[[#This Row],[Delta Jour]],"")&lt;0,"",IFERROR(IF(Str_TypeDonneesCpt7=Cpt_Index,Tab_Compteur_7[[#This Row],[Index]]-E113,Tab_Compteur_7[[#This Row],[Quantité]])/Tab_Compteur_7[[#This Row],[Delta Jour]],""))</f>
        <v/>
      </c>
      <c r="H114" s="247" t="str">
        <f>IFERROR(Tab_Compteur_7[[#This Row],[Montant]]/Tab_Compteur_7[[#This Row],[Delta Jour]],"")</f>
        <v/>
      </c>
      <c r="I114" s="208" t="str">
        <f t="shared" si="4"/>
        <v/>
      </c>
      <c r="J114" s="209"/>
      <c r="K114" s="38"/>
      <c r="L114" s="38"/>
      <c r="M114" s="38"/>
    </row>
    <row r="115" spans="1:13">
      <c r="A115" s="3">
        <f t="shared" si="5"/>
        <v>1</v>
      </c>
      <c r="B115" s="231"/>
      <c r="C115" s="187"/>
      <c r="D115" s="188"/>
      <c r="E115" s="186"/>
      <c r="F115" s="247">
        <f t="shared" si="3"/>
        <v>0</v>
      </c>
      <c r="G115" s="247" t="str">
        <f>IF(IFERROR(IF(Str_TypeDonneesCpt7=Cpt_Index,Tab_Compteur_7[[#This Row],[Index]]-E114,Tab_Compteur_7[[#This Row],[Quantité]])/Tab_Compteur_7[[#This Row],[Delta Jour]],"")&lt;0,"",IFERROR(IF(Str_TypeDonneesCpt7=Cpt_Index,Tab_Compteur_7[[#This Row],[Index]]-E114,Tab_Compteur_7[[#This Row],[Quantité]])/Tab_Compteur_7[[#This Row],[Delta Jour]],""))</f>
        <v/>
      </c>
      <c r="H115" s="247" t="str">
        <f>IFERROR(Tab_Compteur_7[[#This Row],[Montant]]/Tab_Compteur_7[[#This Row],[Delta Jour]],"")</f>
        <v/>
      </c>
      <c r="I115" s="208" t="str">
        <f t="shared" si="4"/>
        <v/>
      </c>
      <c r="J115" s="209"/>
      <c r="K115" s="38"/>
      <c r="L115" s="38"/>
      <c r="M115" s="38"/>
    </row>
    <row r="116" spans="1:13">
      <c r="A116" s="3">
        <f t="shared" si="5"/>
        <v>1</v>
      </c>
      <c r="B116" s="231"/>
      <c r="C116" s="187"/>
      <c r="D116" s="188"/>
      <c r="E116" s="186"/>
      <c r="F116" s="247">
        <f t="shared" si="3"/>
        <v>0</v>
      </c>
      <c r="G116" s="247" t="str">
        <f>IF(IFERROR(IF(Str_TypeDonneesCpt7=Cpt_Index,Tab_Compteur_7[[#This Row],[Index]]-E115,Tab_Compteur_7[[#This Row],[Quantité]])/Tab_Compteur_7[[#This Row],[Delta Jour]],"")&lt;0,"",IFERROR(IF(Str_TypeDonneesCpt7=Cpt_Index,Tab_Compteur_7[[#This Row],[Index]]-E115,Tab_Compteur_7[[#This Row],[Quantité]])/Tab_Compteur_7[[#This Row],[Delta Jour]],""))</f>
        <v/>
      </c>
      <c r="H116" s="247" t="str">
        <f>IFERROR(Tab_Compteur_7[[#This Row],[Montant]]/Tab_Compteur_7[[#This Row],[Delta Jour]],"")</f>
        <v/>
      </c>
      <c r="I116" s="208" t="str">
        <f t="shared" si="4"/>
        <v/>
      </c>
      <c r="J116" s="209"/>
      <c r="K116" s="38"/>
      <c r="L116" s="38"/>
      <c r="M116" s="38"/>
    </row>
    <row r="117" spans="1:13">
      <c r="A117" s="3">
        <f t="shared" si="5"/>
        <v>1</v>
      </c>
      <c r="B117" s="231"/>
      <c r="C117" s="187"/>
      <c r="D117" s="188"/>
      <c r="E117" s="186"/>
      <c r="F117" s="247">
        <f t="shared" si="3"/>
        <v>0</v>
      </c>
      <c r="G117" s="247" t="str">
        <f>IF(IFERROR(IF(Str_TypeDonneesCpt7=Cpt_Index,Tab_Compteur_7[[#This Row],[Index]]-E116,Tab_Compteur_7[[#This Row],[Quantité]])/Tab_Compteur_7[[#This Row],[Delta Jour]],"")&lt;0,"",IFERROR(IF(Str_TypeDonneesCpt7=Cpt_Index,Tab_Compteur_7[[#This Row],[Index]]-E116,Tab_Compteur_7[[#This Row],[Quantité]])/Tab_Compteur_7[[#This Row],[Delta Jour]],""))</f>
        <v/>
      </c>
      <c r="H117" s="247" t="str">
        <f>IFERROR(Tab_Compteur_7[[#This Row],[Montant]]/Tab_Compteur_7[[#This Row],[Delta Jour]],"")</f>
        <v/>
      </c>
      <c r="I117" s="208" t="str">
        <f t="shared" si="4"/>
        <v/>
      </c>
      <c r="J117" s="209"/>
      <c r="K117" s="38"/>
      <c r="L117" s="38"/>
      <c r="M117" s="38"/>
    </row>
    <row r="118" spans="1:13">
      <c r="A118" s="3">
        <f t="shared" si="5"/>
        <v>1</v>
      </c>
      <c r="B118" s="231"/>
      <c r="C118" s="187"/>
      <c r="D118" s="188"/>
      <c r="E118" s="186"/>
      <c r="F118" s="247">
        <f t="shared" si="3"/>
        <v>0</v>
      </c>
      <c r="G118" s="247" t="str">
        <f>IF(IFERROR(IF(Str_TypeDonneesCpt7=Cpt_Index,Tab_Compteur_7[[#This Row],[Index]]-E117,Tab_Compteur_7[[#This Row],[Quantité]])/Tab_Compteur_7[[#This Row],[Delta Jour]],"")&lt;0,"",IFERROR(IF(Str_TypeDonneesCpt7=Cpt_Index,Tab_Compteur_7[[#This Row],[Index]]-E117,Tab_Compteur_7[[#This Row],[Quantité]])/Tab_Compteur_7[[#This Row],[Delta Jour]],""))</f>
        <v/>
      </c>
      <c r="H118" s="247" t="str">
        <f>IFERROR(Tab_Compteur_7[[#This Row],[Montant]]/Tab_Compteur_7[[#This Row],[Delta Jour]],"")</f>
        <v/>
      </c>
      <c r="I118" s="208" t="str">
        <f t="shared" si="4"/>
        <v/>
      </c>
      <c r="J118" s="209"/>
      <c r="K118" s="38"/>
      <c r="L118" s="38"/>
      <c r="M118" s="38"/>
    </row>
    <row r="119" spans="1:13">
      <c r="A119" s="3">
        <f t="shared" si="5"/>
        <v>1</v>
      </c>
      <c r="B119" s="231"/>
      <c r="C119" s="187"/>
      <c r="D119" s="188"/>
      <c r="E119" s="186"/>
      <c r="F119" s="247">
        <f t="shared" si="3"/>
        <v>0</v>
      </c>
      <c r="G119" s="247" t="str">
        <f>IF(IFERROR(IF(Str_TypeDonneesCpt7=Cpt_Index,Tab_Compteur_7[[#This Row],[Index]]-E118,Tab_Compteur_7[[#This Row],[Quantité]])/Tab_Compteur_7[[#This Row],[Delta Jour]],"")&lt;0,"",IFERROR(IF(Str_TypeDonneesCpt7=Cpt_Index,Tab_Compteur_7[[#This Row],[Index]]-E118,Tab_Compteur_7[[#This Row],[Quantité]])/Tab_Compteur_7[[#This Row],[Delta Jour]],""))</f>
        <v/>
      </c>
      <c r="H119" s="247" t="str">
        <f>IFERROR(Tab_Compteur_7[[#This Row],[Montant]]/Tab_Compteur_7[[#This Row],[Delta Jour]],"")</f>
        <v/>
      </c>
      <c r="I119" s="208" t="str">
        <f t="shared" si="4"/>
        <v/>
      </c>
      <c r="J119" s="209"/>
      <c r="K119" s="38"/>
      <c r="L119" s="38"/>
      <c r="M119" s="38"/>
    </row>
    <row r="120" spans="1:13">
      <c r="A120" s="3">
        <f t="shared" si="5"/>
        <v>1</v>
      </c>
      <c r="B120" s="231"/>
      <c r="C120" s="187"/>
      <c r="D120" s="188"/>
      <c r="E120" s="186"/>
      <c r="F120" s="247">
        <f t="shared" si="3"/>
        <v>0</v>
      </c>
      <c r="G120" s="247" t="str">
        <f>IF(IFERROR(IF(Str_TypeDonneesCpt7=Cpt_Index,Tab_Compteur_7[[#This Row],[Index]]-E119,Tab_Compteur_7[[#This Row],[Quantité]])/Tab_Compteur_7[[#This Row],[Delta Jour]],"")&lt;0,"",IFERROR(IF(Str_TypeDonneesCpt7=Cpt_Index,Tab_Compteur_7[[#This Row],[Index]]-E119,Tab_Compteur_7[[#This Row],[Quantité]])/Tab_Compteur_7[[#This Row],[Delta Jour]],""))</f>
        <v/>
      </c>
      <c r="H120" s="247" t="str">
        <f>IFERROR(Tab_Compteur_7[[#This Row],[Montant]]/Tab_Compteur_7[[#This Row],[Delta Jour]],"")</f>
        <v/>
      </c>
      <c r="I120" s="208" t="str">
        <f t="shared" si="4"/>
        <v/>
      </c>
      <c r="J120" s="209"/>
      <c r="K120" s="38"/>
      <c r="L120" s="38"/>
      <c r="M120" s="38"/>
    </row>
    <row r="121" spans="1:13">
      <c r="A121" s="3">
        <f t="shared" si="5"/>
        <v>1</v>
      </c>
      <c r="B121" s="231"/>
      <c r="C121" s="187"/>
      <c r="D121" s="188"/>
      <c r="E121" s="186"/>
      <c r="F121" s="247">
        <f t="shared" si="3"/>
        <v>0</v>
      </c>
      <c r="G121" s="247" t="str">
        <f>IF(IFERROR(IF(Str_TypeDonneesCpt7=Cpt_Index,Tab_Compteur_7[[#This Row],[Index]]-E120,Tab_Compteur_7[[#This Row],[Quantité]])/Tab_Compteur_7[[#This Row],[Delta Jour]],"")&lt;0,"",IFERROR(IF(Str_TypeDonneesCpt7=Cpt_Index,Tab_Compteur_7[[#This Row],[Index]]-E120,Tab_Compteur_7[[#This Row],[Quantité]])/Tab_Compteur_7[[#This Row],[Delta Jour]],""))</f>
        <v/>
      </c>
      <c r="H121" s="247" t="str">
        <f>IFERROR(Tab_Compteur_7[[#This Row],[Montant]]/Tab_Compteur_7[[#This Row],[Delta Jour]],"")</f>
        <v/>
      </c>
      <c r="I121" s="208" t="str">
        <f t="shared" si="4"/>
        <v/>
      </c>
      <c r="J121" s="209"/>
      <c r="K121" s="38"/>
      <c r="L121" s="38"/>
      <c r="M121" s="38"/>
    </row>
    <row r="122" spans="1:13">
      <c r="A122" s="3">
        <f t="shared" si="5"/>
        <v>1</v>
      </c>
      <c r="B122" s="231"/>
      <c r="C122" s="187"/>
      <c r="D122" s="188"/>
      <c r="E122" s="186"/>
      <c r="F122" s="247">
        <f t="shared" si="3"/>
        <v>0</v>
      </c>
      <c r="G122" s="247" t="str">
        <f>IF(IFERROR(IF(Str_TypeDonneesCpt7=Cpt_Index,Tab_Compteur_7[[#This Row],[Index]]-E121,Tab_Compteur_7[[#This Row],[Quantité]])/Tab_Compteur_7[[#This Row],[Delta Jour]],"")&lt;0,"",IFERROR(IF(Str_TypeDonneesCpt7=Cpt_Index,Tab_Compteur_7[[#This Row],[Index]]-E121,Tab_Compteur_7[[#This Row],[Quantité]])/Tab_Compteur_7[[#This Row],[Delta Jour]],""))</f>
        <v/>
      </c>
      <c r="H122" s="247" t="str">
        <f>IFERROR(Tab_Compteur_7[[#This Row],[Montant]]/Tab_Compteur_7[[#This Row],[Delta Jour]],"")</f>
        <v/>
      </c>
      <c r="I122" s="208" t="str">
        <f t="shared" si="4"/>
        <v/>
      </c>
      <c r="J122" s="209"/>
      <c r="K122" s="38"/>
      <c r="L122" s="38"/>
      <c r="M122" s="38"/>
    </row>
    <row r="123" spans="1:13">
      <c r="A123" s="3">
        <f t="shared" si="5"/>
        <v>1</v>
      </c>
      <c r="B123" s="231"/>
      <c r="C123" s="187"/>
      <c r="D123" s="188"/>
      <c r="E123" s="186"/>
      <c r="F123" s="247">
        <f t="shared" si="3"/>
        <v>0</v>
      </c>
      <c r="G123" s="247" t="str">
        <f>IF(IFERROR(IF(Str_TypeDonneesCpt7=Cpt_Index,Tab_Compteur_7[[#This Row],[Index]]-E122,Tab_Compteur_7[[#This Row],[Quantité]])/Tab_Compteur_7[[#This Row],[Delta Jour]],"")&lt;0,"",IFERROR(IF(Str_TypeDonneesCpt7=Cpt_Index,Tab_Compteur_7[[#This Row],[Index]]-E122,Tab_Compteur_7[[#This Row],[Quantité]])/Tab_Compteur_7[[#This Row],[Delta Jour]],""))</f>
        <v/>
      </c>
      <c r="H123" s="247" t="str">
        <f>IFERROR(Tab_Compteur_7[[#This Row],[Montant]]/Tab_Compteur_7[[#This Row],[Delta Jour]],"")</f>
        <v/>
      </c>
      <c r="I123" s="208" t="str">
        <f t="shared" si="4"/>
        <v/>
      </c>
      <c r="J123" s="209"/>
      <c r="K123" s="38"/>
      <c r="L123" s="38"/>
      <c r="M123" s="38"/>
    </row>
    <row r="124" spans="1:13">
      <c r="A124" s="3">
        <f t="shared" si="5"/>
        <v>1</v>
      </c>
      <c r="B124" s="231"/>
      <c r="C124" s="187"/>
      <c r="D124" s="188"/>
      <c r="E124" s="186"/>
      <c r="F124" s="247">
        <f t="shared" si="3"/>
        <v>0</v>
      </c>
      <c r="G124" s="247" t="str">
        <f>IF(IFERROR(IF(Str_TypeDonneesCpt7=Cpt_Index,Tab_Compteur_7[[#This Row],[Index]]-E123,Tab_Compteur_7[[#This Row],[Quantité]])/Tab_Compteur_7[[#This Row],[Delta Jour]],"")&lt;0,"",IFERROR(IF(Str_TypeDonneesCpt7=Cpt_Index,Tab_Compteur_7[[#This Row],[Index]]-E123,Tab_Compteur_7[[#This Row],[Quantité]])/Tab_Compteur_7[[#This Row],[Delta Jour]],""))</f>
        <v/>
      </c>
      <c r="H124" s="247" t="str">
        <f>IFERROR(Tab_Compteur_7[[#This Row],[Montant]]/Tab_Compteur_7[[#This Row],[Delta Jour]],"")</f>
        <v/>
      </c>
      <c r="I124" s="208" t="str">
        <f t="shared" si="4"/>
        <v/>
      </c>
      <c r="J124" s="209"/>
      <c r="K124" s="38"/>
      <c r="L124" s="38"/>
      <c r="M124" s="38"/>
    </row>
    <row r="125" spans="1:13">
      <c r="A125" s="3">
        <f t="shared" si="5"/>
        <v>1</v>
      </c>
      <c r="B125" s="231"/>
      <c r="C125" s="187"/>
      <c r="D125" s="188"/>
      <c r="E125" s="186"/>
      <c r="F125" s="247">
        <f t="shared" si="3"/>
        <v>0</v>
      </c>
      <c r="G125" s="247" t="str">
        <f>IF(IFERROR(IF(Str_TypeDonneesCpt7=Cpt_Index,Tab_Compteur_7[[#This Row],[Index]]-E124,Tab_Compteur_7[[#This Row],[Quantité]])/Tab_Compteur_7[[#This Row],[Delta Jour]],"")&lt;0,"",IFERROR(IF(Str_TypeDonneesCpt7=Cpt_Index,Tab_Compteur_7[[#This Row],[Index]]-E124,Tab_Compteur_7[[#This Row],[Quantité]])/Tab_Compteur_7[[#This Row],[Delta Jour]],""))</f>
        <v/>
      </c>
      <c r="H125" s="247" t="str">
        <f>IFERROR(Tab_Compteur_7[[#This Row],[Montant]]/Tab_Compteur_7[[#This Row],[Delta Jour]],"")</f>
        <v/>
      </c>
      <c r="I125" s="208" t="str">
        <f t="shared" si="4"/>
        <v/>
      </c>
      <c r="J125" s="209"/>
      <c r="K125" s="38"/>
      <c r="L125" s="38"/>
      <c r="M125" s="38"/>
    </row>
    <row r="126" spans="1:13">
      <c r="A126" s="3">
        <f t="shared" si="5"/>
        <v>1</v>
      </c>
      <c r="B126" s="231"/>
      <c r="C126" s="187"/>
      <c r="D126" s="188"/>
      <c r="E126" s="186"/>
      <c r="F126" s="247">
        <f t="shared" si="3"/>
        <v>0</v>
      </c>
      <c r="G126" s="247" t="str">
        <f>IF(IFERROR(IF(Str_TypeDonneesCpt7=Cpt_Index,Tab_Compteur_7[[#This Row],[Index]]-E125,Tab_Compteur_7[[#This Row],[Quantité]])/Tab_Compteur_7[[#This Row],[Delta Jour]],"")&lt;0,"",IFERROR(IF(Str_TypeDonneesCpt7=Cpt_Index,Tab_Compteur_7[[#This Row],[Index]]-E125,Tab_Compteur_7[[#This Row],[Quantité]])/Tab_Compteur_7[[#This Row],[Delta Jour]],""))</f>
        <v/>
      </c>
      <c r="H126" s="247" t="str">
        <f>IFERROR(Tab_Compteur_7[[#This Row],[Montant]]/Tab_Compteur_7[[#This Row],[Delta Jour]],"")</f>
        <v/>
      </c>
      <c r="I126" s="208" t="str">
        <f t="shared" si="4"/>
        <v/>
      </c>
      <c r="J126" s="209"/>
      <c r="K126" s="38"/>
      <c r="L126" s="38"/>
      <c r="M126" s="38"/>
    </row>
    <row r="127" spans="1:13">
      <c r="A127" s="3">
        <f t="shared" si="5"/>
        <v>1</v>
      </c>
      <c r="B127" s="231"/>
      <c r="C127" s="187"/>
      <c r="D127" s="188"/>
      <c r="E127" s="186"/>
      <c r="F127" s="247">
        <f t="shared" si="3"/>
        <v>0</v>
      </c>
      <c r="G127" s="247" t="str">
        <f>IF(IFERROR(IF(Str_TypeDonneesCpt7=Cpt_Index,Tab_Compteur_7[[#This Row],[Index]]-E126,Tab_Compteur_7[[#This Row],[Quantité]])/Tab_Compteur_7[[#This Row],[Delta Jour]],"")&lt;0,"",IFERROR(IF(Str_TypeDonneesCpt7=Cpt_Index,Tab_Compteur_7[[#This Row],[Index]]-E126,Tab_Compteur_7[[#This Row],[Quantité]])/Tab_Compteur_7[[#This Row],[Delta Jour]],""))</f>
        <v/>
      </c>
      <c r="H127" s="247" t="str">
        <f>IFERROR(Tab_Compteur_7[[#This Row],[Montant]]/Tab_Compteur_7[[#This Row],[Delta Jour]],"")</f>
        <v/>
      </c>
      <c r="I127" s="208" t="str">
        <f t="shared" si="4"/>
        <v/>
      </c>
      <c r="J127" s="209"/>
      <c r="K127" s="38"/>
      <c r="L127" s="38"/>
      <c r="M127" s="38"/>
    </row>
    <row r="128" spans="1:13">
      <c r="A128" s="3">
        <f t="shared" si="5"/>
        <v>1</v>
      </c>
      <c r="B128" s="231"/>
      <c r="C128" s="187"/>
      <c r="D128" s="188"/>
      <c r="E128" s="186"/>
      <c r="F128" s="247">
        <f t="shared" si="3"/>
        <v>0</v>
      </c>
      <c r="G128" s="247" t="str">
        <f>IF(IFERROR(IF(Str_TypeDonneesCpt7=Cpt_Index,Tab_Compteur_7[[#This Row],[Index]]-E127,Tab_Compteur_7[[#This Row],[Quantité]])/Tab_Compteur_7[[#This Row],[Delta Jour]],"")&lt;0,"",IFERROR(IF(Str_TypeDonneesCpt7=Cpt_Index,Tab_Compteur_7[[#This Row],[Index]]-E127,Tab_Compteur_7[[#This Row],[Quantité]])/Tab_Compteur_7[[#This Row],[Delta Jour]],""))</f>
        <v/>
      </c>
      <c r="H128" s="247" t="str">
        <f>IFERROR(Tab_Compteur_7[[#This Row],[Montant]]/Tab_Compteur_7[[#This Row],[Delta Jour]],"")</f>
        <v/>
      </c>
      <c r="I128" s="208" t="str">
        <f t="shared" si="4"/>
        <v/>
      </c>
      <c r="J128" s="209"/>
      <c r="K128" s="38"/>
      <c r="L128" s="38"/>
      <c r="M128" s="38"/>
    </row>
    <row r="129" spans="1:13">
      <c r="A129" s="3">
        <f t="shared" si="5"/>
        <v>1</v>
      </c>
      <c r="B129" s="231"/>
      <c r="C129" s="187"/>
      <c r="D129" s="188"/>
      <c r="E129" s="186"/>
      <c r="F129" s="247">
        <f t="shared" si="3"/>
        <v>0</v>
      </c>
      <c r="G129" s="247" t="str">
        <f>IF(IFERROR(IF(Str_TypeDonneesCpt7=Cpt_Index,Tab_Compteur_7[[#This Row],[Index]]-E128,Tab_Compteur_7[[#This Row],[Quantité]])/Tab_Compteur_7[[#This Row],[Delta Jour]],"")&lt;0,"",IFERROR(IF(Str_TypeDonneesCpt7=Cpt_Index,Tab_Compteur_7[[#This Row],[Index]]-E128,Tab_Compteur_7[[#This Row],[Quantité]])/Tab_Compteur_7[[#This Row],[Delta Jour]],""))</f>
        <v/>
      </c>
      <c r="H129" s="247" t="str">
        <f>IFERROR(Tab_Compteur_7[[#This Row],[Montant]]/Tab_Compteur_7[[#This Row],[Delta Jour]],"")</f>
        <v/>
      </c>
      <c r="I129" s="208" t="str">
        <f t="shared" si="4"/>
        <v/>
      </c>
      <c r="J129" s="209"/>
      <c r="K129" s="38"/>
      <c r="L129" s="38"/>
      <c r="M129" s="38"/>
    </row>
    <row r="130" spans="1:13">
      <c r="A130" s="3">
        <f t="shared" si="5"/>
        <v>1</v>
      </c>
      <c r="B130" s="231"/>
      <c r="C130" s="187"/>
      <c r="D130" s="188"/>
      <c r="E130" s="186"/>
      <c r="F130" s="247">
        <f t="shared" si="3"/>
        <v>0</v>
      </c>
      <c r="G130" s="247" t="str">
        <f>IF(IFERROR(IF(Str_TypeDonneesCpt7=Cpt_Index,Tab_Compteur_7[[#This Row],[Index]]-E129,Tab_Compteur_7[[#This Row],[Quantité]])/Tab_Compteur_7[[#This Row],[Delta Jour]],"")&lt;0,"",IFERROR(IF(Str_TypeDonneesCpt7=Cpt_Index,Tab_Compteur_7[[#This Row],[Index]]-E129,Tab_Compteur_7[[#This Row],[Quantité]])/Tab_Compteur_7[[#This Row],[Delta Jour]],""))</f>
        <v/>
      </c>
      <c r="H130" s="247" t="str">
        <f>IFERROR(Tab_Compteur_7[[#This Row],[Montant]]/Tab_Compteur_7[[#This Row],[Delta Jour]],"")</f>
        <v/>
      </c>
      <c r="I130" s="208" t="str">
        <f t="shared" si="4"/>
        <v/>
      </c>
      <c r="J130" s="209"/>
      <c r="K130" s="38"/>
      <c r="L130" s="38"/>
      <c r="M130" s="38"/>
    </row>
    <row r="131" spans="1:13">
      <c r="A131" s="3">
        <f t="shared" si="5"/>
        <v>1</v>
      </c>
      <c r="B131" s="231"/>
      <c r="C131" s="187"/>
      <c r="D131" s="188"/>
      <c r="E131" s="186"/>
      <c r="F131" s="247">
        <f t="shared" ref="F131:F194" si="6">IFERROR(B131-A131+1,"")</f>
        <v>0</v>
      </c>
      <c r="G131" s="247" t="str">
        <f>IF(IFERROR(IF(Str_TypeDonneesCpt7=Cpt_Index,Tab_Compteur_7[[#This Row],[Index]]-E130,Tab_Compteur_7[[#This Row],[Quantité]])/Tab_Compteur_7[[#This Row],[Delta Jour]],"")&lt;0,"",IFERROR(IF(Str_TypeDonneesCpt7=Cpt_Index,Tab_Compteur_7[[#This Row],[Index]]-E130,Tab_Compteur_7[[#This Row],[Quantité]])/Tab_Compteur_7[[#This Row],[Delta Jour]],""))</f>
        <v/>
      </c>
      <c r="H131" s="247" t="str">
        <f>IFERROR(Tab_Compteur_7[[#This Row],[Montant]]/Tab_Compteur_7[[#This Row],[Delta Jour]],"")</f>
        <v/>
      </c>
      <c r="I131" s="208" t="str">
        <f t="shared" ref="I131:I194" si="7">G131</f>
        <v/>
      </c>
      <c r="J131" s="209"/>
      <c r="K131" s="38"/>
      <c r="L131" s="38"/>
      <c r="M131" s="38"/>
    </row>
    <row r="132" spans="1:13">
      <c r="A132" s="3">
        <f t="shared" si="5"/>
        <v>1</v>
      </c>
      <c r="B132" s="231"/>
      <c r="C132" s="187"/>
      <c r="D132" s="188"/>
      <c r="E132" s="186"/>
      <c r="F132" s="247">
        <f t="shared" si="6"/>
        <v>0</v>
      </c>
      <c r="G132" s="247" t="str">
        <f>IF(IFERROR(IF(Str_TypeDonneesCpt7=Cpt_Index,Tab_Compteur_7[[#This Row],[Index]]-E131,Tab_Compteur_7[[#This Row],[Quantité]])/Tab_Compteur_7[[#This Row],[Delta Jour]],"")&lt;0,"",IFERROR(IF(Str_TypeDonneesCpt7=Cpt_Index,Tab_Compteur_7[[#This Row],[Index]]-E131,Tab_Compteur_7[[#This Row],[Quantité]])/Tab_Compteur_7[[#This Row],[Delta Jour]],""))</f>
        <v/>
      </c>
      <c r="H132" s="247" t="str">
        <f>IFERROR(Tab_Compteur_7[[#This Row],[Montant]]/Tab_Compteur_7[[#This Row],[Delta Jour]],"")</f>
        <v/>
      </c>
      <c r="I132" s="208" t="str">
        <f t="shared" si="7"/>
        <v/>
      </c>
      <c r="J132" s="209"/>
      <c r="K132" s="38"/>
      <c r="L132" s="38"/>
      <c r="M132" s="38"/>
    </row>
    <row r="133" spans="1:13">
      <c r="A133" s="3">
        <f t="shared" si="5"/>
        <v>1</v>
      </c>
      <c r="B133" s="231"/>
      <c r="C133" s="187"/>
      <c r="D133" s="188"/>
      <c r="E133" s="186"/>
      <c r="F133" s="247">
        <f t="shared" si="6"/>
        <v>0</v>
      </c>
      <c r="G133" s="247" t="str">
        <f>IF(IFERROR(IF(Str_TypeDonneesCpt7=Cpt_Index,Tab_Compteur_7[[#This Row],[Index]]-E132,Tab_Compteur_7[[#This Row],[Quantité]])/Tab_Compteur_7[[#This Row],[Delta Jour]],"")&lt;0,"",IFERROR(IF(Str_TypeDonneesCpt7=Cpt_Index,Tab_Compteur_7[[#This Row],[Index]]-E132,Tab_Compteur_7[[#This Row],[Quantité]])/Tab_Compteur_7[[#This Row],[Delta Jour]],""))</f>
        <v/>
      </c>
      <c r="H133" s="247" t="str">
        <f>IFERROR(Tab_Compteur_7[[#This Row],[Montant]]/Tab_Compteur_7[[#This Row],[Delta Jour]],"")</f>
        <v/>
      </c>
      <c r="I133" s="208" t="str">
        <f t="shared" si="7"/>
        <v/>
      </c>
      <c r="J133" s="209"/>
      <c r="K133" s="38"/>
      <c r="L133" s="38"/>
      <c r="M133" s="38"/>
    </row>
    <row r="134" spans="1:13">
      <c r="A134" s="3">
        <f t="shared" ref="A134:A197" si="8">IFERROR(B133+1,0)</f>
        <v>1</v>
      </c>
      <c r="B134" s="231"/>
      <c r="C134" s="187"/>
      <c r="D134" s="188"/>
      <c r="E134" s="186"/>
      <c r="F134" s="247">
        <f t="shared" si="6"/>
        <v>0</v>
      </c>
      <c r="G134" s="247" t="str">
        <f>IF(IFERROR(IF(Str_TypeDonneesCpt7=Cpt_Index,Tab_Compteur_7[[#This Row],[Index]]-E133,Tab_Compteur_7[[#This Row],[Quantité]])/Tab_Compteur_7[[#This Row],[Delta Jour]],"")&lt;0,"",IFERROR(IF(Str_TypeDonneesCpt7=Cpt_Index,Tab_Compteur_7[[#This Row],[Index]]-E133,Tab_Compteur_7[[#This Row],[Quantité]])/Tab_Compteur_7[[#This Row],[Delta Jour]],""))</f>
        <v/>
      </c>
      <c r="H134" s="247" t="str">
        <f>IFERROR(Tab_Compteur_7[[#This Row],[Montant]]/Tab_Compteur_7[[#This Row],[Delta Jour]],"")</f>
        <v/>
      </c>
      <c r="I134" s="208" t="str">
        <f t="shared" si="7"/>
        <v/>
      </c>
      <c r="J134" s="209"/>
      <c r="K134" s="38"/>
      <c r="L134" s="38"/>
      <c r="M134" s="38"/>
    </row>
    <row r="135" spans="1:13">
      <c r="A135" s="3">
        <f t="shared" si="8"/>
        <v>1</v>
      </c>
      <c r="B135" s="231"/>
      <c r="C135" s="187"/>
      <c r="D135" s="188"/>
      <c r="E135" s="186"/>
      <c r="F135" s="247">
        <f t="shared" si="6"/>
        <v>0</v>
      </c>
      <c r="G135" s="247" t="str">
        <f>IF(IFERROR(IF(Str_TypeDonneesCpt7=Cpt_Index,Tab_Compteur_7[[#This Row],[Index]]-E134,Tab_Compteur_7[[#This Row],[Quantité]])/Tab_Compteur_7[[#This Row],[Delta Jour]],"")&lt;0,"",IFERROR(IF(Str_TypeDonneesCpt7=Cpt_Index,Tab_Compteur_7[[#This Row],[Index]]-E134,Tab_Compteur_7[[#This Row],[Quantité]])/Tab_Compteur_7[[#This Row],[Delta Jour]],""))</f>
        <v/>
      </c>
      <c r="H135" s="247" t="str">
        <f>IFERROR(Tab_Compteur_7[[#This Row],[Montant]]/Tab_Compteur_7[[#This Row],[Delta Jour]],"")</f>
        <v/>
      </c>
      <c r="I135" s="208" t="str">
        <f t="shared" si="7"/>
        <v/>
      </c>
      <c r="J135" s="209"/>
      <c r="K135" s="38"/>
      <c r="L135" s="38"/>
      <c r="M135" s="38"/>
    </row>
    <row r="136" spans="1:13">
      <c r="A136" s="3">
        <f t="shared" si="8"/>
        <v>1</v>
      </c>
      <c r="B136" s="231"/>
      <c r="C136" s="187"/>
      <c r="D136" s="188"/>
      <c r="E136" s="186"/>
      <c r="F136" s="247">
        <f t="shared" si="6"/>
        <v>0</v>
      </c>
      <c r="G136" s="247" t="str">
        <f>IF(IFERROR(IF(Str_TypeDonneesCpt7=Cpt_Index,Tab_Compteur_7[[#This Row],[Index]]-E135,Tab_Compteur_7[[#This Row],[Quantité]])/Tab_Compteur_7[[#This Row],[Delta Jour]],"")&lt;0,"",IFERROR(IF(Str_TypeDonneesCpt7=Cpt_Index,Tab_Compteur_7[[#This Row],[Index]]-E135,Tab_Compteur_7[[#This Row],[Quantité]])/Tab_Compteur_7[[#This Row],[Delta Jour]],""))</f>
        <v/>
      </c>
      <c r="H136" s="247" t="str">
        <f>IFERROR(Tab_Compteur_7[[#This Row],[Montant]]/Tab_Compteur_7[[#This Row],[Delta Jour]],"")</f>
        <v/>
      </c>
      <c r="I136" s="208" t="str">
        <f t="shared" si="7"/>
        <v/>
      </c>
      <c r="J136" s="209"/>
      <c r="K136" s="38"/>
      <c r="L136" s="38"/>
      <c r="M136" s="38"/>
    </row>
    <row r="137" spans="1:13">
      <c r="A137" s="3">
        <f t="shared" si="8"/>
        <v>1</v>
      </c>
      <c r="B137" s="231"/>
      <c r="C137" s="187"/>
      <c r="D137" s="188"/>
      <c r="E137" s="186"/>
      <c r="F137" s="247">
        <f t="shared" si="6"/>
        <v>0</v>
      </c>
      <c r="G137" s="247" t="str">
        <f>IF(IFERROR(IF(Str_TypeDonneesCpt7=Cpt_Index,Tab_Compteur_7[[#This Row],[Index]]-E136,Tab_Compteur_7[[#This Row],[Quantité]])/Tab_Compteur_7[[#This Row],[Delta Jour]],"")&lt;0,"",IFERROR(IF(Str_TypeDonneesCpt7=Cpt_Index,Tab_Compteur_7[[#This Row],[Index]]-E136,Tab_Compteur_7[[#This Row],[Quantité]])/Tab_Compteur_7[[#This Row],[Delta Jour]],""))</f>
        <v/>
      </c>
      <c r="H137" s="247" t="str">
        <f>IFERROR(Tab_Compteur_7[[#This Row],[Montant]]/Tab_Compteur_7[[#This Row],[Delta Jour]],"")</f>
        <v/>
      </c>
      <c r="I137" s="208" t="str">
        <f t="shared" si="7"/>
        <v/>
      </c>
      <c r="J137" s="209"/>
      <c r="K137" s="38"/>
      <c r="L137" s="38"/>
      <c r="M137" s="38"/>
    </row>
    <row r="138" spans="1:13">
      <c r="A138" s="3">
        <f t="shared" si="8"/>
        <v>1</v>
      </c>
      <c r="B138" s="231"/>
      <c r="C138" s="187"/>
      <c r="D138" s="188"/>
      <c r="E138" s="186"/>
      <c r="F138" s="247">
        <f t="shared" si="6"/>
        <v>0</v>
      </c>
      <c r="G138" s="247" t="str">
        <f>IF(IFERROR(IF(Str_TypeDonneesCpt7=Cpt_Index,Tab_Compteur_7[[#This Row],[Index]]-E137,Tab_Compteur_7[[#This Row],[Quantité]])/Tab_Compteur_7[[#This Row],[Delta Jour]],"")&lt;0,"",IFERROR(IF(Str_TypeDonneesCpt7=Cpt_Index,Tab_Compteur_7[[#This Row],[Index]]-E137,Tab_Compteur_7[[#This Row],[Quantité]])/Tab_Compteur_7[[#This Row],[Delta Jour]],""))</f>
        <v/>
      </c>
      <c r="H138" s="247" t="str">
        <f>IFERROR(Tab_Compteur_7[[#This Row],[Montant]]/Tab_Compteur_7[[#This Row],[Delta Jour]],"")</f>
        <v/>
      </c>
      <c r="I138" s="208" t="str">
        <f t="shared" si="7"/>
        <v/>
      </c>
      <c r="J138" s="209"/>
      <c r="K138" s="38"/>
      <c r="L138" s="38"/>
      <c r="M138" s="38"/>
    </row>
    <row r="139" spans="1:13">
      <c r="A139" s="3">
        <f t="shared" si="8"/>
        <v>1</v>
      </c>
      <c r="B139" s="231"/>
      <c r="C139" s="187"/>
      <c r="D139" s="188"/>
      <c r="E139" s="186"/>
      <c r="F139" s="247">
        <f t="shared" si="6"/>
        <v>0</v>
      </c>
      <c r="G139" s="247" t="str">
        <f>IF(IFERROR(IF(Str_TypeDonneesCpt7=Cpt_Index,Tab_Compteur_7[[#This Row],[Index]]-E138,Tab_Compteur_7[[#This Row],[Quantité]])/Tab_Compteur_7[[#This Row],[Delta Jour]],"")&lt;0,"",IFERROR(IF(Str_TypeDonneesCpt7=Cpt_Index,Tab_Compteur_7[[#This Row],[Index]]-E138,Tab_Compteur_7[[#This Row],[Quantité]])/Tab_Compteur_7[[#This Row],[Delta Jour]],""))</f>
        <v/>
      </c>
      <c r="H139" s="247" t="str">
        <f>IFERROR(Tab_Compteur_7[[#This Row],[Montant]]/Tab_Compteur_7[[#This Row],[Delta Jour]],"")</f>
        <v/>
      </c>
      <c r="I139" s="208" t="str">
        <f t="shared" si="7"/>
        <v/>
      </c>
      <c r="J139" s="209"/>
      <c r="K139" s="38"/>
      <c r="L139" s="38"/>
      <c r="M139" s="38"/>
    </row>
    <row r="140" spans="1:13">
      <c r="A140" s="3">
        <f t="shared" si="8"/>
        <v>1</v>
      </c>
      <c r="B140" s="231"/>
      <c r="C140" s="187"/>
      <c r="D140" s="188"/>
      <c r="E140" s="186"/>
      <c r="F140" s="247">
        <f t="shared" si="6"/>
        <v>0</v>
      </c>
      <c r="G140" s="247" t="str">
        <f>IF(IFERROR(IF(Str_TypeDonneesCpt7=Cpt_Index,Tab_Compteur_7[[#This Row],[Index]]-E139,Tab_Compteur_7[[#This Row],[Quantité]])/Tab_Compteur_7[[#This Row],[Delta Jour]],"")&lt;0,"",IFERROR(IF(Str_TypeDonneesCpt7=Cpt_Index,Tab_Compteur_7[[#This Row],[Index]]-E139,Tab_Compteur_7[[#This Row],[Quantité]])/Tab_Compteur_7[[#This Row],[Delta Jour]],""))</f>
        <v/>
      </c>
      <c r="H140" s="247" t="str">
        <f>IFERROR(Tab_Compteur_7[[#This Row],[Montant]]/Tab_Compteur_7[[#This Row],[Delta Jour]],"")</f>
        <v/>
      </c>
      <c r="I140" s="208" t="str">
        <f t="shared" si="7"/>
        <v/>
      </c>
      <c r="J140" s="209"/>
      <c r="K140" s="38"/>
      <c r="L140" s="38"/>
      <c r="M140" s="38"/>
    </row>
    <row r="141" spans="1:13">
      <c r="A141" s="3">
        <f t="shared" si="8"/>
        <v>1</v>
      </c>
      <c r="B141" s="231"/>
      <c r="C141" s="187"/>
      <c r="D141" s="188"/>
      <c r="E141" s="186"/>
      <c r="F141" s="247">
        <f t="shared" si="6"/>
        <v>0</v>
      </c>
      <c r="G141" s="247" t="str">
        <f>IF(IFERROR(IF(Str_TypeDonneesCpt7=Cpt_Index,Tab_Compteur_7[[#This Row],[Index]]-E140,Tab_Compteur_7[[#This Row],[Quantité]])/Tab_Compteur_7[[#This Row],[Delta Jour]],"")&lt;0,"",IFERROR(IF(Str_TypeDonneesCpt7=Cpt_Index,Tab_Compteur_7[[#This Row],[Index]]-E140,Tab_Compteur_7[[#This Row],[Quantité]])/Tab_Compteur_7[[#This Row],[Delta Jour]],""))</f>
        <v/>
      </c>
      <c r="H141" s="247" t="str">
        <f>IFERROR(Tab_Compteur_7[[#This Row],[Montant]]/Tab_Compteur_7[[#This Row],[Delta Jour]],"")</f>
        <v/>
      </c>
      <c r="I141" s="208" t="str">
        <f t="shared" si="7"/>
        <v/>
      </c>
      <c r="J141" s="209"/>
      <c r="K141" s="38"/>
      <c r="L141" s="38"/>
      <c r="M141" s="38"/>
    </row>
    <row r="142" spans="1:13">
      <c r="A142" s="3">
        <f t="shared" si="8"/>
        <v>1</v>
      </c>
      <c r="B142" s="231"/>
      <c r="C142" s="187"/>
      <c r="D142" s="188"/>
      <c r="E142" s="186"/>
      <c r="F142" s="247">
        <f t="shared" si="6"/>
        <v>0</v>
      </c>
      <c r="G142" s="247" t="str">
        <f>IF(IFERROR(IF(Str_TypeDonneesCpt7=Cpt_Index,Tab_Compteur_7[[#This Row],[Index]]-E141,Tab_Compteur_7[[#This Row],[Quantité]])/Tab_Compteur_7[[#This Row],[Delta Jour]],"")&lt;0,"",IFERROR(IF(Str_TypeDonneesCpt7=Cpt_Index,Tab_Compteur_7[[#This Row],[Index]]-E141,Tab_Compteur_7[[#This Row],[Quantité]])/Tab_Compteur_7[[#This Row],[Delta Jour]],""))</f>
        <v/>
      </c>
      <c r="H142" s="247" t="str">
        <f>IFERROR(Tab_Compteur_7[[#This Row],[Montant]]/Tab_Compteur_7[[#This Row],[Delta Jour]],"")</f>
        <v/>
      </c>
      <c r="I142" s="208" t="str">
        <f t="shared" si="7"/>
        <v/>
      </c>
      <c r="J142" s="209"/>
      <c r="K142" s="38"/>
      <c r="L142" s="38"/>
      <c r="M142" s="38"/>
    </row>
    <row r="143" spans="1:13">
      <c r="A143" s="3">
        <f t="shared" si="8"/>
        <v>1</v>
      </c>
      <c r="B143" s="231"/>
      <c r="C143" s="187"/>
      <c r="D143" s="188"/>
      <c r="E143" s="186"/>
      <c r="F143" s="247">
        <f t="shared" si="6"/>
        <v>0</v>
      </c>
      <c r="G143" s="247" t="str">
        <f>IF(IFERROR(IF(Str_TypeDonneesCpt7=Cpt_Index,Tab_Compteur_7[[#This Row],[Index]]-E142,Tab_Compteur_7[[#This Row],[Quantité]])/Tab_Compteur_7[[#This Row],[Delta Jour]],"")&lt;0,"",IFERROR(IF(Str_TypeDonneesCpt7=Cpt_Index,Tab_Compteur_7[[#This Row],[Index]]-E142,Tab_Compteur_7[[#This Row],[Quantité]])/Tab_Compteur_7[[#This Row],[Delta Jour]],""))</f>
        <v/>
      </c>
      <c r="H143" s="247" t="str">
        <f>IFERROR(Tab_Compteur_7[[#This Row],[Montant]]/Tab_Compteur_7[[#This Row],[Delta Jour]],"")</f>
        <v/>
      </c>
      <c r="I143" s="208" t="str">
        <f t="shared" si="7"/>
        <v/>
      </c>
      <c r="J143" s="209"/>
      <c r="K143" s="38"/>
      <c r="L143" s="38"/>
      <c r="M143" s="38"/>
    </row>
    <row r="144" spans="1:13">
      <c r="A144" s="3">
        <f t="shared" si="8"/>
        <v>1</v>
      </c>
      <c r="B144" s="231"/>
      <c r="C144" s="187"/>
      <c r="D144" s="188"/>
      <c r="E144" s="186"/>
      <c r="F144" s="247">
        <f t="shared" si="6"/>
        <v>0</v>
      </c>
      <c r="G144" s="247" t="str">
        <f>IF(IFERROR(IF(Str_TypeDonneesCpt7=Cpt_Index,Tab_Compteur_7[[#This Row],[Index]]-E143,Tab_Compteur_7[[#This Row],[Quantité]])/Tab_Compteur_7[[#This Row],[Delta Jour]],"")&lt;0,"",IFERROR(IF(Str_TypeDonneesCpt7=Cpt_Index,Tab_Compteur_7[[#This Row],[Index]]-E143,Tab_Compteur_7[[#This Row],[Quantité]])/Tab_Compteur_7[[#This Row],[Delta Jour]],""))</f>
        <v/>
      </c>
      <c r="H144" s="247" t="str">
        <f>IFERROR(Tab_Compteur_7[[#This Row],[Montant]]/Tab_Compteur_7[[#This Row],[Delta Jour]],"")</f>
        <v/>
      </c>
      <c r="I144" s="208" t="str">
        <f t="shared" si="7"/>
        <v/>
      </c>
      <c r="J144" s="209"/>
      <c r="K144" s="38"/>
      <c r="L144" s="38"/>
      <c r="M144" s="38"/>
    </row>
    <row r="145" spans="1:13">
      <c r="A145" s="3">
        <f t="shared" si="8"/>
        <v>1</v>
      </c>
      <c r="B145" s="231"/>
      <c r="C145" s="187"/>
      <c r="D145" s="188"/>
      <c r="E145" s="186"/>
      <c r="F145" s="247">
        <f t="shared" si="6"/>
        <v>0</v>
      </c>
      <c r="G145" s="247" t="str">
        <f>IF(IFERROR(IF(Str_TypeDonneesCpt7=Cpt_Index,Tab_Compteur_7[[#This Row],[Index]]-E144,Tab_Compteur_7[[#This Row],[Quantité]])/Tab_Compteur_7[[#This Row],[Delta Jour]],"")&lt;0,"",IFERROR(IF(Str_TypeDonneesCpt7=Cpt_Index,Tab_Compteur_7[[#This Row],[Index]]-E144,Tab_Compteur_7[[#This Row],[Quantité]])/Tab_Compteur_7[[#This Row],[Delta Jour]],""))</f>
        <v/>
      </c>
      <c r="H145" s="247" t="str">
        <f>IFERROR(Tab_Compteur_7[[#This Row],[Montant]]/Tab_Compteur_7[[#This Row],[Delta Jour]],"")</f>
        <v/>
      </c>
      <c r="I145" s="208" t="str">
        <f t="shared" si="7"/>
        <v/>
      </c>
      <c r="J145" s="209"/>
      <c r="K145" s="38"/>
      <c r="L145" s="38"/>
      <c r="M145" s="38"/>
    </row>
    <row r="146" spans="1:13">
      <c r="A146" s="3">
        <f t="shared" si="8"/>
        <v>1</v>
      </c>
      <c r="B146" s="231"/>
      <c r="C146" s="187"/>
      <c r="D146" s="188"/>
      <c r="E146" s="186"/>
      <c r="F146" s="247">
        <f t="shared" si="6"/>
        <v>0</v>
      </c>
      <c r="G146" s="247" t="str">
        <f>IF(IFERROR(IF(Str_TypeDonneesCpt7=Cpt_Index,Tab_Compteur_7[[#This Row],[Index]]-E145,Tab_Compteur_7[[#This Row],[Quantité]])/Tab_Compteur_7[[#This Row],[Delta Jour]],"")&lt;0,"",IFERROR(IF(Str_TypeDonneesCpt7=Cpt_Index,Tab_Compteur_7[[#This Row],[Index]]-E145,Tab_Compteur_7[[#This Row],[Quantité]])/Tab_Compteur_7[[#This Row],[Delta Jour]],""))</f>
        <v/>
      </c>
      <c r="H146" s="247" t="str">
        <f>IFERROR(Tab_Compteur_7[[#This Row],[Montant]]/Tab_Compteur_7[[#This Row],[Delta Jour]],"")</f>
        <v/>
      </c>
      <c r="I146" s="208" t="str">
        <f t="shared" si="7"/>
        <v/>
      </c>
      <c r="J146" s="209"/>
      <c r="K146" s="38"/>
      <c r="L146" s="38"/>
      <c r="M146" s="38"/>
    </row>
    <row r="147" spans="1:13">
      <c r="A147" s="3">
        <f t="shared" si="8"/>
        <v>1</v>
      </c>
      <c r="B147" s="231"/>
      <c r="C147" s="187"/>
      <c r="D147" s="188"/>
      <c r="E147" s="186"/>
      <c r="F147" s="247">
        <f t="shared" si="6"/>
        <v>0</v>
      </c>
      <c r="G147" s="247" t="str">
        <f>IF(IFERROR(IF(Str_TypeDonneesCpt7=Cpt_Index,Tab_Compteur_7[[#This Row],[Index]]-E146,Tab_Compteur_7[[#This Row],[Quantité]])/Tab_Compteur_7[[#This Row],[Delta Jour]],"")&lt;0,"",IFERROR(IF(Str_TypeDonneesCpt7=Cpt_Index,Tab_Compteur_7[[#This Row],[Index]]-E146,Tab_Compteur_7[[#This Row],[Quantité]])/Tab_Compteur_7[[#This Row],[Delta Jour]],""))</f>
        <v/>
      </c>
      <c r="H147" s="247" t="str">
        <f>IFERROR(Tab_Compteur_7[[#This Row],[Montant]]/Tab_Compteur_7[[#This Row],[Delta Jour]],"")</f>
        <v/>
      </c>
      <c r="I147" s="208" t="str">
        <f t="shared" si="7"/>
        <v/>
      </c>
      <c r="J147" s="209"/>
      <c r="K147" s="38"/>
      <c r="L147" s="38"/>
      <c r="M147" s="38"/>
    </row>
    <row r="148" spans="1:13">
      <c r="A148" s="3">
        <f t="shared" si="8"/>
        <v>1</v>
      </c>
      <c r="B148" s="231"/>
      <c r="C148" s="187"/>
      <c r="D148" s="188"/>
      <c r="E148" s="186"/>
      <c r="F148" s="247">
        <f t="shared" si="6"/>
        <v>0</v>
      </c>
      <c r="G148" s="247" t="str">
        <f>IF(IFERROR(IF(Str_TypeDonneesCpt7=Cpt_Index,Tab_Compteur_7[[#This Row],[Index]]-E147,Tab_Compteur_7[[#This Row],[Quantité]])/Tab_Compteur_7[[#This Row],[Delta Jour]],"")&lt;0,"",IFERROR(IF(Str_TypeDonneesCpt7=Cpt_Index,Tab_Compteur_7[[#This Row],[Index]]-E147,Tab_Compteur_7[[#This Row],[Quantité]])/Tab_Compteur_7[[#This Row],[Delta Jour]],""))</f>
        <v/>
      </c>
      <c r="H148" s="247" t="str">
        <f>IFERROR(Tab_Compteur_7[[#This Row],[Montant]]/Tab_Compteur_7[[#This Row],[Delta Jour]],"")</f>
        <v/>
      </c>
      <c r="I148" s="208" t="str">
        <f t="shared" si="7"/>
        <v/>
      </c>
      <c r="J148" s="209"/>
      <c r="K148" s="38"/>
      <c r="L148" s="38"/>
      <c r="M148" s="38"/>
    </row>
    <row r="149" spans="1:13">
      <c r="A149" s="3">
        <f t="shared" si="8"/>
        <v>1</v>
      </c>
      <c r="B149" s="231"/>
      <c r="C149" s="187"/>
      <c r="D149" s="188"/>
      <c r="E149" s="186"/>
      <c r="F149" s="247">
        <f t="shared" si="6"/>
        <v>0</v>
      </c>
      <c r="G149" s="247" t="str">
        <f>IF(IFERROR(IF(Str_TypeDonneesCpt7=Cpt_Index,Tab_Compteur_7[[#This Row],[Index]]-E148,Tab_Compteur_7[[#This Row],[Quantité]])/Tab_Compteur_7[[#This Row],[Delta Jour]],"")&lt;0,"",IFERROR(IF(Str_TypeDonneesCpt7=Cpt_Index,Tab_Compteur_7[[#This Row],[Index]]-E148,Tab_Compteur_7[[#This Row],[Quantité]])/Tab_Compteur_7[[#This Row],[Delta Jour]],""))</f>
        <v/>
      </c>
      <c r="H149" s="247" t="str">
        <f>IFERROR(Tab_Compteur_7[[#This Row],[Montant]]/Tab_Compteur_7[[#This Row],[Delta Jour]],"")</f>
        <v/>
      </c>
      <c r="I149" s="208" t="str">
        <f t="shared" si="7"/>
        <v/>
      </c>
      <c r="J149" s="209"/>
      <c r="K149" s="38"/>
      <c r="L149" s="38"/>
      <c r="M149" s="38"/>
    </row>
    <row r="150" spans="1:13">
      <c r="A150" s="3">
        <f t="shared" si="8"/>
        <v>1</v>
      </c>
      <c r="B150" s="231"/>
      <c r="C150" s="187"/>
      <c r="D150" s="188"/>
      <c r="E150" s="186"/>
      <c r="F150" s="247">
        <f t="shared" si="6"/>
        <v>0</v>
      </c>
      <c r="G150" s="247" t="str">
        <f>IF(IFERROR(IF(Str_TypeDonneesCpt7=Cpt_Index,Tab_Compteur_7[[#This Row],[Index]]-E149,Tab_Compteur_7[[#This Row],[Quantité]])/Tab_Compteur_7[[#This Row],[Delta Jour]],"")&lt;0,"",IFERROR(IF(Str_TypeDonneesCpt7=Cpt_Index,Tab_Compteur_7[[#This Row],[Index]]-E149,Tab_Compteur_7[[#This Row],[Quantité]])/Tab_Compteur_7[[#This Row],[Delta Jour]],""))</f>
        <v/>
      </c>
      <c r="H150" s="247" t="str">
        <f>IFERROR(Tab_Compteur_7[[#This Row],[Montant]]/Tab_Compteur_7[[#This Row],[Delta Jour]],"")</f>
        <v/>
      </c>
      <c r="I150" s="208" t="str">
        <f t="shared" si="7"/>
        <v/>
      </c>
      <c r="J150" s="209"/>
      <c r="K150" s="38"/>
      <c r="L150" s="38"/>
      <c r="M150" s="38"/>
    </row>
    <row r="151" spans="1:13">
      <c r="A151" s="3">
        <f t="shared" si="8"/>
        <v>1</v>
      </c>
      <c r="B151" s="231"/>
      <c r="C151" s="187"/>
      <c r="D151" s="188"/>
      <c r="E151" s="186"/>
      <c r="F151" s="247">
        <f t="shared" si="6"/>
        <v>0</v>
      </c>
      <c r="G151" s="247" t="str">
        <f>IF(IFERROR(IF(Str_TypeDonneesCpt7=Cpt_Index,Tab_Compteur_7[[#This Row],[Index]]-E150,Tab_Compteur_7[[#This Row],[Quantité]])/Tab_Compteur_7[[#This Row],[Delta Jour]],"")&lt;0,"",IFERROR(IF(Str_TypeDonneesCpt7=Cpt_Index,Tab_Compteur_7[[#This Row],[Index]]-E150,Tab_Compteur_7[[#This Row],[Quantité]])/Tab_Compteur_7[[#This Row],[Delta Jour]],""))</f>
        <v/>
      </c>
      <c r="H151" s="247" t="str">
        <f>IFERROR(Tab_Compteur_7[[#This Row],[Montant]]/Tab_Compteur_7[[#This Row],[Delta Jour]],"")</f>
        <v/>
      </c>
      <c r="I151" s="208" t="str">
        <f t="shared" si="7"/>
        <v/>
      </c>
      <c r="J151" s="209"/>
      <c r="K151" s="38"/>
      <c r="L151" s="38"/>
      <c r="M151" s="38"/>
    </row>
    <row r="152" spans="1:13">
      <c r="A152" s="3">
        <f t="shared" si="8"/>
        <v>1</v>
      </c>
      <c r="B152" s="231"/>
      <c r="C152" s="187"/>
      <c r="D152" s="188"/>
      <c r="E152" s="186"/>
      <c r="F152" s="247">
        <f t="shared" si="6"/>
        <v>0</v>
      </c>
      <c r="G152" s="247" t="str">
        <f>IF(IFERROR(IF(Str_TypeDonneesCpt7=Cpt_Index,Tab_Compteur_7[[#This Row],[Index]]-E151,Tab_Compteur_7[[#This Row],[Quantité]])/Tab_Compteur_7[[#This Row],[Delta Jour]],"")&lt;0,"",IFERROR(IF(Str_TypeDonneesCpt7=Cpt_Index,Tab_Compteur_7[[#This Row],[Index]]-E151,Tab_Compteur_7[[#This Row],[Quantité]])/Tab_Compteur_7[[#This Row],[Delta Jour]],""))</f>
        <v/>
      </c>
      <c r="H152" s="247" t="str">
        <f>IFERROR(Tab_Compteur_7[[#This Row],[Montant]]/Tab_Compteur_7[[#This Row],[Delta Jour]],"")</f>
        <v/>
      </c>
      <c r="I152" s="208" t="str">
        <f t="shared" si="7"/>
        <v/>
      </c>
      <c r="J152" s="209"/>
      <c r="K152" s="38"/>
      <c r="L152" s="38"/>
      <c r="M152" s="38"/>
    </row>
    <row r="153" spans="1:13">
      <c r="A153" s="3">
        <f t="shared" si="8"/>
        <v>1</v>
      </c>
      <c r="B153" s="231"/>
      <c r="C153" s="187"/>
      <c r="D153" s="188"/>
      <c r="E153" s="186"/>
      <c r="F153" s="247">
        <f t="shared" si="6"/>
        <v>0</v>
      </c>
      <c r="G153" s="247" t="str">
        <f>IF(IFERROR(IF(Str_TypeDonneesCpt7=Cpt_Index,Tab_Compteur_7[[#This Row],[Index]]-E152,Tab_Compteur_7[[#This Row],[Quantité]])/Tab_Compteur_7[[#This Row],[Delta Jour]],"")&lt;0,"",IFERROR(IF(Str_TypeDonneesCpt7=Cpt_Index,Tab_Compteur_7[[#This Row],[Index]]-E152,Tab_Compteur_7[[#This Row],[Quantité]])/Tab_Compteur_7[[#This Row],[Delta Jour]],""))</f>
        <v/>
      </c>
      <c r="H153" s="247" t="str">
        <f>IFERROR(Tab_Compteur_7[[#This Row],[Montant]]/Tab_Compteur_7[[#This Row],[Delta Jour]],"")</f>
        <v/>
      </c>
      <c r="I153" s="208" t="str">
        <f t="shared" si="7"/>
        <v/>
      </c>
      <c r="J153" s="209"/>
      <c r="K153" s="38"/>
      <c r="L153" s="38"/>
      <c r="M153" s="38"/>
    </row>
    <row r="154" spans="1:13">
      <c r="A154" s="3">
        <f t="shared" si="8"/>
        <v>1</v>
      </c>
      <c r="B154" s="231"/>
      <c r="C154" s="187"/>
      <c r="D154" s="188"/>
      <c r="E154" s="186"/>
      <c r="F154" s="247">
        <f t="shared" si="6"/>
        <v>0</v>
      </c>
      <c r="G154" s="247" t="str">
        <f>IF(IFERROR(IF(Str_TypeDonneesCpt7=Cpt_Index,Tab_Compteur_7[[#This Row],[Index]]-E153,Tab_Compteur_7[[#This Row],[Quantité]])/Tab_Compteur_7[[#This Row],[Delta Jour]],"")&lt;0,"",IFERROR(IF(Str_TypeDonneesCpt7=Cpt_Index,Tab_Compteur_7[[#This Row],[Index]]-E153,Tab_Compteur_7[[#This Row],[Quantité]])/Tab_Compteur_7[[#This Row],[Delta Jour]],""))</f>
        <v/>
      </c>
      <c r="H154" s="247" t="str">
        <f>IFERROR(Tab_Compteur_7[[#This Row],[Montant]]/Tab_Compteur_7[[#This Row],[Delta Jour]],"")</f>
        <v/>
      </c>
      <c r="I154" s="208" t="str">
        <f t="shared" si="7"/>
        <v/>
      </c>
      <c r="J154" s="209"/>
      <c r="K154" s="38"/>
      <c r="L154" s="38"/>
      <c r="M154" s="38"/>
    </row>
    <row r="155" spans="1:13">
      <c r="A155" s="3">
        <f t="shared" si="8"/>
        <v>1</v>
      </c>
      <c r="B155" s="231"/>
      <c r="C155" s="187"/>
      <c r="D155" s="188"/>
      <c r="E155" s="186"/>
      <c r="F155" s="247">
        <f t="shared" si="6"/>
        <v>0</v>
      </c>
      <c r="G155" s="247" t="str">
        <f>IF(IFERROR(IF(Str_TypeDonneesCpt7=Cpt_Index,Tab_Compteur_7[[#This Row],[Index]]-E154,Tab_Compteur_7[[#This Row],[Quantité]])/Tab_Compteur_7[[#This Row],[Delta Jour]],"")&lt;0,"",IFERROR(IF(Str_TypeDonneesCpt7=Cpt_Index,Tab_Compteur_7[[#This Row],[Index]]-E154,Tab_Compteur_7[[#This Row],[Quantité]])/Tab_Compteur_7[[#This Row],[Delta Jour]],""))</f>
        <v/>
      </c>
      <c r="H155" s="247" t="str">
        <f>IFERROR(Tab_Compteur_7[[#This Row],[Montant]]/Tab_Compteur_7[[#This Row],[Delta Jour]],"")</f>
        <v/>
      </c>
      <c r="I155" s="208" t="str">
        <f t="shared" si="7"/>
        <v/>
      </c>
      <c r="J155" s="209"/>
      <c r="K155" s="38"/>
      <c r="L155" s="38"/>
      <c r="M155" s="38"/>
    </row>
    <row r="156" spans="1:13">
      <c r="A156" s="3">
        <f t="shared" si="8"/>
        <v>1</v>
      </c>
      <c r="B156" s="231"/>
      <c r="C156" s="187"/>
      <c r="D156" s="188"/>
      <c r="E156" s="186"/>
      <c r="F156" s="247">
        <f t="shared" si="6"/>
        <v>0</v>
      </c>
      <c r="G156" s="247" t="str">
        <f>IF(IFERROR(IF(Str_TypeDonneesCpt7=Cpt_Index,Tab_Compteur_7[[#This Row],[Index]]-E155,Tab_Compteur_7[[#This Row],[Quantité]])/Tab_Compteur_7[[#This Row],[Delta Jour]],"")&lt;0,"",IFERROR(IF(Str_TypeDonneesCpt7=Cpt_Index,Tab_Compteur_7[[#This Row],[Index]]-E155,Tab_Compteur_7[[#This Row],[Quantité]])/Tab_Compteur_7[[#This Row],[Delta Jour]],""))</f>
        <v/>
      </c>
      <c r="H156" s="247" t="str">
        <f>IFERROR(Tab_Compteur_7[[#This Row],[Montant]]/Tab_Compteur_7[[#This Row],[Delta Jour]],"")</f>
        <v/>
      </c>
      <c r="I156" s="208" t="str">
        <f t="shared" si="7"/>
        <v/>
      </c>
      <c r="J156" s="209"/>
      <c r="K156" s="38"/>
      <c r="L156" s="38"/>
      <c r="M156" s="38"/>
    </row>
    <row r="157" spans="1:13">
      <c r="A157" s="3">
        <f t="shared" si="8"/>
        <v>1</v>
      </c>
      <c r="B157" s="231"/>
      <c r="C157" s="187"/>
      <c r="D157" s="188"/>
      <c r="E157" s="186"/>
      <c r="F157" s="247">
        <f t="shared" si="6"/>
        <v>0</v>
      </c>
      <c r="G157" s="247" t="str">
        <f>IF(IFERROR(IF(Str_TypeDonneesCpt7=Cpt_Index,Tab_Compteur_7[[#This Row],[Index]]-E156,Tab_Compteur_7[[#This Row],[Quantité]])/Tab_Compteur_7[[#This Row],[Delta Jour]],"")&lt;0,"",IFERROR(IF(Str_TypeDonneesCpt7=Cpt_Index,Tab_Compteur_7[[#This Row],[Index]]-E156,Tab_Compteur_7[[#This Row],[Quantité]])/Tab_Compteur_7[[#This Row],[Delta Jour]],""))</f>
        <v/>
      </c>
      <c r="H157" s="247" t="str">
        <f>IFERROR(Tab_Compteur_7[[#This Row],[Montant]]/Tab_Compteur_7[[#This Row],[Delta Jour]],"")</f>
        <v/>
      </c>
      <c r="I157" s="208" t="str">
        <f t="shared" si="7"/>
        <v/>
      </c>
      <c r="J157" s="209"/>
      <c r="K157" s="38"/>
      <c r="L157" s="38"/>
      <c r="M157" s="38"/>
    </row>
    <row r="158" spans="1:13">
      <c r="A158" s="3">
        <f t="shared" si="8"/>
        <v>1</v>
      </c>
      <c r="B158" s="231"/>
      <c r="C158" s="187"/>
      <c r="D158" s="188"/>
      <c r="E158" s="186"/>
      <c r="F158" s="247">
        <f t="shared" si="6"/>
        <v>0</v>
      </c>
      <c r="G158" s="247" t="str">
        <f>IF(IFERROR(IF(Str_TypeDonneesCpt7=Cpt_Index,Tab_Compteur_7[[#This Row],[Index]]-E157,Tab_Compteur_7[[#This Row],[Quantité]])/Tab_Compteur_7[[#This Row],[Delta Jour]],"")&lt;0,"",IFERROR(IF(Str_TypeDonneesCpt7=Cpt_Index,Tab_Compteur_7[[#This Row],[Index]]-E157,Tab_Compteur_7[[#This Row],[Quantité]])/Tab_Compteur_7[[#This Row],[Delta Jour]],""))</f>
        <v/>
      </c>
      <c r="H158" s="247" t="str">
        <f>IFERROR(Tab_Compteur_7[[#This Row],[Montant]]/Tab_Compteur_7[[#This Row],[Delta Jour]],"")</f>
        <v/>
      </c>
      <c r="I158" s="208" t="str">
        <f t="shared" si="7"/>
        <v/>
      </c>
      <c r="J158" s="209"/>
      <c r="K158" s="38"/>
      <c r="L158" s="38"/>
      <c r="M158" s="38"/>
    </row>
    <row r="159" spans="1:13">
      <c r="A159" s="3">
        <f t="shared" si="8"/>
        <v>1</v>
      </c>
      <c r="B159" s="231"/>
      <c r="C159" s="187"/>
      <c r="D159" s="188"/>
      <c r="E159" s="186"/>
      <c r="F159" s="247">
        <f t="shared" si="6"/>
        <v>0</v>
      </c>
      <c r="G159" s="247" t="str">
        <f>IF(IFERROR(IF(Str_TypeDonneesCpt7=Cpt_Index,Tab_Compteur_7[[#This Row],[Index]]-E158,Tab_Compteur_7[[#This Row],[Quantité]])/Tab_Compteur_7[[#This Row],[Delta Jour]],"")&lt;0,"",IFERROR(IF(Str_TypeDonneesCpt7=Cpt_Index,Tab_Compteur_7[[#This Row],[Index]]-E158,Tab_Compteur_7[[#This Row],[Quantité]])/Tab_Compteur_7[[#This Row],[Delta Jour]],""))</f>
        <v/>
      </c>
      <c r="H159" s="247" t="str">
        <f>IFERROR(Tab_Compteur_7[[#This Row],[Montant]]/Tab_Compteur_7[[#This Row],[Delta Jour]],"")</f>
        <v/>
      </c>
      <c r="I159" s="208" t="str">
        <f t="shared" si="7"/>
        <v/>
      </c>
      <c r="J159" s="209"/>
      <c r="K159" s="38"/>
      <c r="L159" s="38"/>
      <c r="M159" s="38"/>
    </row>
    <row r="160" spans="1:13">
      <c r="A160" s="3">
        <f t="shared" si="8"/>
        <v>1</v>
      </c>
      <c r="B160" s="231"/>
      <c r="C160" s="187"/>
      <c r="D160" s="188"/>
      <c r="E160" s="186"/>
      <c r="F160" s="247">
        <f t="shared" si="6"/>
        <v>0</v>
      </c>
      <c r="G160" s="247" t="str">
        <f>IF(IFERROR(IF(Str_TypeDonneesCpt7=Cpt_Index,Tab_Compteur_7[[#This Row],[Index]]-E159,Tab_Compteur_7[[#This Row],[Quantité]])/Tab_Compteur_7[[#This Row],[Delta Jour]],"")&lt;0,"",IFERROR(IF(Str_TypeDonneesCpt7=Cpt_Index,Tab_Compteur_7[[#This Row],[Index]]-E159,Tab_Compteur_7[[#This Row],[Quantité]])/Tab_Compteur_7[[#This Row],[Delta Jour]],""))</f>
        <v/>
      </c>
      <c r="H160" s="247" t="str">
        <f>IFERROR(Tab_Compteur_7[[#This Row],[Montant]]/Tab_Compteur_7[[#This Row],[Delta Jour]],"")</f>
        <v/>
      </c>
      <c r="I160" s="208" t="str">
        <f t="shared" si="7"/>
        <v/>
      </c>
      <c r="J160" s="209"/>
      <c r="K160" s="38"/>
      <c r="L160" s="38"/>
      <c r="M160" s="38"/>
    </row>
    <row r="161" spans="1:13">
      <c r="A161" s="3">
        <f t="shared" si="8"/>
        <v>1</v>
      </c>
      <c r="B161" s="231"/>
      <c r="C161" s="187"/>
      <c r="D161" s="188"/>
      <c r="E161" s="186"/>
      <c r="F161" s="247">
        <f t="shared" si="6"/>
        <v>0</v>
      </c>
      <c r="G161" s="247" t="str">
        <f>IF(IFERROR(IF(Str_TypeDonneesCpt7=Cpt_Index,Tab_Compteur_7[[#This Row],[Index]]-E160,Tab_Compteur_7[[#This Row],[Quantité]])/Tab_Compteur_7[[#This Row],[Delta Jour]],"")&lt;0,"",IFERROR(IF(Str_TypeDonneesCpt7=Cpt_Index,Tab_Compteur_7[[#This Row],[Index]]-E160,Tab_Compteur_7[[#This Row],[Quantité]])/Tab_Compteur_7[[#This Row],[Delta Jour]],""))</f>
        <v/>
      </c>
      <c r="H161" s="247" t="str">
        <f>IFERROR(Tab_Compteur_7[[#This Row],[Montant]]/Tab_Compteur_7[[#This Row],[Delta Jour]],"")</f>
        <v/>
      </c>
      <c r="I161" s="208" t="str">
        <f t="shared" si="7"/>
        <v/>
      </c>
      <c r="J161" s="209"/>
      <c r="K161" s="38"/>
      <c r="L161" s="38"/>
      <c r="M161" s="38"/>
    </row>
    <row r="162" spans="1:13">
      <c r="A162" s="3">
        <f t="shared" si="8"/>
        <v>1</v>
      </c>
      <c r="B162" s="231"/>
      <c r="C162" s="187"/>
      <c r="D162" s="188"/>
      <c r="E162" s="186"/>
      <c r="F162" s="247">
        <f t="shared" si="6"/>
        <v>0</v>
      </c>
      <c r="G162" s="247" t="str">
        <f>IF(IFERROR(IF(Str_TypeDonneesCpt7=Cpt_Index,Tab_Compteur_7[[#This Row],[Index]]-E161,Tab_Compteur_7[[#This Row],[Quantité]])/Tab_Compteur_7[[#This Row],[Delta Jour]],"")&lt;0,"",IFERROR(IF(Str_TypeDonneesCpt7=Cpt_Index,Tab_Compteur_7[[#This Row],[Index]]-E161,Tab_Compteur_7[[#This Row],[Quantité]])/Tab_Compteur_7[[#This Row],[Delta Jour]],""))</f>
        <v/>
      </c>
      <c r="H162" s="247" t="str">
        <f>IFERROR(Tab_Compteur_7[[#This Row],[Montant]]/Tab_Compteur_7[[#This Row],[Delta Jour]],"")</f>
        <v/>
      </c>
      <c r="I162" s="208" t="str">
        <f t="shared" si="7"/>
        <v/>
      </c>
      <c r="J162" s="209"/>
      <c r="K162" s="38"/>
      <c r="L162" s="38"/>
      <c r="M162" s="38"/>
    </row>
    <row r="163" spans="1:13">
      <c r="A163" s="3">
        <f t="shared" si="8"/>
        <v>1</v>
      </c>
      <c r="B163" s="231"/>
      <c r="C163" s="187"/>
      <c r="D163" s="188"/>
      <c r="E163" s="186"/>
      <c r="F163" s="247">
        <f t="shared" si="6"/>
        <v>0</v>
      </c>
      <c r="G163" s="247" t="str">
        <f>IF(IFERROR(IF(Str_TypeDonneesCpt7=Cpt_Index,Tab_Compteur_7[[#This Row],[Index]]-E162,Tab_Compteur_7[[#This Row],[Quantité]])/Tab_Compteur_7[[#This Row],[Delta Jour]],"")&lt;0,"",IFERROR(IF(Str_TypeDonneesCpt7=Cpt_Index,Tab_Compteur_7[[#This Row],[Index]]-E162,Tab_Compteur_7[[#This Row],[Quantité]])/Tab_Compteur_7[[#This Row],[Delta Jour]],""))</f>
        <v/>
      </c>
      <c r="H163" s="247" t="str">
        <f>IFERROR(Tab_Compteur_7[[#This Row],[Montant]]/Tab_Compteur_7[[#This Row],[Delta Jour]],"")</f>
        <v/>
      </c>
      <c r="I163" s="208" t="str">
        <f t="shared" si="7"/>
        <v/>
      </c>
      <c r="J163" s="209"/>
      <c r="K163" s="38"/>
      <c r="L163" s="38"/>
      <c r="M163" s="38"/>
    </row>
    <row r="164" spans="1:13">
      <c r="A164" s="3">
        <f t="shared" si="8"/>
        <v>1</v>
      </c>
      <c r="B164" s="231"/>
      <c r="C164" s="187"/>
      <c r="D164" s="188"/>
      <c r="E164" s="186"/>
      <c r="F164" s="247">
        <f t="shared" si="6"/>
        <v>0</v>
      </c>
      <c r="G164" s="247" t="str">
        <f>IF(IFERROR(IF(Str_TypeDonneesCpt7=Cpt_Index,Tab_Compteur_7[[#This Row],[Index]]-E163,Tab_Compteur_7[[#This Row],[Quantité]])/Tab_Compteur_7[[#This Row],[Delta Jour]],"")&lt;0,"",IFERROR(IF(Str_TypeDonneesCpt7=Cpt_Index,Tab_Compteur_7[[#This Row],[Index]]-E163,Tab_Compteur_7[[#This Row],[Quantité]])/Tab_Compteur_7[[#This Row],[Delta Jour]],""))</f>
        <v/>
      </c>
      <c r="H164" s="247" t="str">
        <f>IFERROR(Tab_Compteur_7[[#This Row],[Montant]]/Tab_Compteur_7[[#This Row],[Delta Jour]],"")</f>
        <v/>
      </c>
      <c r="I164" s="208" t="str">
        <f t="shared" si="7"/>
        <v/>
      </c>
      <c r="J164" s="209"/>
      <c r="K164" s="38"/>
      <c r="L164" s="38"/>
      <c r="M164" s="38"/>
    </row>
    <row r="165" spans="1:13">
      <c r="A165" s="3">
        <f t="shared" si="8"/>
        <v>1</v>
      </c>
      <c r="B165" s="231"/>
      <c r="C165" s="187"/>
      <c r="D165" s="188"/>
      <c r="E165" s="186"/>
      <c r="F165" s="247">
        <f t="shared" si="6"/>
        <v>0</v>
      </c>
      <c r="G165" s="247" t="str">
        <f>IF(IFERROR(IF(Str_TypeDonneesCpt7=Cpt_Index,Tab_Compteur_7[[#This Row],[Index]]-E164,Tab_Compteur_7[[#This Row],[Quantité]])/Tab_Compteur_7[[#This Row],[Delta Jour]],"")&lt;0,"",IFERROR(IF(Str_TypeDonneesCpt7=Cpt_Index,Tab_Compteur_7[[#This Row],[Index]]-E164,Tab_Compteur_7[[#This Row],[Quantité]])/Tab_Compteur_7[[#This Row],[Delta Jour]],""))</f>
        <v/>
      </c>
      <c r="H165" s="247" t="str">
        <f>IFERROR(Tab_Compteur_7[[#This Row],[Montant]]/Tab_Compteur_7[[#This Row],[Delta Jour]],"")</f>
        <v/>
      </c>
      <c r="I165" s="208" t="str">
        <f t="shared" si="7"/>
        <v/>
      </c>
      <c r="J165" s="209"/>
      <c r="K165" s="38"/>
      <c r="L165" s="38"/>
      <c r="M165" s="38"/>
    </row>
    <row r="166" spans="1:13">
      <c r="A166" s="3">
        <f t="shared" si="8"/>
        <v>1</v>
      </c>
      <c r="B166" s="231"/>
      <c r="C166" s="187"/>
      <c r="D166" s="188"/>
      <c r="E166" s="186"/>
      <c r="F166" s="247">
        <f t="shared" si="6"/>
        <v>0</v>
      </c>
      <c r="G166" s="247" t="str">
        <f>IF(IFERROR(IF(Str_TypeDonneesCpt7=Cpt_Index,Tab_Compteur_7[[#This Row],[Index]]-E165,Tab_Compteur_7[[#This Row],[Quantité]])/Tab_Compteur_7[[#This Row],[Delta Jour]],"")&lt;0,"",IFERROR(IF(Str_TypeDonneesCpt7=Cpt_Index,Tab_Compteur_7[[#This Row],[Index]]-E165,Tab_Compteur_7[[#This Row],[Quantité]])/Tab_Compteur_7[[#This Row],[Delta Jour]],""))</f>
        <v/>
      </c>
      <c r="H166" s="247" t="str">
        <f>IFERROR(Tab_Compteur_7[[#This Row],[Montant]]/Tab_Compteur_7[[#This Row],[Delta Jour]],"")</f>
        <v/>
      </c>
      <c r="I166" s="208" t="str">
        <f t="shared" si="7"/>
        <v/>
      </c>
      <c r="J166" s="209"/>
      <c r="K166" s="38"/>
      <c r="L166" s="38"/>
      <c r="M166" s="38"/>
    </row>
    <row r="167" spans="1:13">
      <c r="A167" s="3">
        <f t="shared" si="8"/>
        <v>1</v>
      </c>
      <c r="B167" s="231"/>
      <c r="C167" s="187"/>
      <c r="D167" s="188"/>
      <c r="E167" s="186"/>
      <c r="F167" s="247">
        <f t="shared" si="6"/>
        <v>0</v>
      </c>
      <c r="G167" s="247" t="str">
        <f>IF(IFERROR(IF(Str_TypeDonneesCpt7=Cpt_Index,Tab_Compteur_7[[#This Row],[Index]]-E166,Tab_Compteur_7[[#This Row],[Quantité]])/Tab_Compteur_7[[#This Row],[Delta Jour]],"")&lt;0,"",IFERROR(IF(Str_TypeDonneesCpt7=Cpt_Index,Tab_Compteur_7[[#This Row],[Index]]-E166,Tab_Compteur_7[[#This Row],[Quantité]])/Tab_Compteur_7[[#This Row],[Delta Jour]],""))</f>
        <v/>
      </c>
      <c r="H167" s="247" t="str">
        <f>IFERROR(Tab_Compteur_7[[#This Row],[Montant]]/Tab_Compteur_7[[#This Row],[Delta Jour]],"")</f>
        <v/>
      </c>
      <c r="I167" s="208" t="str">
        <f t="shared" si="7"/>
        <v/>
      </c>
      <c r="J167" s="209"/>
      <c r="K167" s="38"/>
      <c r="L167" s="38"/>
      <c r="M167" s="38"/>
    </row>
    <row r="168" spans="1:13">
      <c r="A168" s="3">
        <f t="shared" si="8"/>
        <v>1</v>
      </c>
      <c r="B168" s="231"/>
      <c r="C168" s="187"/>
      <c r="D168" s="188"/>
      <c r="E168" s="186"/>
      <c r="F168" s="247">
        <f t="shared" si="6"/>
        <v>0</v>
      </c>
      <c r="G168" s="247" t="str">
        <f>IF(IFERROR(IF(Str_TypeDonneesCpt7=Cpt_Index,Tab_Compteur_7[[#This Row],[Index]]-E167,Tab_Compteur_7[[#This Row],[Quantité]])/Tab_Compteur_7[[#This Row],[Delta Jour]],"")&lt;0,"",IFERROR(IF(Str_TypeDonneesCpt7=Cpt_Index,Tab_Compteur_7[[#This Row],[Index]]-E167,Tab_Compteur_7[[#This Row],[Quantité]])/Tab_Compteur_7[[#This Row],[Delta Jour]],""))</f>
        <v/>
      </c>
      <c r="H168" s="247" t="str">
        <f>IFERROR(Tab_Compteur_7[[#This Row],[Montant]]/Tab_Compteur_7[[#This Row],[Delta Jour]],"")</f>
        <v/>
      </c>
      <c r="I168" s="208" t="str">
        <f t="shared" si="7"/>
        <v/>
      </c>
      <c r="J168" s="209"/>
      <c r="K168" s="38"/>
      <c r="L168" s="38"/>
      <c r="M168" s="38"/>
    </row>
    <row r="169" spans="1:13">
      <c r="A169" s="3">
        <f t="shared" si="8"/>
        <v>1</v>
      </c>
      <c r="B169" s="231"/>
      <c r="C169" s="187"/>
      <c r="D169" s="188"/>
      <c r="E169" s="186"/>
      <c r="F169" s="247">
        <f t="shared" si="6"/>
        <v>0</v>
      </c>
      <c r="G169" s="247" t="str">
        <f>IF(IFERROR(IF(Str_TypeDonneesCpt7=Cpt_Index,Tab_Compteur_7[[#This Row],[Index]]-E168,Tab_Compteur_7[[#This Row],[Quantité]])/Tab_Compteur_7[[#This Row],[Delta Jour]],"")&lt;0,"",IFERROR(IF(Str_TypeDonneesCpt7=Cpt_Index,Tab_Compteur_7[[#This Row],[Index]]-E168,Tab_Compteur_7[[#This Row],[Quantité]])/Tab_Compteur_7[[#This Row],[Delta Jour]],""))</f>
        <v/>
      </c>
      <c r="H169" s="247" t="str">
        <f>IFERROR(Tab_Compteur_7[[#This Row],[Montant]]/Tab_Compteur_7[[#This Row],[Delta Jour]],"")</f>
        <v/>
      </c>
      <c r="I169" s="208" t="str">
        <f t="shared" si="7"/>
        <v/>
      </c>
      <c r="J169" s="209"/>
      <c r="K169" s="38"/>
      <c r="L169" s="38"/>
      <c r="M169" s="38"/>
    </row>
    <row r="170" spans="1:13">
      <c r="A170" s="3">
        <f t="shared" si="8"/>
        <v>1</v>
      </c>
      <c r="B170" s="231"/>
      <c r="C170" s="187"/>
      <c r="D170" s="188"/>
      <c r="E170" s="186"/>
      <c r="F170" s="247">
        <f t="shared" si="6"/>
        <v>0</v>
      </c>
      <c r="G170" s="247" t="str">
        <f>IF(IFERROR(IF(Str_TypeDonneesCpt7=Cpt_Index,Tab_Compteur_7[[#This Row],[Index]]-E169,Tab_Compteur_7[[#This Row],[Quantité]])/Tab_Compteur_7[[#This Row],[Delta Jour]],"")&lt;0,"",IFERROR(IF(Str_TypeDonneesCpt7=Cpt_Index,Tab_Compteur_7[[#This Row],[Index]]-E169,Tab_Compteur_7[[#This Row],[Quantité]])/Tab_Compteur_7[[#This Row],[Delta Jour]],""))</f>
        <v/>
      </c>
      <c r="H170" s="247" t="str">
        <f>IFERROR(Tab_Compteur_7[[#This Row],[Montant]]/Tab_Compteur_7[[#This Row],[Delta Jour]],"")</f>
        <v/>
      </c>
      <c r="I170" s="208" t="str">
        <f t="shared" si="7"/>
        <v/>
      </c>
      <c r="J170" s="209"/>
      <c r="K170" s="38"/>
      <c r="L170" s="38"/>
      <c r="M170" s="38"/>
    </row>
    <row r="171" spans="1:13">
      <c r="A171" s="3">
        <f t="shared" si="8"/>
        <v>1</v>
      </c>
      <c r="B171" s="231"/>
      <c r="C171" s="187"/>
      <c r="D171" s="188"/>
      <c r="E171" s="186"/>
      <c r="F171" s="247">
        <f t="shared" si="6"/>
        <v>0</v>
      </c>
      <c r="G171" s="247" t="str">
        <f>IF(IFERROR(IF(Str_TypeDonneesCpt7=Cpt_Index,Tab_Compteur_7[[#This Row],[Index]]-E170,Tab_Compteur_7[[#This Row],[Quantité]])/Tab_Compteur_7[[#This Row],[Delta Jour]],"")&lt;0,"",IFERROR(IF(Str_TypeDonneesCpt7=Cpt_Index,Tab_Compteur_7[[#This Row],[Index]]-E170,Tab_Compteur_7[[#This Row],[Quantité]])/Tab_Compteur_7[[#This Row],[Delta Jour]],""))</f>
        <v/>
      </c>
      <c r="H171" s="247" t="str">
        <f>IFERROR(Tab_Compteur_7[[#This Row],[Montant]]/Tab_Compteur_7[[#This Row],[Delta Jour]],"")</f>
        <v/>
      </c>
      <c r="I171" s="208" t="str">
        <f t="shared" si="7"/>
        <v/>
      </c>
      <c r="J171" s="209"/>
      <c r="K171" s="38"/>
      <c r="L171" s="38"/>
      <c r="M171" s="38"/>
    </row>
    <row r="172" spans="1:13">
      <c r="A172" s="3">
        <f t="shared" si="8"/>
        <v>1</v>
      </c>
      <c r="B172" s="231"/>
      <c r="C172" s="187"/>
      <c r="D172" s="188"/>
      <c r="E172" s="186"/>
      <c r="F172" s="247">
        <f t="shared" si="6"/>
        <v>0</v>
      </c>
      <c r="G172" s="247" t="str">
        <f>IF(IFERROR(IF(Str_TypeDonneesCpt7=Cpt_Index,Tab_Compteur_7[[#This Row],[Index]]-E171,Tab_Compteur_7[[#This Row],[Quantité]])/Tab_Compteur_7[[#This Row],[Delta Jour]],"")&lt;0,"",IFERROR(IF(Str_TypeDonneesCpt7=Cpt_Index,Tab_Compteur_7[[#This Row],[Index]]-E171,Tab_Compteur_7[[#This Row],[Quantité]])/Tab_Compteur_7[[#This Row],[Delta Jour]],""))</f>
        <v/>
      </c>
      <c r="H172" s="247" t="str">
        <f>IFERROR(Tab_Compteur_7[[#This Row],[Montant]]/Tab_Compteur_7[[#This Row],[Delta Jour]],"")</f>
        <v/>
      </c>
      <c r="I172" s="208" t="str">
        <f t="shared" si="7"/>
        <v/>
      </c>
      <c r="J172" s="209"/>
      <c r="K172" s="38"/>
      <c r="L172" s="38"/>
      <c r="M172" s="38"/>
    </row>
    <row r="173" spans="1:13">
      <c r="A173" s="3">
        <f t="shared" si="8"/>
        <v>1</v>
      </c>
      <c r="B173" s="231"/>
      <c r="C173" s="187"/>
      <c r="D173" s="188"/>
      <c r="E173" s="186"/>
      <c r="F173" s="247">
        <f t="shared" si="6"/>
        <v>0</v>
      </c>
      <c r="G173" s="247" t="str">
        <f>IF(IFERROR(IF(Str_TypeDonneesCpt7=Cpt_Index,Tab_Compteur_7[[#This Row],[Index]]-E172,Tab_Compteur_7[[#This Row],[Quantité]])/Tab_Compteur_7[[#This Row],[Delta Jour]],"")&lt;0,"",IFERROR(IF(Str_TypeDonneesCpt7=Cpt_Index,Tab_Compteur_7[[#This Row],[Index]]-E172,Tab_Compteur_7[[#This Row],[Quantité]])/Tab_Compteur_7[[#This Row],[Delta Jour]],""))</f>
        <v/>
      </c>
      <c r="H173" s="247" t="str">
        <f>IFERROR(Tab_Compteur_7[[#This Row],[Montant]]/Tab_Compteur_7[[#This Row],[Delta Jour]],"")</f>
        <v/>
      </c>
      <c r="I173" s="208" t="str">
        <f t="shared" si="7"/>
        <v/>
      </c>
      <c r="J173" s="209"/>
      <c r="K173" s="38"/>
      <c r="L173" s="38"/>
      <c r="M173" s="38"/>
    </row>
    <row r="174" spans="1:13">
      <c r="A174" s="3">
        <f t="shared" si="8"/>
        <v>1</v>
      </c>
      <c r="B174" s="231"/>
      <c r="C174" s="187"/>
      <c r="D174" s="188"/>
      <c r="E174" s="186"/>
      <c r="F174" s="247">
        <f t="shared" si="6"/>
        <v>0</v>
      </c>
      <c r="G174" s="247" t="str">
        <f>IF(IFERROR(IF(Str_TypeDonneesCpt7=Cpt_Index,Tab_Compteur_7[[#This Row],[Index]]-E173,Tab_Compteur_7[[#This Row],[Quantité]])/Tab_Compteur_7[[#This Row],[Delta Jour]],"")&lt;0,"",IFERROR(IF(Str_TypeDonneesCpt7=Cpt_Index,Tab_Compteur_7[[#This Row],[Index]]-E173,Tab_Compteur_7[[#This Row],[Quantité]])/Tab_Compteur_7[[#This Row],[Delta Jour]],""))</f>
        <v/>
      </c>
      <c r="H174" s="247" t="str">
        <f>IFERROR(Tab_Compteur_7[[#This Row],[Montant]]/Tab_Compteur_7[[#This Row],[Delta Jour]],"")</f>
        <v/>
      </c>
      <c r="I174" s="208" t="str">
        <f t="shared" si="7"/>
        <v/>
      </c>
      <c r="J174" s="209"/>
      <c r="K174" s="38"/>
      <c r="L174" s="38"/>
      <c r="M174" s="38"/>
    </row>
    <row r="175" spans="1:13">
      <c r="A175" s="3">
        <f t="shared" si="8"/>
        <v>1</v>
      </c>
      <c r="B175" s="231"/>
      <c r="C175" s="187"/>
      <c r="D175" s="188"/>
      <c r="E175" s="186"/>
      <c r="F175" s="247">
        <f t="shared" si="6"/>
        <v>0</v>
      </c>
      <c r="G175" s="247" t="str">
        <f>IF(IFERROR(IF(Str_TypeDonneesCpt7=Cpt_Index,Tab_Compteur_7[[#This Row],[Index]]-E174,Tab_Compteur_7[[#This Row],[Quantité]])/Tab_Compteur_7[[#This Row],[Delta Jour]],"")&lt;0,"",IFERROR(IF(Str_TypeDonneesCpt7=Cpt_Index,Tab_Compteur_7[[#This Row],[Index]]-E174,Tab_Compteur_7[[#This Row],[Quantité]])/Tab_Compteur_7[[#This Row],[Delta Jour]],""))</f>
        <v/>
      </c>
      <c r="H175" s="247" t="str">
        <f>IFERROR(Tab_Compteur_7[[#This Row],[Montant]]/Tab_Compteur_7[[#This Row],[Delta Jour]],"")</f>
        <v/>
      </c>
      <c r="I175" s="208" t="str">
        <f t="shared" si="7"/>
        <v/>
      </c>
      <c r="J175" s="209"/>
      <c r="K175" s="38"/>
      <c r="L175" s="38"/>
      <c r="M175" s="38"/>
    </row>
    <row r="176" spans="1:13">
      <c r="A176" s="3">
        <f t="shared" si="8"/>
        <v>1</v>
      </c>
      <c r="B176" s="231"/>
      <c r="C176" s="187"/>
      <c r="D176" s="188"/>
      <c r="E176" s="186"/>
      <c r="F176" s="247">
        <f t="shared" si="6"/>
        <v>0</v>
      </c>
      <c r="G176" s="247" t="str">
        <f>IF(IFERROR(IF(Str_TypeDonneesCpt7=Cpt_Index,Tab_Compteur_7[[#This Row],[Index]]-E175,Tab_Compteur_7[[#This Row],[Quantité]])/Tab_Compteur_7[[#This Row],[Delta Jour]],"")&lt;0,"",IFERROR(IF(Str_TypeDonneesCpt7=Cpt_Index,Tab_Compteur_7[[#This Row],[Index]]-E175,Tab_Compteur_7[[#This Row],[Quantité]])/Tab_Compteur_7[[#This Row],[Delta Jour]],""))</f>
        <v/>
      </c>
      <c r="H176" s="247" t="str">
        <f>IFERROR(Tab_Compteur_7[[#This Row],[Montant]]/Tab_Compteur_7[[#This Row],[Delta Jour]],"")</f>
        <v/>
      </c>
      <c r="I176" s="208" t="str">
        <f t="shared" si="7"/>
        <v/>
      </c>
      <c r="J176" s="209"/>
      <c r="K176" s="38"/>
      <c r="L176" s="38"/>
      <c r="M176" s="38"/>
    </row>
    <row r="177" spans="1:13">
      <c r="A177" s="3">
        <f t="shared" si="8"/>
        <v>1</v>
      </c>
      <c r="B177" s="231"/>
      <c r="C177" s="187"/>
      <c r="D177" s="188"/>
      <c r="E177" s="186"/>
      <c r="F177" s="247">
        <f t="shared" si="6"/>
        <v>0</v>
      </c>
      <c r="G177" s="247" t="str">
        <f>IF(IFERROR(IF(Str_TypeDonneesCpt7=Cpt_Index,Tab_Compteur_7[[#This Row],[Index]]-E176,Tab_Compteur_7[[#This Row],[Quantité]])/Tab_Compteur_7[[#This Row],[Delta Jour]],"")&lt;0,"",IFERROR(IF(Str_TypeDonneesCpt7=Cpt_Index,Tab_Compteur_7[[#This Row],[Index]]-E176,Tab_Compteur_7[[#This Row],[Quantité]])/Tab_Compteur_7[[#This Row],[Delta Jour]],""))</f>
        <v/>
      </c>
      <c r="H177" s="247" t="str">
        <f>IFERROR(Tab_Compteur_7[[#This Row],[Montant]]/Tab_Compteur_7[[#This Row],[Delta Jour]],"")</f>
        <v/>
      </c>
      <c r="I177" s="208" t="str">
        <f t="shared" si="7"/>
        <v/>
      </c>
      <c r="J177" s="209"/>
      <c r="K177" s="38"/>
      <c r="L177" s="38"/>
      <c r="M177" s="38"/>
    </row>
    <row r="178" spans="1:13">
      <c r="A178" s="3">
        <f t="shared" si="8"/>
        <v>1</v>
      </c>
      <c r="B178" s="231"/>
      <c r="C178" s="187"/>
      <c r="D178" s="188"/>
      <c r="E178" s="186"/>
      <c r="F178" s="247">
        <f t="shared" si="6"/>
        <v>0</v>
      </c>
      <c r="G178" s="247" t="str">
        <f>IF(IFERROR(IF(Str_TypeDonneesCpt7=Cpt_Index,Tab_Compteur_7[[#This Row],[Index]]-E177,Tab_Compteur_7[[#This Row],[Quantité]])/Tab_Compteur_7[[#This Row],[Delta Jour]],"")&lt;0,"",IFERROR(IF(Str_TypeDonneesCpt7=Cpt_Index,Tab_Compteur_7[[#This Row],[Index]]-E177,Tab_Compteur_7[[#This Row],[Quantité]])/Tab_Compteur_7[[#This Row],[Delta Jour]],""))</f>
        <v/>
      </c>
      <c r="H178" s="247" t="str">
        <f>IFERROR(Tab_Compteur_7[[#This Row],[Montant]]/Tab_Compteur_7[[#This Row],[Delta Jour]],"")</f>
        <v/>
      </c>
      <c r="I178" s="208" t="str">
        <f t="shared" si="7"/>
        <v/>
      </c>
      <c r="J178" s="209"/>
      <c r="K178" s="38"/>
      <c r="L178" s="38"/>
      <c r="M178" s="38"/>
    </row>
    <row r="179" spans="1:13">
      <c r="A179" s="3">
        <f t="shared" si="8"/>
        <v>1</v>
      </c>
      <c r="B179" s="231"/>
      <c r="C179" s="187"/>
      <c r="D179" s="188"/>
      <c r="E179" s="186"/>
      <c r="F179" s="247">
        <f t="shared" si="6"/>
        <v>0</v>
      </c>
      <c r="G179" s="247" t="str">
        <f>IF(IFERROR(IF(Str_TypeDonneesCpt7=Cpt_Index,Tab_Compteur_7[[#This Row],[Index]]-E178,Tab_Compteur_7[[#This Row],[Quantité]])/Tab_Compteur_7[[#This Row],[Delta Jour]],"")&lt;0,"",IFERROR(IF(Str_TypeDonneesCpt7=Cpt_Index,Tab_Compteur_7[[#This Row],[Index]]-E178,Tab_Compteur_7[[#This Row],[Quantité]])/Tab_Compteur_7[[#This Row],[Delta Jour]],""))</f>
        <v/>
      </c>
      <c r="H179" s="247" t="str">
        <f>IFERROR(Tab_Compteur_7[[#This Row],[Montant]]/Tab_Compteur_7[[#This Row],[Delta Jour]],"")</f>
        <v/>
      </c>
      <c r="I179" s="208" t="str">
        <f t="shared" si="7"/>
        <v/>
      </c>
      <c r="J179" s="209"/>
      <c r="K179" s="38"/>
      <c r="L179" s="38"/>
      <c r="M179" s="38"/>
    </row>
    <row r="180" spans="1:13">
      <c r="A180" s="3">
        <f t="shared" si="8"/>
        <v>1</v>
      </c>
      <c r="B180" s="231"/>
      <c r="C180" s="187"/>
      <c r="D180" s="188"/>
      <c r="E180" s="186"/>
      <c r="F180" s="247">
        <f t="shared" si="6"/>
        <v>0</v>
      </c>
      <c r="G180" s="247" t="str">
        <f>IF(IFERROR(IF(Str_TypeDonneesCpt7=Cpt_Index,Tab_Compteur_7[[#This Row],[Index]]-E179,Tab_Compteur_7[[#This Row],[Quantité]])/Tab_Compteur_7[[#This Row],[Delta Jour]],"")&lt;0,"",IFERROR(IF(Str_TypeDonneesCpt7=Cpt_Index,Tab_Compteur_7[[#This Row],[Index]]-E179,Tab_Compteur_7[[#This Row],[Quantité]])/Tab_Compteur_7[[#This Row],[Delta Jour]],""))</f>
        <v/>
      </c>
      <c r="H180" s="247" t="str">
        <f>IFERROR(Tab_Compteur_7[[#This Row],[Montant]]/Tab_Compteur_7[[#This Row],[Delta Jour]],"")</f>
        <v/>
      </c>
      <c r="I180" s="208" t="str">
        <f t="shared" si="7"/>
        <v/>
      </c>
      <c r="J180" s="209"/>
      <c r="K180" s="38"/>
      <c r="L180" s="38"/>
      <c r="M180" s="38"/>
    </row>
    <row r="181" spans="1:13">
      <c r="A181" s="3">
        <f t="shared" si="8"/>
        <v>1</v>
      </c>
      <c r="B181" s="231"/>
      <c r="C181" s="187"/>
      <c r="D181" s="188"/>
      <c r="E181" s="186"/>
      <c r="F181" s="247">
        <f t="shared" si="6"/>
        <v>0</v>
      </c>
      <c r="G181" s="247" t="str">
        <f>IF(IFERROR(IF(Str_TypeDonneesCpt7=Cpt_Index,Tab_Compteur_7[[#This Row],[Index]]-E180,Tab_Compteur_7[[#This Row],[Quantité]])/Tab_Compteur_7[[#This Row],[Delta Jour]],"")&lt;0,"",IFERROR(IF(Str_TypeDonneesCpt7=Cpt_Index,Tab_Compteur_7[[#This Row],[Index]]-E180,Tab_Compteur_7[[#This Row],[Quantité]])/Tab_Compteur_7[[#This Row],[Delta Jour]],""))</f>
        <v/>
      </c>
      <c r="H181" s="247" t="str">
        <f>IFERROR(Tab_Compteur_7[[#This Row],[Montant]]/Tab_Compteur_7[[#This Row],[Delta Jour]],"")</f>
        <v/>
      </c>
      <c r="I181" s="208" t="str">
        <f t="shared" si="7"/>
        <v/>
      </c>
      <c r="J181" s="209"/>
      <c r="K181" s="38"/>
      <c r="L181" s="38"/>
      <c r="M181" s="38"/>
    </row>
    <row r="182" spans="1:13">
      <c r="A182" s="3">
        <f t="shared" si="8"/>
        <v>1</v>
      </c>
      <c r="B182" s="231"/>
      <c r="C182" s="187"/>
      <c r="D182" s="188"/>
      <c r="E182" s="186"/>
      <c r="F182" s="247">
        <f t="shared" si="6"/>
        <v>0</v>
      </c>
      <c r="G182" s="247" t="str">
        <f>IF(IFERROR(IF(Str_TypeDonneesCpt7=Cpt_Index,Tab_Compteur_7[[#This Row],[Index]]-E181,Tab_Compteur_7[[#This Row],[Quantité]])/Tab_Compteur_7[[#This Row],[Delta Jour]],"")&lt;0,"",IFERROR(IF(Str_TypeDonneesCpt7=Cpt_Index,Tab_Compteur_7[[#This Row],[Index]]-E181,Tab_Compteur_7[[#This Row],[Quantité]])/Tab_Compteur_7[[#This Row],[Delta Jour]],""))</f>
        <v/>
      </c>
      <c r="H182" s="247" t="str">
        <f>IFERROR(Tab_Compteur_7[[#This Row],[Montant]]/Tab_Compteur_7[[#This Row],[Delta Jour]],"")</f>
        <v/>
      </c>
      <c r="I182" s="208" t="str">
        <f t="shared" si="7"/>
        <v/>
      </c>
      <c r="J182" s="209"/>
      <c r="K182" s="38"/>
      <c r="L182" s="38"/>
      <c r="M182" s="38"/>
    </row>
    <row r="183" spans="1:13">
      <c r="A183" s="3">
        <f t="shared" si="8"/>
        <v>1</v>
      </c>
      <c r="B183" s="231"/>
      <c r="C183" s="187"/>
      <c r="D183" s="188"/>
      <c r="E183" s="186"/>
      <c r="F183" s="247">
        <f t="shared" si="6"/>
        <v>0</v>
      </c>
      <c r="G183" s="247" t="str">
        <f>IF(IFERROR(IF(Str_TypeDonneesCpt7=Cpt_Index,Tab_Compteur_7[[#This Row],[Index]]-E182,Tab_Compteur_7[[#This Row],[Quantité]])/Tab_Compteur_7[[#This Row],[Delta Jour]],"")&lt;0,"",IFERROR(IF(Str_TypeDonneesCpt7=Cpt_Index,Tab_Compteur_7[[#This Row],[Index]]-E182,Tab_Compteur_7[[#This Row],[Quantité]])/Tab_Compteur_7[[#This Row],[Delta Jour]],""))</f>
        <v/>
      </c>
      <c r="H183" s="247" t="str">
        <f>IFERROR(Tab_Compteur_7[[#This Row],[Montant]]/Tab_Compteur_7[[#This Row],[Delta Jour]],"")</f>
        <v/>
      </c>
      <c r="I183" s="208" t="str">
        <f t="shared" si="7"/>
        <v/>
      </c>
      <c r="J183" s="209"/>
      <c r="K183" s="38"/>
      <c r="L183" s="38"/>
      <c r="M183" s="38"/>
    </row>
    <row r="184" spans="1:13">
      <c r="A184" s="3">
        <f t="shared" si="8"/>
        <v>1</v>
      </c>
      <c r="B184" s="231"/>
      <c r="C184" s="187"/>
      <c r="D184" s="188"/>
      <c r="E184" s="186"/>
      <c r="F184" s="247">
        <f t="shared" si="6"/>
        <v>0</v>
      </c>
      <c r="G184" s="247" t="str">
        <f>IF(IFERROR(IF(Str_TypeDonneesCpt7=Cpt_Index,Tab_Compteur_7[[#This Row],[Index]]-E183,Tab_Compteur_7[[#This Row],[Quantité]])/Tab_Compteur_7[[#This Row],[Delta Jour]],"")&lt;0,"",IFERROR(IF(Str_TypeDonneesCpt7=Cpt_Index,Tab_Compteur_7[[#This Row],[Index]]-E183,Tab_Compteur_7[[#This Row],[Quantité]])/Tab_Compteur_7[[#This Row],[Delta Jour]],""))</f>
        <v/>
      </c>
      <c r="H184" s="247" t="str">
        <f>IFERROR(Tab_Compteur_7[[#This Row],[Montant]]/Tab_Compteur_7[[#This Row],[Delta Jour]],"")</f>
        <v/>
      </c>
      <c r="I184" s="208" t="str">
        <f t="shared" si="7"/>
        <v/>
      </c>
      <c r="J184" s="209"/>
      <c r="K184" s="38"/>
      <c r="L184" s="38"/>
      <c r="M184" s="38"/>
    </row>
    <row r="185" spans="1:13">
      <c r="A185" s="3">
        <f t="shared" si="8"/>
        <v>1</v>
      </c>
      <c r="B185" s="231"/>
      <c r="C185" s="187"/>
      <c r="D185" s="188"/>
      <c r="E185" s="186"/>
      <c r="F185" s="247">
        <f t="shared" si="6"/>
        <v>0</v>
      </c>
      <c r="G185" s="247" t="str">
        <f>IF(IFERROR(IF(Str_TypeDonneesCpt7=Cpt_Index,Tab_Compteur_7[[#This Row],[Index]]-E184,Tab_Compteur_7[[#This Row],[Quantité]])/Tab_Compteur_7[[#This Row],[Delta Jour]],"")&lt;0,"",IFERROR(IF(Str_TypeDonneesCpt7=Cpt_Index,Tab_Compteur_7[[#This Row],[Index]]-E184,Tab_Compteur_7[[#This Row],[Quantité]])/Tab_Compteur_7[[#This Row],[Delta Jour]],""))</f>
        <v/>
      </c>
      <c r="H185" s="247" t="str">
        <f>IFERROR(Tab_Compteur_7[[#This Row],[Montant]]/Tab_Compteur_7[[#This Row],[Delta Jour]],"")</f>
        <v/>
      </c>
      <c r="I185" s="208" t="str">
        <f t="shared" si="7"/>
        <v/>
      </c>
      <c r="J185" s="209"/>
      <c r="K185" s="38"/>
      <c r="L185" s="38"/>
      <c r="M185" s="38"/>
    </row>
    <row r="186" spans="1:13">
      <c r="A186" s="3">
        <f t="shared" si="8"/>
        <v>1</v>
      </c>
      <c r="B186" s="231"/>
      <c r="C186" s="187"/>
      <c r="D186" s="188"/>
      <c r="E186" s="186"/>
      <c r="F186" s="247">
        <f t="shared" si="6"/>
        <v>0</v>
      </c>
      <c r="G186" s="247" t="str">
        <f>IF(IFERROR(IF(Str_TypeDonneesCpt7=Cpt_Index,Tab_Compteur_7[[#This Row],[Index]]-E185,Tab_Compteur_7[[#This Row],[Quantité]])/Tab_Compteur_7[[#This Row],[Delta Jour]],"")&lt;0,"",IFERROR(IF(Str_TypeDonneesCpt7=Cpt_Index,Tab_Compteur_7[[#This Row],[Index]]-E185,Tab_Compteur_7[[#This Row],[Quantité]])/Tab_Compteur_7[[#This Row],[Delta Jour]],""))</f>
        <v/>
      </c>
      <c r="H186" s="247" t="str">
        <f>IFERROR(Tab_Compteur_7[[#This Row],[Montant]]/Tab_Compteur_7[[#This Row],[Delta Jour]],"")</f>
        <v/>
      </c>
      <c r="I186" s="208" t="str">
        <f t="shared" si="7"/>
        <v/>
      </c>
      <c r="J186" s="209"/>
      <c r="K186" s="38"/>
      <c r="L186" s="38"/>
      <c r="M186" s="38"/>
    </row>
    <row r="187" spans="1:13">
      <c r="A187" s="3">
        <f t="shared" si="8"/>
        <v>1</v>
      </c>
      <c r="B187" s="231"/>
      <c r="C187" s="187"/>
      <c r="D187" s="188"/>
      <c r="E187" s="186"/>
      <c r="F187" s="247">
        <f t="shared" si="6"/>
        <v>0</v>
      </c>
      <c r="G187" s="247" t="str">
        <f>IF(IFERROR(IF(Str_TypeDonneesCpt7=Cpt_Index,Tab_Compteur_7[[#This Row],[Index]]-E186,Tab_Compteur_7[[#This Row],[Quantité]])/Tab_Compteur_7[[#This Row],[Delta Jour]],"")&lt;0,"",IFERROR(IF(Str_TypeDonneesCpt7=Cpt_Index,Tab_Compteur_7[[#This Row],[Index]]-E186,Tab_Compteur_7[[#This Row],[Quantité]])/Tab_Compteur_7[[#This Row],[Delta Jour]],""))</f>
        <v/>
      </c>
      <c r="H187" s="247" t="str">
        <f>IFERROR(Tab_Compteur_7[[#This Row],[Montant]]/Tab_Compteur_7[[#This Row],[Delta Jour]],"")</f>
        <v/>
      </c>
      <c r="I187" s="208" t="str">
        <f t="shared" si="7"/>
        <v/>
      </c>
      <c r="J187" s="209"/>
      <c r="K187" s="38"/>
      <c r="L187" s="38"/>
      <c r="M187" s="38"/>
    </row>
    <row r="188" spans="1:13">
      <c r="A188" s="3">
        <f t="shared" si="8"/>
        <v>1</v>
      </c>
      <c r="B188" s="231"/>
      <c r="C188" s="187"/>
      <c r="D188" s="188"/>
      <c r="E188" s="186"/>
      <c r="F188" s="247">
        <f t="shared" si="6"/>
        <v>0</v>
      </c>
      <c r="G188" s="247" t="str">
        <f>IF(IFERROR(IF(Str_TypeDonneesCpt7=Cpt_Index,Tab_Compteur_7[[#This Row],[Index]]-E187,Tab_Compteur_7[[#This Row],[Quantité]])/Tab_Compteur_7[[#This Row],[Delta Jour]],"")&lt;0,"",IFERROR(IF(Str_TypeDonneesCpt7=Cpt_Index,Tab_Compteur_7[[#This Row],[Index]]-E187,Tab_Compteur_7[[#This Row],[Quantité]])/Tab_Compteur_7[[#This Row],[Delta Jour]],""))</f>
        <v/>
      </c>
      <c r="H188" s="247" t="str">
        <f>IFERROR(Tab_Compteur_7[[#This Row],[Montant]]/Tab_Compteur_7[[#This Row],[Delta Jour]],"")</f>
        <v/>
      </c>
      <c r="I188" s="208" t="str">
        <f t="shared" si="7"/>
        <v/>
      </c>
      <c r="J188" s="209"/>
      <c r="K188" s="38"/>
      <c r="L188" s="38"/>
      <c r="M188" s="38"/>
    </row>
    <row r="189" spans="1:13">
      <c r="A189" s="3">
        <f t="shared" si="8"/>
        <v>1</v>
      </c>
      <c r="B189" s="231"/>
      <c r="C189" s="187"/>
      <c r="D189" s="188"/>
      <c r="E189" s="186"/>
      <c r="F189" s="247">
        <f t="shared" si="6"/>
        <v>0</v>
      </c>
      <c r="G189" s="247" t="str">
        <f>IF(IFERROR(IF(Str_TypeDonneesCpt7=Cpt_Index,Tab_Compteur_7[[#This Row],[Index]]-E188,Tab_Compteur_7[[#This Row],[Quantité]])/Tab_Compteur_7[[#This Row],[Delta Jour]],"")&lt;0,"",IFERROR(IF(Str_TypeDonneesCpt7=Cpt_Index,Tab_Compteur_7[[#This Row],[Index]]-E188,Tab_Compteur_7[[#This Row],[Quantité]])/Tab_Compteur_7[[#This Row],[Delta Jour]],""))</f>
        <v/>
      </c>
      <c r="H189" s="247" t="str">
        <f>IFERROR(Tab_Compteur_7[[#This Row],[Montant]]/Tab_Compteur_7[[#This Row],[Delta Jour]],"")</f>
        <v/>
      </c>
      <c r="I189" s="208" t="str">
        <f t="shared" si="7"/>
        <v/>
      </c>
      <c r="J189" s="209"/>
      <c r="K189" s="38"/>
      <c r="L189" s="38"/>
      <c r="M189" s="38"/>
    </row>
    <row r="190" spans="1:13">
      <c r="A190" s="3">
        <f t="shared" si="8"/>
        <v>1</v>
      </c>
      <c r="B190" s="231"/>
      <c r="C190" s="187"/>
      <c r="D190" s="188"/>
      <c r="E190" s="186"/>
      <c r="F190" s="247">
        <f t="shared" si="6"/>
        <v>0</v>
      </c>
      <c r="G190" s="247" t="str">
        <f>IF(IFERROR(IF(Str_TypeDonneesCpt7=Cpt_Index,Tab_Compteur_7[[#This Row],[Index]]-E189,Tab_Compteur_7[[#This Row],[Quantité]])/Tab_Compteur_7[[#This Row],[Delta Jour]],"")&lt;0,"",IFERROR(IF(Str_TypeDonneesCpt7=Cpt_Index,Tab_Compteur_7[[#This Row],[Index]]-E189,Tab_Compteur_7[[#This Row],[Quantité]])/Tab_Compteur_7[[#This Row],[Delta Jour]],""))</f>
        <v/>
      </c>
      <c r="H190" s="247" t="str">
        <f>IFERROR(Tab_Compteur_7[[#This Row],[Montant]]/Tab_Compteur_7[[#This Row],[Delta Jour]],"")</f>
        <v/>
      </c>
      <c r="I190" s="208" t="str">
        <f t="shared" si="7"/>
        <v/>
      </c>
      <c r="J190" s="209"/>
      <c r="K190" s="38"/>
      <c r="L190" s="38"/>
      <c r="M190" s="38"/>
    </row>
    <row r="191" spans="1:13">
      <c r="A191" s="3">
        <f t="shared" si="8"/>
        <v>1</v>
      </c>
      <c r="B191" s="231"/>
      <c r="C191" s="187"/>
      <c r="D191" s="188"/>
      <c r="E191" s="186"/>
      <c r="F191" s="247">
        <f t="shared" si="6"/>
        <v>0</v>
      </c>
      <c r="G191" s="247" t="str">
        <f>IF(IFERROR(IF(Str_TypeDonneesCpt7=Cpt_Index,Tab_Compteur_7[[#This Row],[Index]]-E190,Tab_Compteur_7[[#This Row],[Quantité]])/Tab_Compteur_7[[#This Row],[Delta Jour]],"")&lt;0,"",IFERROR(IF(Str_TypeDonneesCpt7=Cpt_Index,Tab_Compteur_7[[#This Row],[Index]]-E190,Tab_Compteur_7[[#This Row],[Quantité]])/Tab_Compteur_7[[#This Row],[Delta Jour]],""))</f>
        <v/>
      </c>
      <c r="H191" s="247" t="str">
        <f>IFERROR(Tab_Compteur_7[[#This Row],[Montant]]/Tab_Compteur_7[[#This Row],[Delta Jour]],"")</f>
        <v/>
      </c>
      <c r="I191" s="208" t="str">
        <f t="shared" si="7"/>
        <v/>
      </c>
      <c r="J191" s="209"/>
      <c r="K191" s="38"/>
      <c r="L191" s="38"/>
      <c r="M191" s="38"/>
    </row>
    <row r="192" spans="1:13">
      <c r="A192" s="3">
        <f t="shared" si="8"/>
        <v>1</v>
      </c>
      <c r="B192" s="231"/>
      <c r="C192" s="187"/>
      <c r="D192" s="188"/>
      <c r="E192" s="186"/>
      <c r="F192" s="247">
        <f t="shared" si="6"/>
        <v>0</v>
      </c>
      <c r="G192" s="247" t="str">
        <f>IF(IFERROR(IF(Str_TypeDonneesCpt7=Cpt_Index,Tab_Compteur_7[[#This Row],[Index]]-E191,Tab_Compteur_7[[#This Row],[Quantité]])/Tab_Compteur_7[[#This Row],[Delta Jour]],"")&lt;0,"",IFERROR(IF(Str_TypeDonneesCpt7=Cpt_Index,Tab_Compteur_7[[#This Row],[Index]]-E191,Tab_Compteur_7[[#This Row],[Quantité]])/Tab_Compteur_7[[#This Row],[Delta Jour]],""))</f>
        <v/>
      </c>
      <c r="H192" s="247" t="str">
        <f>IFERROR(Tab_Compteur_7[[#This Row],[Montant]]/Tab_Compteur_7[[#This Row],[Delta Jour]],"")</f>
        <v/>
      </c>
      <c r="I192" s="208" t="str">
        <f t="shared" si="7"/>
        <v/>
      </c>
      <c r="J192" s="209"/>
      <c r="K192" s="38"/>
      <c r="L192" s="38"/>
      <c r="M192" s="38"/>
    </row>
    <row r="193" spans="1:13">
      <c r="A193" s="3">
        <f t="shared" si="8"/>
        <v>1</v>
      </c>
      <c r="B193" s="231"/>
      <c r="C193" s="187"/>
      <c r="D193" s="188"/>
      <c r="E193" s="186"/>
      <c r="F193" s="247">
        <f t="shared" si="6"/>
        <v>0</v>
      </c>
      <c r="G193" s="247" t="str">
        <f>IF(IFERROR(IF(Str_TypeDonneesCpt7=Cpt_Index,Tab_Compteur_7[[#This Row],[Index]]-E192,Tab_Compteur_7[[#This Row],[Quantité]])/Tab_Compteur_7[[#This Row],[Delta Jour]],"")&lt;0,"",IFERROR(IF(Str_TypeDonneesCpt7=Cpt_Index,Tab_Compteur_7[[#This Row],[Index]]-E192,Tab_Compteur_7[[#This Row],[Quantité]])/Tab_Compteur_7[[#This Row],[Delta Jour]],""))</f>
        <v/>
      </c>
      <c r="H193" s="247" t="str">
        <f>IFERROR(Tab_Compteur_7[[#This Row],[Montant]]/Tab_Compteur_7[[#This Row],[Delta Jour]],"")</f>
        <v/>
      </c>
      <c r="I193" s="208" t="str">
        <f t="shared" si="7"/>
        <v/>
      </c>
      <c r="J193" s="209"/>
      <c r="K193" s="38"/>
      <c r="L193" s="38"/>
      <c r="M193" s="38"/>
    </row>
    <row r="194" spans="1:13">
      <c r="A194" s="3">
        <f t="shared" si="8"/>
        <v>1</v>
      </c>
      <c r="B194" s="231"/>
      <c r="C194" s="187"/>
      <c r="D194" s="188"/>
      <c r="E194" s="186"/>
      <c r="F194" s="247">
        <f t="shared" si="6"/>
        <v>0</v>
      </c>
      <c r="G194" s="247" t="str">
        <f>IF(IFERROR(IF(Str_TypeDonneesCpt7=Cpt_Index,Tab_Compteur_7[[#This Row],[Index]]-E193,Tab_Compteur_7[[#This Row],[Quantité]])/Tab_Compteur_7[[#This Row],[Delta Jour]],"")&lt;0,"",IFERROR(IF(Str_TypeDonneesCpt7=Cpt_Index,Tab_Compteur_7[[#This Row],[Index]]-E193,Tab_Compteur_7[[#This Row],[Quantité]])/Tab_Compteur_7[[#This Row],[Delta Jour]],""))</f>
        <v/>
      </c>
      <c r="H194" s="247" t="str">
        <f>IFERROR(Tab_Compteur_7[[#This Row],[Montant]]/Tab_Compteur_7[[#This Row],[Delta Jour]],"")</f>
        <v/>
      </c>
      <c r="I194" s="208" t="str">
        <f t="shared" si="7"/>
        <v/>
      </c>
      <c r="J194" s="209"/>
      <c r="K194" s="38"/>
      <c r="L194" s="38"/>
      <c r="M194" s="38"/>
    </row>
    <row r="195" spans="1:13">
      <c r="A195" s="3">
        <f t="shared" si="8"/>
        <v>1</v>
      </c>
      <c r="B195" s="231"/>
      <c r="C195" s="187"/>
      <c r="D195" s="188"/>
      <c r="E195" s="186"/>
      <c r="F195" s="247">
        <f t="shared" ref="F195:F243" si="9">IFERROR(B195-A195+1,"")</f>
        <v>0</v>
      </c>
      <c r="G195" s="247" t="str">
        <f>IF(IFERROR(IF(Str_TypeDonneesCpt7=Cpt_Index,Tab_Compteur_7[[#This Row],[Index]]-E194,Tab_Compteur_7[[#This Row],[Quantité]])/Tab_Compteur_7[[#This Row],[Delta Jour]],"")&lt;0,"",IFERROR(IF(Str_TypeDonneesCpt7=Cpt_Index,Tab_Compteur_7[[#This Row],[Index]]-E194,Tab_Compteur_7[[#This Row],[Quantité]])/Tab_Compteur_7[[#This Row],[Delta Jour]],""))</f>
        <v/>
      </c>
      <c r="H195" s="247" t="str">
        <f>IFERROR(Tab_Compteur_7[[#This Row],[Montant]]/Tab_Compteur_7[[#This Row],[Delta Jour]],"")</f>
        <v/>
      </c>
      <c r="I195" s="208" t="str">
        <f t="shared" ref="I195:I243" si="10">G195</f>
        <v/>
      </c>
      <c r="J195" s="209"/>
      <c r="K195" s="38"/>
      <c r="L195" s="38"/>
      <c r="M195" s="38"/>
    </row>
    <row r="196" spans="1:13">
      <c r="A196" s="3">
        <f t="shared" si="8"/>
        <v>1</v>
      </c>
      <c r="B196" s="231"/>
      <c r="C196" s="187"/>
      <c r="D196" s="188"/>
      <c r="E196" s="186"/>
      <c r="F196" s="247">
        <f t="shared" si="9"/>
        <v>0</v>
      </c>
      <c r="G196" s="247" t="str">
        <f>IF(IFERROR(IF(Str_TypeDonneesCpt7=Cpt_Index,Tab_Compteur_7[[#This Row],[Index]]-E195,Tab_Compteur_7[[#This Row],[Quantité]])/Tab_Compteur_7[[#This Row],[Delta Jour]],"")&lt;0,"",IFERROR(IF(Str_TypeDonneesCpt7=Cpt_Index,Tab_Compteur_7[[#This Row],[Index]]-E195,Tab_Compteur_7[[#This Row],[Quantité]])/Tab_Compteur_7[[#This Row],[Delta Jour]],""))</f>
        <v/>
      </c>
      <c r="H196" s="247" t="str">
        <f>IFERROR(Tab_Compteur_7[[#This Row],[Montant]]/Tab_Compteur_7[[#This Row],[Delta Jour]],"")</f>
        <v/>
      </c>
      <c r="I196" s="208" t="str">
        <f t="shared" si="10"/>
        <v/>
      </c>
      <c r="J196" s="209"/>
      <c r="K196" s="38"/>
      <c r="L196" s="38"/>
      <c r="M196" s="38"/>
    </row>
    <row r="197" spans="1:13">
      <c r="A197" s="3">
        <f t="shared" si="8"/>
        <v>1</v>
      </c>
      <c r="B197" s="231"/>
      <c r="C197" s="187"/>
      <c r="D197" s="188"/>
      <c r="E197" s="186"/>
      <c r="F197" s="247">
        <f t="shared" si="9"/>
        <v>0</v>
      </c>
      <c r="G197" s="247" t="str">
        <f>IF(IFERROR(IF(Str_TypeDonneesCpt7=Cpt_Index,Tab_Compteur_7[[#This Row],[Index]]-E196,Tab_Compteur_7[[#This Row],[Quantité]])/Tab_Compteur_7[[#This Row],[Delta Jour]],"")&lt;0,"",IFERROR(IF(Str_TypeDonneesCpt7=Cpt_Index,Tab_Compteur_7[[#This Row],[Index]]-E196,Tab_Compteur_7[[#This Row],[Quantité]])/Tab_Compteur_7[[#This Row],[Delta Jour]],""))</f>
        <v/>
      </c>
      <c r="H197" s="247" t="str">
        <f>IFERROR(Tab_Compteur_7[[#This Row],[Montant]]/Tab_Compteur_7[[#This Row],[Delta Jour]],"")</f>
        <v/>
      </c>
      <c r="I197" s="208" t="str">
        <f t="shared" si="10"/>
        <v/>
      </c>
      <c r="J197" s="209"/>
      <c r="K197" s="38"/>
      <c r="L197" s="38"/>
      <c r="M197" s="38"/>
    </row>
    <row r="198" spans="1:13">
      <c r="A198" s="3">
        <f t="shared" ref="A198:A243" si="11">IFERROR(B197+1,0)</f>
        <v>1</v>
      </c>
      <c r="B198" s="231"/>
      <c r="C198" s="187"/>
      <c r="D198" s="188"/>
      <c r="E198" s="186"/>
      <c r="F198" s="247">
        <f t="shared" si="9"/>
        <v>0</v>
      </c>
      <c r="G198" s="247" t="str">
        <f>IF(IFERROR(IF(Str_TypeDonneesCpt7=Cpt_Index,Tab_Compteur_7[[#This Row],[Index]]-E197,Tab_Compteur_7[[#This Row],[Quantité]])/Tab_Compteur_7[[#This Row],[Delta Jour]],"")&lt;0,"",IFERROR(IF(Str_TypeDonneesCpt7=Cpt_Index,Tab_Compteur_7[[#This Row],[Index]]-E197,Tab_Compteur_7[[#This Row],[Quantité]])/Tab_Compteur_7[[#This Row],[Delta Jour]],""))</f>
        <v/>
      </c>
      <c r="H198" s="247" t="str">
        <f>IFERROR(Tab_Compteur_7[[#This Row],[Montant]]/Tab_Compteur_7[[#This Row],[Delta Jour]],"")</f>
        <v/>
      </c>
      <c r="I198" s="208" t="str">
        <f t="shared" si="10"/>
        <v/>
      </c>
      <c r="J198" s="209"/>
      <c r="K198" s="38"/>
      <c r="L198" s="38"/>
      <c r="M198" s="38"/>
    </row>
    <row r="199" spans="1:13">
      <c r="A199" s="3">
        <f t="shared" si="11"/>
        <v>1</v>
      </c>
      <c r="B199" s="231"/>
      <c r="C199" s="187"/>
      <c r="D199" s="188"/>
      <c r="E199" s="186"/>
      <c r="F199" s="247">
        <f t="shared" si="9"/>
        <v>0</v>
      </c>
      <c r="G199" s="247" t="str">
        <f>IF(IFERROR(IF(Str_TypeDonneesCpt7=Cpt_Index,Tab_Compteur_7[[#This Row],[Index]]-E198,Tab_Compteur_7[[#This Row],[Quantité]])/Tab_Compteur_7[[#This Row],[Delta Jour]],"")&lt;0,"",IFERROR(IF(Str_TypeDonneesCpt7=Cpt_Index,Tab_Compteur_7[[#This Row],[Index]]-E198,Tab_Compteur_7[[#This Row],[Quantité]])/Tab_Compteur_7[[#This Row],[Delta Jour]],""))</f>
        <v/>
      </c>
      <c r="H199" s="247" t="str">
        <f>IFERROR(Tab_Compteur_7[[#This Row],[Montant]]/Tab_Compteur_7[[#This Row],[Delta Jour]],"")</f>
        <v/>
      </c>
      <c r="I199" s="208" t="str">
        <f t="shared" si="10"/>
        <v/>
      </c>
      <c r="J199" s="209"/>
      <c r="K199" s="38"/>
      <c r="L199" s="38"/>
      <c r="M199" s="38"/>
    </row>
    <row r="200" spans="1:13">
      <c r="A200" s="3">
        <f t="shared" si="11"/>
        <v>1</v>
      </c>
      <c r="B200" s="231"/>
      <c r="C200" s="187"/>
      <c r="D200" s="188"/>
      <c r="E200" s="186"/>
      <c r="F200" s="247">
        <f t="shared" si="9"/>
        <v>0</v>
      </c>
      <c r="G200" s="247" t="str">
        <f>IF(IFERROR(IF(Str_TypeDonneesCpt7=Cpt_Index,Tab_Compteur_7[[#This Row],[Index]]-E199,Tab_Compteur_7[[#This Row],[Quantité]])/Tab_Compteur_7[[#This Row],[Delta Jour]],"")&lt;0,"",IFERROR(IF(Str_TypeDonneesCpt7=Cpt_Index,Tab_Compteur_7[[#This Row],[Index]]-E199,Tab_Compteur_7[[#This Row],[Quantité]])/Tab_Compteur_7[[#This Row],[Delta Jour]],""))</f>
        <v/>
      </c>
      <c r="H200" s="247" t="str">
        <f>IFERROR(Tab_Compteur_7[[#This Row],[Montant]]/Tab_Compteur_7[[#This Row],[Delta Jour]],"")</f>
        <v/>
      </c>
      <c r="I200" s="208" t="str">
        <f t="shared" si="10"/>
        <v/>
      </c>
      <c r="J200" s="209"/>
      <c r="K200" s="38"/>
      <c r="L200" s="38"/>
      <c r="M200" s="38"/>
    </row>
    <row r="201" spans="1:13">
      <c r="A201" s="3">
        <f t="shared" si="11"/>
        <v>1</v>
      </c>
      <c r="B201" s="231"/>
      <c r="C201" s="187"/>
      <c r="D201" s="188"/>
      <c r="E201" s="186"/>
      <c r="F201" s="247">
        <f t="shared" si="9"/>
        <v>0</v>
      </c>
      <c r="G201" s="247" t="str">
        <f>IF(IFERROR(IF(Str_TypeDonneesCpt7=Cpt_Index,Tab_Compteur_7[[#This Row],[Index]]-E200,Tab_Compteur_7[[#This Row],[Quantité]])/Tab_Compteur_7[[#This Row],[Delta Jour]],"")&lt;0,"",IFERROR(IF(Str_TypeDonneesCpt7=Cpt_Index,Tab_Compteur_7[[#This Row],[Index]]-E200,Tab_Compteur_7[[#This Row],[Quantité]])/Tab_Compteur_7[[#This Row],[Delta Jour]],""))</f>
        <v/>
      </c>
      <c r="H201" s="247" t="str">
        <f>IFERROR(Tab_Compteur_7[[#This Row],[Montant]]/Tab_Compteur_7[[#This Row],[Delta Jour]],"")</f>
        <v/>
      </c>
      <c r="I201" s="208" t="str">
        <f t="shared" si="10"/>
        <v/>
      </c>
      <c r="J201" s="209"/>
      <c r="K201" s="38"/>
      <c r="L201" s="38"/>
      <c r="M201" s="38"/>
    </row>
    <row r="202" spans="1:13">
      <c r="A202" s="3">
        <f t="shared" si="11"/>
        <v>1</v>
      </c>
      <c r="B202" s="231"/>
      <c r="C202" s="187"/>
      <c r="D202" s="188"/>
      <c r="E202" s="186"/>
      <c r="F202" s="247">
        <f t="shared" si="9"/>
        <v>0</v>
      </c>
      <c r="G202" s="247" t="str">
        <f>IF(IFERROR(IF(Str_TypeDonneesCpt7=Cpt_Index,Tab_Compteur_7[[#This Row],[Index]]-E201,Tab_Compteur_7[[#This Row],[Quantité]])/Tab_Compteur_7[[#This Row],[Delta Jour]],"")&lt;0,"",IFERROR(IF(Str_TypeDonneesCpt7=Cpt_Index,Tab_Compteur_7[[#This Row],[Index]]-E201,Tab_Compteur_7[[#This Row],[Quantité]])/Tab_Compteur_7[[#This Row],[Delta Jour]],""))</f>
        <v/>
      </c>
      <c r="H202" s="247" t="str">
        <f>IFERROR(Tab_Compteur_7[[#This Row],[Montant]]/Tab_Compteur_7[[#This Row],[Delta Jour]],"")</f>
        <v/>
      </c>
      <c r="I202" s="208" t="str">
        <f t="shared" si="10"/>
        <v/>
      </c>
      <c r="J202" s="209"/>
      <c r="K202" s="38"/>
      <c r="L202" s="38"/>
      <c r="M202" s="38"/>
    </row>
    <row r="203" spans="1:13">
      <c r="A203" s="3">
        <f t="shared" si="11"/>
        <v>1</v>
      </c>
      <c r="B203" s="231"/>
      <c r="C203" s="187"/>
      <c r="D203" s="188"/>
      <c r="E203" s="186"/>
      <c r="F203" s="247">
        <f t="shared" si="9"/>
        <v>0</v>
      </c>
      <c r="G203" s="247" t="str">
        <f>IF(IFERROR(IF(Str_TypeDonneesCpt7=Cpt_Index,Tab_Compteur_7[[#This Row],[Index]]-E202,Tab_Compteur_7[[#This Row],[Quantité]])/Tab_Compteur_7[[#This Row],[Delta Jour]],"")&lt;0,"",IFERROR(IF(Str_TypeDonneesCpt7=Cpt_Index,Tab_Compteur_7[[#This Row],[Index]]-E202,Tab_Compteur_7[[#This Row],[Quantité]])/Tab_Compteur_7[[#This Row],[Delta Jour]],""))</f>
        <v/>
      </c>
      <c r="H203" s="247" t="str">
        <f>IFERROR(Tab_Compteur_7[[#This Row],[Montant]]/Tab_Compteur_7[[#This Row],[Delta Jour]],"")</f>
        <v/>
      </c>
      <c r="I203" s="208" t="str">
        <f t="shared" si="10"/>
        <v/>
      </c>
      <c r="J203" s="209"/>
      <c r="K203" s="38"/>
      <c r="L203" s="38"/>
      <c r="M203" s="38"/>
    </row>
    <row r="204" spans="1:13">
      <c r="A204" s="3">
        <f t="shared" si="11"/>
        <v>1</v>
      </c>
      <c r="B204" s="231"/>
      <c r="C204" s="187"/>
      <c r="D204" s="188"/>
      <c r="E204" s="186"/>
      <c r="F204" s="247">
        <f t="shared" si="9"/>
        <v>0</v>
      </c>
      <c r="G204" s="247" t="str">
        <f>IF(IFERROR(IF(Str_TypeDonneesCpt7=Cpt_Index,Tab_Compteur_7[[#This Row],[Index]]-E203,Tab_Compteur_7[[#This Row],[Quantité]])/Tab_Compteur_7[[#This Row],[Delta Jour]],"")&lt;0,"",IFERROR(IF(Str_TypeDonneesCpt7=Cpt_Index,Tab_Compteur_7[[#This Row],[Index]]-E203,Tab_Compteur_7[[#This Row],[Quantité]])/Tab_Compteur_7[[#This Row],[Delta Jour]],""))</f>
        <v/>
      </c>
      <c r="H204" s="247" t="str">
        <f>IFERROR(Tab_Compteur_7[[#This Row],[Montant]]/Tab_Compteur_7[[#This Row],[Delta Jour]],"")</f>
        <v/>
      </c>
      <c r="I204" s="208" t="str">
        <f t="shared" si="10"/>
        <v/>
      </c>
      <c r="J204" s="209"/>
      <c r="K204" s="38"/>
      <c r="L204" s="38"/>
      <c r="M204" s="38"/>
    </row>
    <row r="205" spans="1:13">
      <c r="A205" s="3">
        <f t="shared" si="11"/>
        <v>1</v>
      </c>
      <c r="B205" s="231"/>
      <c r="C205" s="187"/>
      <c r="D205" s="188"/>
      <c r="E205" s="186"/>
      <c r="F205" s="247">
        <f t="shared" si="9"/>
        <v>0</v>
      </c>
      <c r="G205" s="247" t="str">
        <f>IF(IFERROR(IF(Str_TypeDonneesCpt7=Cpt_Index,Tab_Compteur_7[[#This Row],[Index]]-E204,Tab_Compteur_7[[#This Row],[Quantité]])/Tab_Compteur_7[[#This Row],[Delta Jour]],"")&lt;0,"",IFERROR(IF(Str_TypeDonneesCpt7=Cpt_Index,Tab_Compteur_7[[#This Row],[Index]]-E204,Tab_Compteur_7[[#This Row],[Quantité]])/Tab_Compteur_7[[#This Row],[Delta Jour]],""))</f>
        <v/>
      </c>
      <c r="H205" s="247" t="str">
        <f>IFERROR(Tab_Compteur_7[[#This Row],[Montant]]/Tab_Compteur_7[[#This Row],[Delta Jour]],"")</f>
        <v/>
      </c>
      <c r="I205" s="208" t="str">
        <f t="shared" si="10"/>
        <v/>
      </c>
      <c r="J205" s="209"/>
      <c r="K205" s="38"/>
      <c r="L205" s="38"/>
      <c r="M205" s="38"/>
    </row>
    <row r="206" spans="1:13">
      <c r="A206" s="3">
        <f t="shared" si="11"/>
        <v>1</v>
      </c>
      <c r="B206" s="231"/>
      <c r="C206" s="187"/>
      <c r="D206" s="188"/>
      <c r="E206" s="186"/>
      <c r="F206" s="247">
        <f t="shared" si="9"/>
        <v>0</v>
      </c>
      <c r="G206" s="247" t="str">
        <f>IF(IFERROR(IF(Str_TypeDonneesCpt7=Cpt_Index,Tab_Compteur_7[[#This Row],[Index]]-E205,Tab_Compteur_7[[#This Row],[Quantité]])/Tab_Compteur_7[[#This Row],[Delta Jour]],"")&lt;0,"",IFERROR(IF(Str_TypeDonneesCpt7=Cpt_Index,Tab_Compteur_7[[#This Row],[Index]]-E205,Tab_Compteur_7[[#This Row],[Quantité]])/Tab_Compteur_7[[#This Row],[Delta Jour]],""))</f>
        <v/>
      </c>
      <c r="H206" s="247" t="str">
        <f>IFERROR(Tab_Compteur_7[[#This Row],[Montant]]/Tab_Compteur_7[[#This Row],[Delta Jour]],"")</f>
        <v/>
      </c>
      <c r="I206" s="208" t="str">
        <f t="shared" si="10"/>
        <v/>
      </c>
      <c r="J206" s="209"/>
      <c r="K206" s="38"/>
      <c r="L206" s="38"/>
      <c r="M206" s="38"/>
    </row>
    <row r="207" spans="1:13">
      <c r="A207" s="3">
        <f t="shared" si="11"/>
        <v>1</v>
      </c>
      <c r="B207" s="231"/>
      <c r="C207" s="187"/>
      <c r="D207" s="188"/>
      <c r="E207" s="186"/>
      <c r="F207" s="247">
        <f t="shared" si="9"/>
        <v>0</v>
      </c>
      <c r="G207" s="247" t="str">
        <f>IF(IFERROR(IF(Str_TypeDonneesCpt7=Cpt_Index,Tab_Compteur_7[[#This Row],[Index]]-E206,Tab_Compteur_7[[#This Row],[Quantité]])/Tab_Compteur_7[[#This Row],[Delta Jour]],"")&lt;0,"",IFERROR(IF(Str_TypeDonneesCpt7=Cpt_Index,Tab_Compteur_7[[#This Row],[Index]]-E206,Tab_Compteur_7[[#This Row],[Quantité]])/Tab_Compteur_7[[#This Row],[Delta Jour]],""))</f>
        <v/>
      </c>
      <c r="H207" s="247" t="str">
        <f>IFERROR(Tab_Compteur_7[[#This Row],[Montant]]/Tab_Compteur_7[[#This Row],[Delta Jour]],"")</f>
        <v/>
      </c>
      <c r="I207" s="208" t="str">
        <f t="shared" si="10"/>
        <v/>
      </c>
      <c r="J207" s="209"/>
      <c r="K207" s="38"/>
      <c r="L207" s="38"/>
      <c r="M207" s="38"/>
    </row>
    <row r="208" spans="1:13">
      <c r="A208" s="3">
        <f t="shared" si="11"/>
        <v>1</v>
      </c>
      <c r="B208" s="231"/>
      <c r="C208" s="187"/>
      <c r="D208" s="188"/>
      <c r="E208" s="186"/>
      <c r="F208" s="247">
        <f t="shared" si="9"/>
        <v>0</v>
      </c>
      <c r="G208" s="247" t="str">
        <f>IF(IFERROR(IF(Str_TypeDonneesCpt7=Cpt_Index,Tab_Compteur_7[[#This Row],[Index]]-E207,Tab_Compteur_7[[#This Row],[Quantité]])/Tab_Compteur_7[[#This Row],[Delta Jour]],"")&lt;0,"",IFERROR(IF(Str_TypeDonneesCpt7=Cpt_Index,Tab_Compteur_7[[#This Row],[Index]]-E207,Tab_Compteur_7[[#This Row],[Quantité]])/Tab_Compteur_7[[#This Row],[Delta Jour]],""))</f>
        <v/>
      </c>
      <c r="H208" s="247" t="str">
        <f>IFERROR(Tab_Compteur_7[[#This Row],[Montant]]/Tab_Compteur_7[[#This Row],[Delta Jour]],"")</f>
        <v/>
      </c>
      <c r="I208" s="208" t="str">
        <f t="shared" si="10"/>
        <v/>
      </c>
      <c r="J208" s="209"/>
      <c r="K208" s="38"/>
      <c r="L208" s="38"/>
      <c r="M208" s="38"/>
    </row>
    <row r="209" spans="1:13">
      <c r="A209" s="3">
        <f t="shared" si="11"/>
        <v>1</v>
      </c>
      <c r="B209" s="231"/>
      <c r="C209" s="187"/>
      <c r="D209" s="188"/>
      <c r="E209" s="186"/>
      <c r="F209" s="247">
        <f t="shared" si="9"/>
        <v>0</v>
      </c>
      <c r="G209" s="247" t="str">
        <f>IF(IFERROR(IF(Str_TypeDonneesCpt7=Cpt_Index,Tab_Compteur_7[[#This Row],[Index]]-E208,Tab_Compteur_7[[#This Row],[Quantité]])/Tab_Compteur_7[[#This Row],[Delta Jour]],"")&lt;0,"",IFERROR(IF(Str_TypeDonneesCpt7=Cpt_Index,Tab_Compteur_7[[#This Row],[Index]]-E208,Tab_Compteur_7[[#This Row],[Quantité]])/Tab_Compteur_7[[#This Row],[Delta Jour]],""))</f>
        <v/>
      </c>
      <c r="H209" s="247" t="str">
        <f>IFERROR(Tab_Compteur_7[[#This Row],[Montant]]/Tab_Compteur_7[[#This Row],[Delta Jour]],"")</f>
        <v/>
      </c>
      <c r="I209" s="208" t="str">
        <f t="shared" si="10"/>
        <v/>
      </c>
      <c r="J209" s="209"/>
      <c r="K209" s="38"/>
      <c r="L209" s="38"/>
      <c r="M209" s="38"/>
    </row>
    <row r="210" spans="1:13">
      <c r="A210" s="3">
        <f t="shared" si="11"/>
        <v>1</v>
      </c>
      <c r="B210" s="231"/>
      <c r="C210" s="187"/>
      <c r="D210" s="188"/>
      <c r="E210" s="186"/>
      <c r="F210" s="247">
        <f t="shared" si="9"/>
        <v>0</v>
      </c>
      <c r="G210" s="247" t="str">
        <f>IF(IFERROR(IF(Str_TypeDonneesCpt7=Cpt_Index,Tab_Compteur_7[[#This Row],[Index]]-E209,Tab_Compteur_7[[#This Row],[Quantité]])/Tab_Compteur_7[[#This Row],[Delta Jour]],"")&lt;0,"",IFERROR(IF(Str_TypeDonneesCpt7=Cpt_Index,Tab_Compteur_7[[#This Row],[Index]]-E209,Tab_Compteur_7[[#This Row],[Quantité]])/Tab_Compteur_7[[#This Row],[Delta Jour]],""))</f>
        <v/>
      </c>
      <c r="H210" s="247" t="str">
        <f>IFERROR(Tab_Compteur_7[[#This Row],[Montant]]/Tab_Compteur_7[[#This Row],[Delta Jour]],"")</f>
        <v/>
      </c>
      <c r="I210" s="208" t="str">
        <f t="shared" si="10"/>
        <v/>
      </c>
      <c r="J210" s="209"/>
      <c r="K210" s="38"/>
      <c r="L210" s="38"/>
      <c r="M210" s="38"/>
    </row>
    <row r="211" spans="1:13">
      <c r="A211" s="3">
        <f t="shared" si="11"/>
        <v>1</v>
      </c>
      <c r="B211" s="231"/>
      <c r="C211" s="187"/>
      <c r="D211" s="188"/>
      <c r="E211" s="186"/>
      <c r="F211" s="247">
        <f t="shared" si="9"/>
        <v>0</v>
      </c>
      <c r="G211" s="247" t="str">
        <f>IF(IFERROR(IF(Str_TypeDonneesCpt7=Cpt_Index,Tab_Compteur_7[[#This Row],[Index]]-E210,Tab_Compteur_7[[#This Row],[Quantité]])/Tab_Compteur_7[[#This Row],[Delta Jour]],"")&lt;0,"",IFERROR(IF(Str_TypeDonneesCpt7=Cpt_Index,Tab_Compteur_7[[#This Row],[Index]]-E210,Tab_Compteur_7[[#This Row],[Quantité]])/Tab_Compteur_7[[#This Row],[Delta Jour]],""))</f>
        <v/>
      </c>
      <c r="H211" s="247" t="str">
        <f>IFERROR(Tab_Compteur_7[[#This Row],[Montant]]/Tab_Compteur_7[[#This Row],[Delta Jour]],"")</f>
        <v/>
      </c>
      <c r="I211" s="208" t="str">
        <f t="shared" si="10"/>
        <v/>
      </c>
      <c r="J211" s="209"/>
      <c r="K211" s="38"/>
      <c r="L211" s="38"/>
      <c r="M211" s="38"/>
    </row>
    <row r="212" spans="1:13">
      <c r="A212" s="3">
        <f t="shared" si="11"/>
        <v>1</v>
      </c>
      <c r="B212" s="231"/>
      <c r="C212" s="187"/>
      <c r="D212" s="188"/>
      <c r="E212" s="186"/>
      <c r="F212" s="247">
        <f t="shared" si="9"/>
        <v>0</v>
      </c>
      <c r="G212" s="247" t="str">
        <f>IF(IFERROR(IF(Str_TypeDonneesCpt7=Cpt_Index,Tab_Compteur_7[[#This Row],[Index]]-E211,Tab_Compteur_7[[#This Row],[Quantité]])/Tab_Compteur_7[[#This Row],[Delta Jour]],"")&lt;0,"",IFERROR(IF(Str_TypeDonneesCpt7=Cpt_Index,Tab_Compteur_7[[#This Row],[Index]]-E211,Tab_Compteur_7[[#This Row],[Quantité]])/Tab_Compteur_7[[#This Row],[Delta Jour]],""))</f>
        <v/>
      </c>
      <c r="H212" s="247" t="str">
        <f>IFERROR(Tab_Compteur_7[[#This Row],[Montant]]/Tab_Compteur_7[[#This Row],[Delta Jour]],"")</f>
        <v/>
      </c>
      <c r="I212" s="208" t="str">
        <f t="shared" si="10"/>
        <v/>
      </c>
      <c r="J212" s="209"/>
      <c r="K212" s="38"/>
      <c r="L212" s="38"/>
      <c r="M212" s="38"/>
    </row>
    <row r="213" spans="1:13">
      <c r="A213" s="3">
        <f t="shared" si="11"/>
        <v>1</v>
      </c>
      <c r="B213" s="231"/>
      <c r="C213" s="187"/>
      <c r="D213" s="188"/>
      <c r="E213" s="186"/>
      <c r="F213" s="247">
        <f t="shared" si="9"/>
        <v>0</v>
      </c>
      <c r="G213" s="247" t="str">
        <f>IF(IFERROR(IF(Str_TypeDonneesCpt7=Cpt_Index,Tab_Compteur_7[[#This Row],[Index]]-E212,Tab_Compteur_7[[#This Row],[Quantité]])/Tab_Compteur_7[[#This Row],[Delta Jour]],"")&lt;0,"",IFERROR(IF(Str_TypeDonneesCpt7=Cpt_Index,Tab_Compteur_7[[#This Row],[Index]]-E212,Tab_Compteur_7[[#This Row],[Quantité]])/Tab_Compteur_7[[#This Row],[Delta Jour]],""))</f>
        <v/>
      </c>
      <c r="H213" s="247" t="str">
        <f>IFERROR(Tab_Compteur_7[[#This Row],[Montant]]/Tab_Compteur_7[[#This Row],[Delta Jour]],"")</f>
        <v/>
      </c>
      <c r="I213" s="208" t="str">
        <f t="shared" si="10"/>
        <v/>
      </c>
      <c r="J213" s="209"/>
      <c r="K213" s="38"/>
      <c r="L213" s="38"/>
      <c r="M213" s="38"/>
    </row>
    <row r="214" spans="1:13">
      <c r="A214" s="3">
        <f t="shared" si="11"/>
        <v>1</v>
      </c>
      <c r="B214" s="231"/>
      <c r="C214" s="187"/>
      <c r="D214" s="188"/>
      <c r="E214" s="186"/>
      <c r="F214" s="247">
        <f t="shared" si="9"/>
        <v>0</v>
      </c>
      <c r="G214" s="247" t="str">
        <f>IF(IFERROR(IF(Str_TypeDonneesCpt7=Cpt_Index,Tab_Compteur_7[[#This Row],[Index]]-E213,Tab_Compteur_7[[#This Row],[Quantité]])/Tab_Compteur_7[[#This Row],[Delta Jour]],"")&lt;0,"",IFERROR(IF(Str_TypeDonneesCpt7=Cpt_Index,Tab_Compteur_7[[#This Row],[Index]]-E213,Tab_Compteur_7[[#This Row],[Quantité]])/Tab_Compteur_7[[#This Row],[Delta Jour]],""))</f>
        <v/>
      </c>
      <c r="H214" s="247" t="str">
        <f>IFERROR(Tab_Compteur_7[[#This Row],[Montant]]/Tab_Compteur_7[[#This Row],[Delta Jour]],"")</f>
        <v/>
      </c>
      <c r="I214" s="208" t="str">
        <f t="shared" si="10"/>
        <v/>
      </c>
      <c r="J214" s="209"/>
      <c r="K214" s="38"/>
      <c r="L214" s="38"/>
      <c r="M214" s="38"/>
    </row>
    <row r="215" spans="1:13">
      <c r="A215" s="3">
        <f t="shared" si="11"/>
        <v>1</v>
      </c>
      <c r="B215" s="231"/>
      <c r="C215" s="187"/>
      <c r="D215" s="188"/>
      <c r="E215" s="186"/>
      <c r="F215" s="247">
        <f t="shared" si="9"/>
        <v>0</v>
      </c>
      <c r="G215" s="247" t="str">
        <f>IF(IFERROR(IF(Str_TypeDonneesCpt7=Cpt_Index,Tab_Compteur_7[[#This Row],[Index]]-E214,Tab_Compteur_7[[#This Row],[Quantité]])/Tab_Compteur_7[[#This Row],[Delta Jour]],"")&lt;0,"",IFERROR(IF(Str_TypeDonneesCpt7=Cpt_Index,Tab_Compteur_7[[#This Row],[Index]]-E214,Tab_Compteur_7[[#This Row],[Quantité]])/Tab_Compteur_7[[#This Row],[Delta Jour]],""))</f>
        <v/>
      </c>
      <c r="H215" s="247" t="str">
        <f>IFERROR(Tab_Compteur_7[[#This Row],[Montant]]/Tab_Compteur_7[[#This Row],[Delta Jour]],"")</f>
        <v/>
      </c>
      <c r="I215" s="208" t="str">
        <f t="shared" si="10"/>
        <v/>
      </c>
      <c r="J215" s="209"/>
      <c r="K215" s="38"/>
      <c r="L215" s="38"/>
      <c r="M215" s="38"/>
    </row>
    <row r="216" spans="1:13">
      <c r="A216" s="3">
        <f t="shared" si="11"/>
        <v>1</v>
      </c>
      <c r="B216" s="231"/>
      <c r="C216" s="187"/>
      <c r="D216" s="188"/>
      <c r="E216" s="186"/>
      <c r="F216" s="247">
        <f t="shared" si="9"/>
        <v>0</v>
      </c>
      <c r="G216" s="247" t="str">
        <f>IF(IFERROR(IF(Str_TypeDonneesCpt7=Cpt_Index,Tab_Compteur_7[[#This Row],[Index]]-E215,Tab_Compteur_7[[#This Row],[Quantité]])/Tab_Compteur_7[[#This Row],[Delta Jour]],"")&lt;0,"",IFERROR(IF(Str_TypeDonneesCpt7=Cpt_Index,Tab_Compteur_7[[#This Row],[Index]]-E215,Tab_Compteur_7[[#This Row],[Quantité]])/Tab_Compteur_7[[#This Row],[Delta Jour]],""))</f>
        <v/>
      </c>
      <c r="H216" s="247" t="str">
        <f>IFERROR(Tab_Compteur_7[[#This Row],[Montant]]/Tab_Compteur_7[[#This Row],[Delta Jour]],"")</f>
        <v/>
      </c>
      <c r="I216" s="208" t="str">
        <f t="shared" si="10"/>
        <v/>
      </c>
      <c r="J216" s="209"/>
      <c r="K216" s="38"/>
      <c r="L216" s="38"/>
      <c r="M216" s="38"/>
    </row>
    <row r="217" spans="1:13">
      <c r="A217" s="3">
        <f t="shared" si="11"/>
        <v>1</v>
      </c>
      <c r="B217" s="231"/>
      <c r="C217" s="187"/>
      <c r="D217" s="188"/>
      <c r="E217" s="186"/>
      <c r="F217" s="247">
        <f t="shared" si="9"/>
        <v>0</v>
      </c>
      <c r="G217" s="247" t="str">
        <f>IF(IFERROR(IF(Str_TypeDonneesCpt7=Cpt_Index,Tab_Compteur_7[[#This Row],[Index]]-E216,Tab_Compteur_7[[#This Row],[Quantité]])/Tab_Compteur_7[[#This Row],[Delta Jour]],"")&lt;0,"",IFERROR(IF(Str_TypeDonneesCpt7=Cpt_Index,Tab_Compteur_7[[#This Row],[Index]]-E216,Tab_Compteur_7[[#This Row],[Quantité]])/Tab_Compteur_7[[#This Row],[Delta Jour]],""))</f>
        <v/>
      </c>
      <c r="H217" s="247" t="str">
        <f>IFERROR(Tab_Compteur_7[[#This Row],[Montant]]/Tab_Compteur_7[[#This Row],[Delta Jour]],"")</f>
        <v/>
      </c>
      <c r="I217" s="208" t="str">
        <f t="shared" si="10"/>
        <v/>
      </c>
      <c r="J217" s="209"/>
      <c r="K217" s="38"/>
      <c r="L217" s="38"/>
      <c r="M217" s="38"/>
    </row>
    <row r="218" spans="1:13">
      <c r="A218" s="3">
        <f t="shared" si="11"/>
        <v>1</v>
      </c>
      <c r="B218" s="231"/>
      <c r="C218" s="187"/>
      <c r="D218" s="188"/>
      <c r="E218" s="186"/>
      <c r="F218" s="247">
        <f t="shared" si="9"/>
        <v>0</v>
      </c>
      <c r="G218" s="247" t="str">
        <f>IF(IFERROR(IF(Str_TypeDonneesCpt7=Cpt_Index,Tab_Compteur_7[[#This Row],[Index]]-E217,Tab_Compteur_7[[#This Row],[Quantité]])/Tab_Compteur_7[[#This Row],[Delta Jour]],"")&lt;0,"",IFERROR(IF(Str_TypeDonneesCpt7=Cpt_Index,Tab_Compteur_7[[#This Row],[Index]]-E217,Tab_Compteur_7[[#This Row],[Quantité]])/Tab_Compteur_7[[#This Row],[Delta Jour]],""))</f>
        <v/>
      </c>
      <c r="H218" s="247" t="str">
        <f>IFERROR(Tab_Compteur_7[[#This Row],[Montant]]/Tab_Compteur_7[[#This Row],[Delta Jour]],"")</f>
        <v/>
      </c>
      <c r="I218" s="208" t="str">
        <f t="shared" si="10"/>
        <v/>
      </c>
      <c r="J218" s="209"/>
      <c r="K218" s="38"/>
      <c r="L218" s="38"/>
      <c r="M218" s="38"/>
    </row>
    <row r="219" spans="1:13">
      <c r="A219" s="3">
        <f t="shared" si="11"/>
        <v>1</v>
      </c>
      <c r="B219" s="231"/>
      <c r="C219" s="187"/>
      <c r="D219" s="188"/>
      <c r="E219" s="186"/>
      <c r="F219" s="247">
        <f t="shared" si="9"/>
        <v>0</v>
      </c>
      <c r="G219" s="247" t="str">
        <f>IF(IFERROR(IF(Str_TypeDonneesCpt7=Cpt_Index,Tab_Compteur_7[[#This Row],[Index]]-E218,Tab_Compteur_7[[#This Row],[Quantité]])/Tab_Compteur_7[[#This Row],[Delta Jour]],"")&lt;0,"",IFERROR(IF(Str_TypeDonneesCpt7=Cpt_Index,Tab_Compteur_7[[#This Row],[Index]]-E218,Tab_Compteur_7[[#This Row],[Quantité]])/Tab_Compteur_7[[#This Row],[Delta Jour]],""))</f>
        <v/>
      </c>
      <c r="H219" s="247" t="str">
        <f>IFERROR(Tab_Compteur_7[[#This Row],[Montant]]/Tab_Compteur_7[[#This Row],[Delta Jour]],"")</f>
        <v/>
      </c>
      <c r="I219" s="208" t="str">
        <f t="shared" si="10"/>
        <v/>
      </c>
      <c r="J219" s="209"/>
      <c r="K219" s="38"/>
      <c r="L219" s="38"/>
      <c r="M219" s="38"/>
    </row>
    <row r="220" spans="1:13">
      <c r="A220" s="3">
        <f t="shared" si="11"/>
        <v>1</v>
      </c>
      <c r="B220" s="231"/>
      <c r="C220" s="187"/>
      <c r="D220" s="188"/>
      <c r="E220" s="186"/>
      <c r="F220" s="247">
        <f t="shared" si="9"/>
        <v>0</v>
      </c>
      <c r="G220" s="247" t="str">
        <f>IF(IFERROR(IF(Str_TypeDonneesCpt7=Cpt_Index,Tab_Compteur_7[[#This Row],[Index]]-E219,Tab_Compteur_7[[#This Row],[Quantité]])/Tab_Compteur_7[[#This Row],[Delta Jour]],"")&lt;0,"",IFERROR(IF(Str_TypeDonneesCpt7=Cpt_Index,Tab_Compteur_7[[#This Row],[Index]]-E219,Tab_Compteur_7[[#This Row],[Quantité]])/Tab_Compteur_7[[#This Row],[Delta Jour]],""))</f>
        <v/>
      </c>
      <c r="H220" s="247" t="str">
        <f>IFERROR(Tab_Compteur_7[[#This Row],[Montant]]/Tab_Compteur_7[[#This Row],[Delta Jour]],"")</f>
        <v/>
      </c>
      <c r="I220" s="208" t="str">
        <f t="shared" si="10"/>
        <v/>
      </c>
      <c r="J220" s="209"/>
      <c r="K220" s="38"/>
      <c r="L220" s="38"/>
      <c r="M220" s="38"/>
    </row>
    <row r="221" spans="1:13">
      <c r="A221" s="3">
        <f t="shared" si="11"/>
        <v>1</v>
      </c>
      <c r="B221" s="231"/>
      <c r="C221" s="187"/>
      <c r="D221" s="188"/>
      <c r="E221" s="186"/>
      <c r="F221" s="247">
        <f t="shared" si="9"/>
        <v>0</v>
      </c>
      <c r="G221" s="247" t="str">
        <f>IF(IFERROR(IF(Str_TypeDonneesCpt7=Cpt_Index,Tab_Compteur_7[[#This Row],[Index]]-E220,Tab_Compteur_7[[#This Row],[Quantité]])/Tab_Compteur_7[[#This Row],[Delta Jour]],"")&lt;0,"",IFERROR(IF(Str_TypeDonneesCpt7=Cpt_Index,Tab_Compteur_7[[#This Row],[Index]]-E220,Tab_Compteur_7[[#This Row],[Quantité]])/Tab_Compteur_7[[#This Row],[Delta Jour]],""))</f>
        <v/>
      </c>
      <c r="H221" s="247" t="str">
        <f>IFERROR(Tab_Compteur_7[[#This Row],[Montant]]/Tab_Compteur_7[[#This Row],[Delta Jour]],"")</f>
        <v/>
      </c>
      <c r="I221" s="208" t="str">
        <f t="shared" si="10"/>
        <v/>
      </c>
      <c r="J221" s="209"/>
      <c r="K221" s="38"/>
      <c r="L221" s="38"/>
      <c r="M221" s="38"/>
    </row>
    <row r="222" spans="1:13">
      <c r="A222" s="3">
        <f t="shared" si="11"/>
        <v>1</v>
      </c>
      <c r="B222" s="231"/>
      <c r="C222" s="187"/>
      <c r="D222" s="188"/>
      <c r="E222" s="186"/>
      <c r="F222" s="247">
        <f t="shared" si="9"/>
        <v>0</v>
      </c>
      <c r="G222" s="247" t="str">
        <f>IF(IFERROR(IF(Str_TypeDonneesCpt7=Cpt_Index,Tab_Compteur_7[[#This Row],[Index]]-E221,Tab_Compteur_7[[#This Row],[Quantité]])/Tab_Compteur_7[[#This Row],[Delta Jour]],"")&lt;0,"",IFERROR(IF(Str_TypeDonneesCpt7=Cpt_Index,Tab_Compteur_7[[#This Row],[Index]]-E221,Tab_Compteur_7[[#This Row],[Quantité]])/Tab_Compteur_7[[#This Row],[Delta Jour]],""))</f>
        <v/>
      </c>
      <c r="H222" s="247" t="str">
        <f>IFERROR(Tab_Compteur_7[[#This Row],[Montant]]/Tab_Compteur_7[[#This Row],[Delta Jour]],"")</f>
        <v/>
      </c>
      <c r="I222" s="208" t="str">
        <f t="shared" si="10"/>
        <v/>
      </c>
      <c r="J222" s="209"/>
      <c r="K222" s="38"/>
      <c r="L222" s="38"/>
      <c r="M222" s="38"/>
    </row>
    <row r="223" spans="1:13">
      <c r="A223" s="3">
        <f t="shared" si="11"/>
        <v>1</v>
      </c>
      <c r="B223" s="231"/>
      <c r="C223" s="187"/>
      <c r="D223" s="188"/>
      <c r="E223" s="186"/>
      <c r="F223" s="247">
        <f t="shared" si="9"/>
        <v>0</v>
      </c>
      <c r="G223" s="247" t="str">
        <f>IF(IFERROR(IF(Str_TypeDonneesCpt7=Cpt_Index,Tab_Compteur_7[[#This Row],[Index]]-E222,Tab_Compteur_7[[#This Row],[Quantité]])/Tab_Compteur_7[[#This Row],[Delta Jour]],"")&lt;0,"",IFERROR(IF(Str_TypeDonneesCpt7=Cpt_Index,Tab_Compteur_7[[#This Row],[Index]]-E222,Tab_Compteur_7[[#This Row],[Quantité]])/Tab_Compteur_7[[#This Row],[Delta Jour]],""))</f>
        <v/>
      </c>
      <c r="H223" s="247" t="str">
        <f>IFERROR(Tab_Compteur_7[[#This Row],[Montant]]/Tab_Compteur_7[[#This Row],[Delta Jour]],"")</f>
        <v/>
      </c>
      <c r="I223" s="208" t="str">
        <f t="shared" si="10"/>
        <v/>
      </c>
      <c r="J223" s="209"/>
      <c r="K223" s="38"/>
      <c r="L223" s="38"/>
      <c r="M223" s="38"/>
    </row>
    <row r="224" spans="1:13">
      <c r="A224" s="3">
        <f t="shared" si="11"/>
        <v>1</v>
      </c>
      <c r="B224" s="231"/>
      <c r="C224" s="187"/>
      <c r="D224" s="188"/>
      <c r="E224" s="186"/>
      <c r="F224" s="247">
        <f t="shared" si="9"/>
        <v>0</v>
      </c>
      <c r="G224" s="247" t="str">
        <f>IF(IFERROR(IF(Str_TypeDonneesCpt7=Cpt_Index,Tab_Compteur_7[[#This Row],[Index]]-E223,Tab_Compteur_7[[#This Row],[Quantité]])/Tab_Compteur_7[[#This Row],[Delta Jour]],"")&lt;0,"",IFERROR(IF(Str_TypeDonneesCpt7=Cpt_Index,Tab_Compteur_7[[#This Row],[Index]]-E223,Tab_Compteur_7[[#This Row],[Quantité]])/Tab_Compteur_7[[#This Row],[Delta Jour]],""))</f>
        <v/>
      </c>
      <c r="H224" s="247" t="str">
        <f>IFERROR(Tab_Compteur_7[[#This Row],[Montant]]/Tab_Compteur_7[[#This Row],[Delta Jour]],"")</f>
        <v/>
      </c>
      <c r="I224" s="208" t="str">
        <f t="shared" si="10"/>
        <v/>
      </c>
      <c r="J224" s="209"/>
      <c r="K224" s="38"/>
      <c r="L224" s="38"/>
      <c r="M224" s="38"/>
    </row>
    <row r="225" spans="1:13">
      <c r="A225" s="3">
        <f t="shared" si="11"/>
        <v>1</v>
      </c>
      <c r="B225" s="231"/>
      <c r="C225" s="187"/>
      <c r="D225" s="188"/>
      <c r="E225" s="186"/>
      <c r="F225" s="247">
        <f t="shared" si="9"/>
        <v>0</v>
      </c>
      <c r="G225" s="247" t="str">
        <f>IF(IFERROR(IF(Str_TypeDonneesCpt7=Cpt_Index,Tab_Compteur_7[[#This Row],[Index]]-E224,Tab_Compteur_7[[#This Row],[Quantité]])/Tab_Compteur_7[[#This Row],[Delta Jour]],"")&lt;0,"",IFERROR(IF(Str_TypeDonneesCpt7=Cpt_Index,Tab_Compteur_7[[#This Row],[Index]]-E224,Tab_Compteur_7[[#This Row],[Quantité]])/Tab_Compteur_7[[#This Row],[Delta Jour]],""))</f>
        <v/>
      </c>
      <c r="H225" s="247" t="str">
        <f>IFERROR(Tab_Compteur_7[[#This Row],[Montant]]/Tab_Compteur_7[[#This Row],[Delta Jour]],"")</f>
        <v/>
      </c>
      <c r="I225" s="208" t="str">
        <f t="shared" si="10"/>
        <v/>
      </c>
      <c r="J225" s="209"/>
      <c r="K225" s="38"/>
      <c r="L225" s="38"/>
      <c r="M225" s="38"/>
    </row>
    <row r="226" spans="1:13">
      <c r="A226" s="3">
        <f t="shared" si="11"/>
        <v>1</v>
      </c>
      <c r="B226" s="231"/>
      <c r="C226" s="187"/>
      <c r="D226" s="188"/>
      <c r="E226" s="186"/>
      <c r="F226" s="247">
        <f t="shared" si="9"/>
        <v>0</v>
      </c>
      <c r="G226" s="247" t="str">
        <f>IF(IFERROR(IF(Str_TypeDonneesCpt7=Cpt_Index,Tab_Compteur_7[[#This Row],[Index]]-E225,Tab_Compteur_7[[#This Row],[Quantité]])/Tab_Compteur_7[[#This Row],[Delta Jour]],"")&lt;0,"",IFERROR(IF(Str_TypeDonneesCpt7=Cpt_Index,Tab_Compteur_7[[#This Row],[Index]]-E225,Tab_Compteur_7[[#This Row],[Quantité]])/Tab_Compteur_7[[#This Row],[Delta Jour]],""))</f>
        <v/>
      </c>
      <c r="H226" s="247" t="str">
        <f>IFERROR(Tab_Compteur_7[[#This Row],[Montant]]/Tab_Compteur_7[[#This Row],[Delta Jour]],"")</f>
        <v/>
      </c>
      <c r="I226" s="208" t="str">
        <f t="shared" si="10"/>
        <v/>
      </c>
      <c r="J226" s="209"/>
      <c r="K226" s="38"/>
      <c r="L226" s="38"/>
      <c r="M226" s="38"/>
    </row>
    <row r="227" spans="1:13">
      <c r="A227" s="3">
        <f t="shared" si="11"/>
        <v>1</v>
      </c>
      <c r="B227" s="231"/>
      <c r="C227" s="187"/>
      <c r="D227" s="188"/>
      <c r="E227" s="186"/>
      <c r="F227" s="247">
        <f t="shared" si="9"/>
        <v>0</v>
      </c>
      <c r="G227" s="247" t="str">
        <f>IF(IFERROR(IF(Str_TypeDonneesCpt7=Cpt_Index,Tab_Compteur_7[[#This Row],[Index]]-E226,Tab_Compteur_7[[#This Row],[Quantité]])/Tab_Compteur_7[[#This Row],[Delta Jour]],"")&lt;0,"",IFERROR(IF(Str_TypeDonneesCpt7=Cpt_Index,Tab_Compteur_7[[#This Row],[Index]]-E226,Tab_Compteur_7[[#This Row],[Quantité]])/Tab_Compteur_7[[#This Row],[Delta Jour]],""))</f>
        <v/>
      </c>
      <c r="H227" s="247" t="str">
        <f>IFERROR(Tab_Compteur_7[[#This Row],[Montant]]/Tab_Compteur_7[[#This Row],[Delta Jour]],"")</f>
        <v/>
      </c>
      <c r="I227" s="208" t="str">
        <f t="shared" si="10"/>
        <v/>
      </c>
      <c r="J227" s="209"/>
      <c r="K227" s="38"/>
      <c r="L227" s="38"/>
      <c r="M227" s="38"/>
    </row>
    <row r="228" spans="1:13">
      <c r="A228" s="3">
        <f t="shared" si="11"/>
        <v>1</v>
      </c>
      <c r="B228" s="231"/>
      <c r="C228" s="187"/>
      <c r="D228" s="188"/>
      <c r="E228" s="186"/>
      <c r="F228" s="247">
        <f t="shared" si="9"/>
        <v>0</v>
      </c>
      <c r="G228" s="247" t="str">
        <f>IF(IFERROR(IF(Str_TypeDonneesCpt7=Cpt_Index,Tab_Compteur_7[[#This Row],[Index]]-E227,Tab_Compteur_7[[#This Row],[Quantité]])/Tab_Compteur_7[[#This Row],[Delta Jour]],"")&lt;0,"",IFERROR(IF(Str_TypeDonneesCpt7=Cpt_Index,Tab_Compteur_7[[#This Row],[Index]]-E227,Tab_Compteur_7[[#This Row],[Quantité]])/Tab_Compteur_7[[#This Row],[Delta Jour]],""))</f>
        <v/>
      </c>
      <c r="H228" s="247" t="str">
        <f>IFERROR(Tab_Compteur_7[[#This Row],[Montant]]/Tab_Compteur_7[[#This Row],[Delta Jour]],"")</f>
        <v/>
      </c>
      <c r="I228" s="208" t="str">
        <f t="shared" si="10"/>
        <v/>
      </c>
      <c r="J228" s="209"/>
      <c r="K228" s="38"/>
      <c r="L228" s="38"/>
      <c r="M228" s="38"/>
    </row>
    <row r="229" spans="1:13">
      <c r="A229" s="3">
        <f t="shared" si="11"/>
        <v>1</v>
      </c>
      <c r="B229" s="231"/>
      <c r="C229" s="187"/>
      <c r="D229" s="188"/>
      <c r="E229" s="186"/>
      <c r="F229" s="247">
        <f t="shared" si="9"/>
        <v>0</v>
      </c>
      <c r="G229" s="247" t="str">
        <f>IF(IFERROR(IF(Str_TypeDonneesCpt7=Cpt_Index,Tab_Compteur_7[[#This Row],[Index]]-E228,Tab_Compteur_7[[#This Row],[Quantité]])/Tab_Compteur_7[[#This Row],[Delta Jour]],"")&lt;0,"",IFERROR(IF(Str_TypeDonneesCpt7=Cpt_Index,Tab_Compteur_7[[#This Row],[Index]]-E228,Tab_Compteur_7[[#This Row],[Quantité]])/Tab_Compteur_7[[#This Row],[Delta Jour]],""))</f>
        <v/>
      </c>
      <c r="H229" s="247" t="str">
        <f>IFERROR(Tab_Compteur_7[[#This Row],[Montant]]/Tab_Compteur_7[[#This Row],[Delta Jour]],"")</f>
        <v/>
      </c>
      <c r="I229" s="208" t="str">
        <f t="shared" si="10"/>
        <v/>
      </c>
      <c r="J229" s="209"/>
      <c r="K229" s="38"/>
      <c r="L229" s="38"/>
      <c r="M229" s="38"/>
    </row>
    <row r="230" spans="1:13">
      <c r="A230" s="3">
        <f t="shared" si="11"/>
        <v>1</v>
      </c>
      <c r="B230" s="231"/>
      <c r="C230" s="187"/>
      <c r="D230" s="188"/>
      <c r="E230" s="186"/>
      <c r="F230" s="247">
        <f t="shared" si="9"/>
        <v>0</v>
      </c>
      <c r="G230" s="247" t="str">
        <f>IF(IFERROR(IF(Str_TypeDonneesCpt7=Cpt_Index,Tab_Compteur_7[[#This Row],[Index]]-E229,Tab_Compteur_7[[#This Row],[Quantité]])/Tab_Compteur_7[[#This Row],[Delta Jour]],"")&lt;0,"",IFERROR(IF(Str_TypeDonneesCpt7=Cpt_Index,Tab_Compteur_7[[#This Row],[Index]]-E229,Tab_Compteur_7[[#This Row],[Quantité]])/Tab_Compteur_7[[#This Row],[Delta Jour]],""))</f>
        <v/>
      </c>
      <c r="H230" s="247" t="str">
        <f>IFERROR(Tab_Compteur_7[[#This Row],[Montant]]/Tab_Compteur_7[[#This Row],[Delta Jour]],"")</f>
        <v/>
      </c>
      <c r="I230" s="208" t="str">
        <f t="shared" si="10"/>
        <v/>
      </c>
      <c r="J230" s="209"/>
      <c r="K230" s="38"/>
      <c r="L230" s="38"/>
      <c r="M230" s="38"/>
    </row>
    <row r="231" spans="1:13">
      <c r="A231" s="3">
        <f t="shared" si="11"/>
        <v>1</v>
      </c>
      <c r="B231" s="231"/>
      <c r="C231" s="187"/>
      <c r="D231" s="188"/>
      <c r="E231" s="186"/>
      <c r="F231" s="247">
        <f t="shared" si="9"/>
        <v>0</v>
      </c>
      <c r="G231" s="247" t="str">
        <f>IF(IFERROR(IF(Str_TypeDonneesCpt7=Cpt_Index,Tab_Compteur_7[[#This Row],[Index]]-E230,Tab_Compteur_7[[#This Row],[Quantité]])/Tab_Compteur_7[[#This Row],[Delta Jour]],"")&lt;0,"",IFERROR(IF(Str_TypeDonneesCpt7=Cpt_Index,Tab_Compteur_7[[#This Row],[Index]]-E230,Tab_Compteur_7[[#This Row],[Quantité]])/Tab_Compteur_7[[#This Row],[Delta Jour]],""))</f>
        <v/>
      </c>
      <c r="H231" s="247" t="str">
        <f>IFERROR(Tab_Compteur_7[[#This Row],[Montant]]/Tab_Compteur_7[[#This Row],[Delta Jour]],"")</f>
        <v/>
      </c>
      <c r="I231" s="208" t="str">
        <f t="shared" si="10"/>
        <v/>
      </c>
      <c r="J231" s="209"/>
      <c r="K231" s="38"/>
      <c r="L231" s="38"/>
      <c r="M231" s="38"/>
    </row>
    <row r="232" spans="1:13">
      <c r="A232" s="3">
        <f t="shared" si="11"/>
        <v>1</v>
      </c>
      <c r="B232" s="231"/>
      <c r="C232" s="187"/>
      <c r="D232" s="188"/>
      <c r="E232" s="186"/>
      <c r="F232" s="247">
        <f t="shared" si="9"/>
        <v>0</v>
      </c>
      <c r="G232" s="247" t="str">
        <f>IF(IFERROR(IF(Str_TypeDonneesCpt7=Cpt_Index,Tab_Compteur_7[[#This Row],[Index]]-E231,Tab_Compteur_7[[#This Row],[Quantité]])/Tab_Compteur_7[[#This Row],[Delta Jour]],"")&lt;0,"",IFERROR(IF(Str_TypeDonneesCpt7=Cpt_Index,Tab_Compteur_7[[#This Row],[Index]]-E231,Tab_Compteur_7[[#This Row],[Quantité]])/Tab_Compteur_7[[#This Row],[Delta Jour]],""))</f>
        <v/>
      </c>
      <c r="H232" s="247" t="str">
        <f>IFERROR(Tab_Compteur_7[[#This Row],[Montant]]/Tab_Compteur_7[[#This Row],[Delta Jour]],"")</f>
        <v/>
      </c>
      <c r="I232" s="208" t="str">
        <f t="shared" si="10"/>
        <v/>
      </c>
      <c r="J232" s="209"/>
      <c r="K232" s="38"/>
      <c r="L232" s="38"/>
      <c r="M232" s="38"/>
    </row>
    <row r="233" spans="1:13">
      <c r="A233" s="3">
        <f t="shared" si="11"/>
        <v>1</v>
      </c>
      <c r="B233" s="231"/>
      <c r="C233" s="187"/>
      <c r="D233" s="188"/>
      <c r="E233" s="186"/>
      <c r="F233" s="247">
        <f t="shared" si="9"/>
        <v>0</v>
      </c>
      <c r="G233" s="247" t="str">
        <f>IF(IFERROR(IF(Str_TypeDonneesCpt7=Cpt_Index,Tab_Compteur_7[[#This Row],[Index]]-E232,Tab_Compteur_7[[#This Row],[Quantité]])/Tab_Compteur_7[[#This Row],[Delta Jour]],"")&lt;0,"",IFERROR(IF(Str_TypeDonneesCpt7=Cpt_Index,Tab_Compteur_7[[#This Row],[Index]]-E232,Tab_Compteur_7[[#This Row],[Quantité]])/Tab_Compteur_7[[#This Row],[Delta Jour]],""))</f>
        <v/>
      </c>
      <c r="H233" s="247" t="str">
        <f>IFERROR(Tab_Compteur_7[[#This Row],[Montant]]/Tab_Compteur_7[[#This Row],[Delta Jour]],"")</f>
        <v/>
      </c>
      <c r="I233" s="208" t="str">
        <f t="shared" si="10"/>
        <v/>
      </c>
      <c r="J233" s="209"/>
      <c r="K233" s="38"/>
      <c r="L233" s="38"/>
      <c r="M233" s="38"/>
    </row>
    <row r="234" spans="1:13">
      <c r="A234" s="3">
        <f t="shared" si="11"/>
        <v>1</v>
      </c>
      <c r="B234" s="231"/>
      <c r="C234" s="187"/>
      <c r="D234" s="188"/>
      <c r="E234" s="186"/>
      <c r="F234" s="247">
        <f t="shared" si="9"/>
        <v>0</v>
      </c>
      <c r="G234" s="247" t="str">
        <f>IF(IFERROR(IF(Str_TypeDonneesCpt7=Cpt_Index,Tab_Compteur_7[[#This Row],[Index]]-E233,Tab_Compteur_7[[#This Row],[Quantité]])/Tab_Compteur_7[[#This Row],[Delta Jour]],"")&lt;0,"",IFERROR(IF(Str_TypeDonneesCpt7=Cpt_Index,Tab_Compteur_7[[#This Row],[Index]]-E233,Tab_Compteur_7[[#This Row],[Quantité]])/Tab_Compteur_7[[#This Row],[Delta Jour]],""))</f>
        <v/>
      </c>
      <c r="H234" s="247" t="str">
        <f>IFERROR(Tab_Compteur_7[[#This Row],[Montant]]/Tab_Compteur_7[[#This Row],[Delta Jour]],"")</f>
        <v/>
      </c>
      <c r="I234" s="208" t="str">
        <f t="shared" si="10"/>
        <v/>
      </c>
      <c r="J234" s="209"/>
      <c r="K234" s="38"/>
      <c r="L234" s="38"/>
      <c r="M234" s="38"/>
    </row>
    <row r="235" spans="1:13">
      <c r="A235" s="3">
        <f t="shared" si="11"/>
        <v>1</v>
      </c>
      <c r="B235" s="231"/>
      <c r="C235" s="187"/>
      <c r="D235" s="188"/>
      <c r="E235" s="186"/>
      <c r="F235" s="247">
        <f t="shared" si="9"/>
        <v>0</v>
      </c>
      <c r="G235" s="247" t="str">
        <f>IF(IFERROR(IF(Str_TypeDonneesCpt7=Cpt_Index,Tab_Compteur_7[[#This Row],[Index]]-E234,Tab_Compteur_7[[#This Row],[Quantité]])/Tab_Compteur_7[[#This Row],[Delta Jour]],"")&lt;0,"",IFERROR(IF(Str_TypeDonneesCpt7=Cpt_Index,Tab_Compteur_7[[#This Row],[Index]]-E234,Tab_Compteur_7[[#This Row],[Quantité]])/Tab_Compteur_7[[#This Row],[Delta Jour]],""))</f>
        <v/>
      </c>
      <c r="H235" s="247" t="str">
        <f>IFERROR(Tab_Compteur_7[[#This Row],[Montant]]/Tab_Compteur_7[[#This Row],[Delta Jour]],"")</f>
        <v/>
      </c>
      <c r="I235" s="208" t="str">
        <f t="shared" si="10"/>
        <v/>
      </c>
      <c r="J235" s="209"/>
      <c r="K235" s="38"/>
      <c r="L235" s="38"/>
      <c r="M235" s="38"/>
    </row>
    <row r="236" spans="1:13">
      <c r="A236" s="3">
        <f t="shared" si="11"/>
        <v>1</v>
      </c>
      <c r="B236" s="231"/>
      <c r="C236" s="187"/>
      <c r="D236" s="188"/>
      <c r="E236" s="186"/>
      <c r="F236" s="247">
        <f t="shared" si="9"/>
        <v>0</v>
      </c>
      <c r="G236" s="247" t="str">
        <f>IF(IFERROR(IF(Str_TypeDonneesCpt7=Cpt_Index,Tab_Compteur_7[[#This Row],[Index]]-E235,Tab_Compteur_7[[#This Row],[Quantité]])/Tab_Compteur_7[[#This Row],[Delta Jour]],"")&lt;0,"",IFERROR(IF(Str_TypeDonneesCpt7=Cpt_Index,Tab_Compteur_7[[#This Row],[Index]]-E235,Tab_Compteur_7[[#This Row],[Quantité]])/Tab_Compteur_7[[#This Row],[Delta Jour]],""))</f>
        <v/>
      </c>
      <c r="H236" s="247" t="str">
        <f>IFERROR(Tab_Compteur_7[[#This Row],[Montant]]/Tab_Compteur_7[[#This Row],[Delta Jour]],"")</f>
        <v/>
      </c>
      <c r="I236" s="208" t="str">
        <f t="shared" si="10"/>
        <v/>
      </c>
      <c r="J236" s="209"/>
      <c r="K236" s="38"/>
      <c r="L236" s="38"/>
      <c r="M236" s="38"/>
    </row>
    <row r="237" spans="1:13">
      <c r="A237" s="3">
        <f t="shared" si="11"/>
        <v>1</v>
      </c>
      <c r="B237" s="231"/>
      <c r="C237" s="187"/>
      <c r="D237" s="188"/>
      <c r="E237" s="186"/>
      <c r="F237" s="247">
        <f t="shared" si="9"/>
        <v>0</v>
      </c>
      <c r="G237" s="247" t="str">
        <f>IF(IFERROR(IF(Str_TypeDonneesCpt7=Cpt_Index,Tab_Compteur_7[[#This Row],[Index]]-E236,Tab_Compteur_7[[#This Row],[Quantité]])/Tab_Compteur_7[[#This Row],[Delta Jour]],"")&lt;0,"",IFERROR(IF(Str_TypeDonneesCpt7=Cpt_Index,Tab_Compteur_7[[#This Row],[Index]]-E236,Tab_Compteur_7[[#This Row],[Quantité]])/Tab_Compteur_7[[#This Row],[Delta Jour]],""))</f>
        <v/>
      </c>
      <c r="H237" s="247" t="str">
        <f>IFERROR(Tab_Compteur_7[[#This Row],[Montant]]/Tab_Compteur_7[[#This Row],[Delta Jour]],"")</f>
        <v/>
      </c>
      <c r="I237" s="208" t="str">
        <f t="shared" si="10"/>
        <v/>
      </c>
      <c r="J237" s="209"/>
      <c r="K237" s="38"/>
      <c r="L237" s="38"/>
      <c r="M237" s="38"/>
    </row>
    <row r="238" spans="1:13">
      <c r="A238" s="3">
        <f t="shared" si="11"/>
        <v>1</v>
      </c>
      <c r="B238" s="231"/>
      <c r="C238" s="187"/>
      <c r="D238" s="188"/>
      <c r="E238" s="186"/>
      <c r="F238" s="247">
        <f t="shared" si="9"/>
        <v>0</v>
      </c>
      <c r="G238" s="247" t="str">
        <f>IF(IFERROR(IF(Str_TypeDonneesCpt7=Cpt_Index,Tab_Compteur_7[[#This Row],[Index]]-E237,Tab_Compteur_7[[#This Row],[Quantité]])/Tab_Compteur_7[[#This Row],[Delta Jour]],"")&lt;0,"",IFERROR(IF(Str_TypeDonneesCpt7=Cpt_Index,Tab_Compteur_7[[#This Row],[Index]]-E237,Tab_Compteur_7[[#This Row],[Quantité]])/Tab_Compteur_7[[#This Row],[Delta Jour]],""))</f>
        <v/>
      </c>
      <c r="H238" s="247" t="str">
        <f>IFERROR(Tab_Compteur_7[[#This Row],[Montant]]/Tab_Compteur_7[[#This Row],[Delta Jour]],"")</f>
        <v/>
      </c>
      <c r="I238" s="208" t="str">
        <f t="shared" si="10"/>
        <v/>
      </c>
      <c r="J238" s="209"/>
      <c r="K238" s="38"/>
      <c r="L238" s="38"/>
      <c r="M238" s="38"/>
    </row>
    <row r="239" spans="1:13">
      <c r="A239" s="3">
        <f t="shared" si="11"/>
        <v>1</v>
      </c>
      <c r="B239" s="231"/>
      <c r="C239" s="187"/>
      <c r="D239" s="188"/>
      <c r="E239" s="186"/>
      <c r="F239" s="247">
        <f t="shared" si="9"/>
        <v>0</v>
      </c>
      <c r="G239" s="247" t="str">
        <f>IF(IFERROR(IF(Str_TypeDonneesCpt7=Cpt_Index,Tab_Compteur_7[[#This Row],[Index]]-E238,Tab_Compteur_7[[#This Row],[Quantité]])/Tab_Compteur_7[[#This Row],[Delta Jour]],"")&lt;0,"",IFERROR(IF(Str_TypeDonneesCpt7=Cpt_Index,Tab_Compteur_7[[#This Row],[Index]]-E238,Tab_Compteur_7[[#This Row],[Quantité]])/Tab_Compteur_7[[#This Row],[Delta Jour]],""))</f>
        <v/>
      </c>
      <c r="H239" s="247" t="str">
        <f>IFERROR(Tab_Compteur_7[[#This Row],[Montant]]/Tab_Compteur_7[[#This Row],[Delta Jour]],"")</f>
        <v/>
      </c>
      <c r="I239" s="208" t="str">
        <f t="shared" si="10"/>
        <v/>
      </c>
      <c r="J239" s="209"/>
      <c r="K239" s="38"/>
      <c r="L239" s="38"/>
      <c r="M239" s="38"/>
    </row>
    <row r="240" spans="1:13">
      <c r="A240" s="3">
        <f t="shared" si="11"/>
        <v>1</v>
      </c>
      <c r="B240" s="231"/>
      <c r="C240" s="187"/>
      <c r="D240" s="188"/>
      <c r="E240" s="186"/>
      <c r="F240" s="247">
        <f t="shared" si="9"/>
        <v>0</v>
      </c>
      <c r="G240" s="247" t="str">
        <f>IF(IFERROR(IF(Str_TypeDonneesCpt7=Cpt_Index,Tab_Compteur_7[[#This Row],[Index]]-E239,Tab_Compteur_7[[#This Row],[Quantité]])/Tab_Compteur_7[[#This Row],[Delta Jour]],"")&lt;0,"",IFERROR(IF(Str_TypeDonneesCpt7=Cpt_Index,Tab_Compteur_7[[#This Row],[Index]]-E239,Tab_Compteur_7[[#This Row],[Quantité]])/Tab_Compteur_7[[#This Row],[Delta Jour]],""))</f>
        <v/>
      </c>
      <c r="H240" s="247" t="str">
        <f>IFERROR(Tab_Compteur_7[[#This Row],[Montant]]/Tab_Compteur_7[[#This Row],[Delta Jour]],"")</f>
        <v/>
      </c>
      <c r="I240" s="208" t="str">
        <f t="shared" si="10"/>
        <v/>
      </c>
      <c r="J240" s="209"/>
      <c r="K240" s="38"/>
      <c r="L240" s="38"/>
      <c r="M240" s="38"/>
    </row>
    <row r="241" spans="1:13">
      <c r="A241" s="3">
        <f t="shared" si="11"/>
        <v>1</v>
      </c>
      <c r="B241" s="231"/>
      <c r="C241" s="187"/>
      <c r="D241" s="188"/>
      <c r="E241" s="186"/>
      <c r="F241" s="247">
        <f t="shared" si="9"/>
        <v>0</v>
      </c>
      <c r="G241" s="247" t="str">
        <f>IF(IFERROR(IF(Str_TypeDonneesCpt7=Cpt_Index,Tab_Compteur_7[[#This Row],[Index]]-E240,Tab_Compteur_7[[#This Row],[Quantité]])/Tab_Compteur_7[[#This Row],[Delta Jour]],"")&lt;0,"",IFERROR(IF(Str_TypeDonneesCpt7=Cpt_Index,Tab_Compteur_7[[#This Row],[Index]]-E240,Tab_Compteur_7[[#This Row],[Quantité]])/Tab_Compteur_7[[#This Row],[Delta Jour]],""))</f>
        <v/>
      </c>
      <c r="H241" s="247" t="str">
        <f>IFERROR(Tab_Compteur_7[[#This Row],[Montant]]/Tab_Compteur_7[[#This Row],[Delta Jour]],"")</f>
        <v/>
      </c>
      <c r="I241" s="208" t="str">
        <f t="shared" si="10"/>
        <v/>
      </c>
      <c r="J241" s="209"/>
      <c r="K241" s="38"/>
      <c r="L241" s="38"/>
      <c r="M241" s="38"/>
    </row>
    <row r="242" spans="1:13">
      <c r="A242" s="3">
        <f t="shared" si="11"/>
        <v>1</v>
      </c>
      <c r="B242" s="231"/>
      <c r="C242" s="187"/>
      <c r="D242" s="188"/>
      <c r="E242" s="186"/>
      <c r="F242" s="247">
        <f t="shared" si="9"/>
        <v>0</v>
      </c>
      <c r="G242" s="247" t="str">
        <f>IF(IFERROR(IF(Str_TypeDonneesCpt7=Cpt_Index,Tab_Compteur_7[[#This Row],[Index]]-E241,Tab_Compteur_7[[#This Row],[Quantité]])/Tab_Compteur_7[[#This Row],[Delta Jour]],"")&lt;0,"",IFERROR(IF(Str_TypeDonneesCpt7=Cpt_Index,Tab_Compteur_7[[#This Row],[Index]]-E241,Tab_Compteur_7[[#This Row],[Quantité]])/Tab_Compteur_7[[#This Row],[Delta Jour]],""))</f>
        <v/>
      </c>
      <c r="H242" s="247" t="str">
        <f>IFERROR(Tab_Compteur_7[[#This Row],[Montant]]/Tab_Compteur_7[[#This Row],[Delta Jour]],"")</f>
        <v/>
      </c>
      <c r="I242" s="208" t="str">
        <f t="shared" si="10"/>
        <v/>
      </c>
      <c r="J242" s="209"/>
      <c r="K242" s="38"/>
      <c r="L242" s="38"/>
      <c r="M242" s="38"/>
    </row>
    <row r="243" spans="1:13">
      <c r="A243" s="3">
        <f t="shared" si="11"/>
        <v>1</v>
      </c>
      <c r="B243" s="231"/>
      <c r="C243" s="187"/>
      <c r="D243" s="188"/>
      <c r="E243" s="186"/>
      <c r="F243" s="247">
        <f t="shared" si="9"/>
        <v>0</v>
      </c>
      <c r="G243" s="247" t="str">
        <f>IF(IFERROR(IF(Str_TypeDonneesCpt7=Cpt_Index,Tab_Compteur_7[[#This Row],[Index]]-E242,Tab_Compteur_7[[#This Row],[Quantité]])/Tab_Compteur_7[[#This Row],[Delta Jour]],"")&lt;0,"",IFERROR(IF(Str_TypeDonneesCpt7=Cpt_Index,Tab_Compteur_7[[#This Row],[Index]]-E242,Tab_Compteur_7[[#This Row],[Quantité]])/Tab_Compteur_7[[#This Row],[Delta Jour]],""))</f>
        <v/>
      </c>
      <c r="H243" s="247" t="str">
        <f>IFERROR(Tab_Compteur_7[[#This Row],[Montant]]/Tab_Compteur_7[[#This Row],[Delta Jour]],"")</f>
        <v/>
      </c>
      <c r="I243" s="208" t="str">
        <f t="shared" si="10"/>
        <v/>
      </c>
      <c r="J243" s="209"/>
      <c r="K243" s="38"/>
      <c r="L243" s="38"/>
      <c r="M243" s="38"/>
    </row>
  </sheetData>
  <sheetProtection sheet="1" objects="1" scenarios="1" selectLockedCells="1"/>
  <protectedRanges>
    <protectedRange sqref="C4:D59" name="Donnée_compteur1"/>
    <protectedRange sqref="L2:M2 J34:M243 J8:M10 K5:M7 J2:J7 K3:M3 C60:D243 K244:N1048576 A4:B243" name="Données_compteur7"/>
    <protectedRange sqref="E2" name="Compteur_1_1"/>
    <protectedRange sqref="I2" name="Compteur_1_1_1"/>
    <protectedRange sqref="K4:L4" name="Compteur_1"/>
    <protectedRange sqref="L1 E1 I1" name="Compteur_1_2"/>
  </protectedRanges>
  <mergeCells count="2">
    <mergeCell ref="L2:M2"/>
    <mergeCell ref="K11:M33"/>
  </mergeCells>
  <conditionalFormatting sqref="B4:B243">
    <cfRule type="expression" dxfId="6"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1"/>
  <dimension ref="A1:O243"/>
  <sheetViews>
    <sheetView workbookViewId="0">
      <pane ySplit="3" topLeftCell="A4" activePane="bottomLeft" state="frozen"/>
      <selection pane="bottomLeft" activeCell="B8" sqref="B8"/>
    </sheetView>
  </sheetViews>
  <sheetFormatPr baseColWidth="10" defaultColWidth="0" defaultRowHeight="15" zeroHeight="1"/>
  <cols>
    <col min="1" max="1" width="17.5703125" style="247" customWidth="1"/>
    <col min="2" max="2" width="16.5703125" style="186" customWidth="1"/>
    <col min="3" max="3" width="13.85546875" customWidth="1"/>
    <col min="4" max="4" width="15.42578125" style="124" customWidth="1"/>
    <col min="5" max="5" width="11.42578125" style="186" customWidth="1"/>
    <col min="6" max="6" width="11.5703125" hidden="1" customWidth="1"/>
    <col min="7" max="8" width="11.42578125" hidden="1" customWidth="1"/>
    <col min="9" max="9" width="10.85546875" customWidth="1"/>
    <col min="10" max="10" width="13.7109375" style="208" customWidth="1"/>
    <col min="11" max="11" width="21.7109375" style="186" customWidth="1"/>
    <col min="12" max="13" width="11.42578125" customWidth="1"/>
    <col min="14" max="14" width="21.7109375" customWidth="1"/>
    <col min="15" max="15" width="0" hidden="1" customWidth="1"/>
    <col min="16" max="16384" width="11.42578125" hidden="1"/>
  </cols>
  <sheetData>
    <row r="1" spans="1:13" ht="33.75" customHeight="1">
      <c r="A1" s="507" t="s">
        <v>397</v>
      </c>
      <c r="B1" s="227" t="s">
        <v>398</v>
      </c>
      <c r="C1" s="129" t="s">
        <v>399</v>
      </c>
      <c r="D1" s="59" t="str">
        <f>CONCATENATE("Montant ",Controle_des_données!$A$40)</f>
        <v>Montant TTC</v>
      </c>
      <c r="E1" s="253" t="s">
        <v>215</v>
      </c>
      <c r="F1" s="29" t="s">
        <v>400</v>
      </c>
      <c r="G1" s="30" t="s">
        <v>401</v>
      </c>
      <c r="H1" s="30" t="s">
        <v>402</v>
      </c>
      <c r="I1" s="30" t="s">
        <v>403</v>
      </c>
      <c r="J1" s="181" t="s">
        <v>404</v>
      </c>
      <c r="K1" s="172" t="s">
        <v>19</v>
      </c>
      <c r="L1" s="179" t="str">
        <f>IF(Site!C45="", "Compteur 8",Site!C45)</f>
        <v>Compteur 8</v>
      </c>
    </row>
    <row r="2" spans="1:13" ht="18.75" hidden="1" customHeight="1">
      <c r="A2" s="496" t="s">
        <v>397</v>
      </c>
      <c r="B2" s="85" t="s">
        <v>398</v>
      </c>
      <c r="C2" s="58" t="s">
        <v>399</v>
      </c>
      <c r="D2" s="140" t="s">
        <v>433</v>
      </c>
      <c r="E2" s="253" t="s">
        <v>215</v>
      </c>
      <c r="F2" s="29" t="s">
        <v>400</v>
      </c>
      <c r="G2" s="43" t="s">
        <v>401</v>
      </c>
      <c r="H2" s="44" t="s">
        <v>402</v>
      </c>
      <c r="I2" s="208" t="s">
        <v>403</v>
      </c>
      <c r="J2" s="184" t="s">
        <v>404</v>
      </c>
      <c r="K2" s="172" t="s">
        <v>19</v>
      </c>
      <c r="L2" s="600">
        <f>Site!C45</f>
        <v>0</v>
      </c>
      <c r="M2" s="601"/>
    </row>
    <row r="3" spans="1:13" hidden="1">
      <c r="A3" s="464"/>
      <c r="B3" s="231">
        <f>A4-1</f>
        <v>-1</v>
      </c>
      <c r="C3" s="203">
        <v>0</v>
      </c>
      <c r="D3" s="124">
        <v>0</v>
      </c>
      <c r="F3">
        <f>IFERROR(B3-A3+1,"")</f>
        <v>0</v>
      </c>
      <c r="G3">
        <v>0</v>
      </c>
      <c r="H3">
        <v>0</v>
      </c>
      <c r="I3" s="208">
        <f t="shared" ref="I3:I66" si="0">G3</f>
        <v>0</v>
      </c>
      <c r="J3" s="185"/>
      <c r="K3" s="38"/>
      <c r="L3" s="38"/>
      <c r="M3" s="38"/>
    </row>
    <row r="4" spans="1:13">
      <c r="A4" s="464">
        <f>Site!I45</f>
        <v>0</v>
      </c>
      <c r="B4" s="231"/>
      <c r="C4" s="187"/>
      <c r="D4" s="188"/>
      <c r="F4" s="186">
        <f>IFERROR(B4-A4+1,"")</f>
        <v>1</v>
      </c>
      <c r="G4" s="196">
        <f>IF(IFERROR(IF(Str_TypeDonneesCpt8=Cpt_Index,Tab_Compteur_8[[#This Row],[Index]]-L4,Tab_Compteur_8[[#This Row],[Quantité]])/Tab_Compteur_8[[#This Row],[Delta Jour]],"")&lt;0,"",IFERROR(IF(Str_TypeDonneesCpt8=Cpt_Index,Tab_Compteur_8[[#This Row],[Index]]-L4,Tab_Compteur_8[[#This Row],[Quantité]])/Tab_Compteur_8[[#This Row],[Delta Jour]],""))</f>
        <v>0</v>
      </c>
      <c r="H4" s="186">
        <f>IFERROR(Tab_Compteur_8[[#This Row],[Montant]]/Tab_Compteur_8[[#This Row],[Delta Jour]],"")</f>
        <v>0</v>
      </c>
      <c r="I4" s="208">
        <f t="shared" si="0"/>
        <v>0</v>
      </c>
      <c r="J4" s="209"/>
      <c r="K4" s="216" t="s">
        <v>405</v>
      </c>
      <c r="L4" s="491">
        <v>0</v>
      </c>
    </row>
    <row r="5" spans="1:13">
      <c r="A5" s="464">
        <f>IFERROR(B4+1,0)</f>
        <v>1</v>
      </c>
      <c r="B5" s="87"/>
      <c r="C5" s="187"/>
      <c r="D5" s="188"/>
      <c r="F5" s="186">
        <f t="shared" ref="F5:F68" si="1">IFERROR(B5-A5+1,"")</f>
        <v>0</v>
      </c>
      <c r="G5" s="186" t="str">
        <f>IF(IFERROR(IF(Str_TypeDonneesCpt8=Cpt_Index,Tab_Compteur_8[[#This Row],[Index]]-E4,Tab_Compteur_8[[#This Row],[Quantité]])/Tab_Compteur_8[[#This Row],[Delta Jour]],"")&lt;0,"",IFERROR(IF(Str_TypeDonneesCpt8=Cpt_Index,Tab_Compteur_8[[#This Row],[Index]]-E4,Tab_Compteur_8[[#This Row],[Quantité]])/Tab_Compteur_8[[#This Row],[Delta Jour]],""))</f>
        <v/>
      </c>
      <c r="H5" s="186" t="str">
        <f>IFERROR(Tab_Compteur_8[[#This Row],[Montant]]/Tab_Compteur_8[[#This Row],[Delta Jour]],"")</f>
        <v/>
      </c>
      <c r="I5" s="208" t="str">
        <f t="shared" si="0"/>
        <v/>
      </c>
      <c r="J5" s="209"/>
      <c r="K5" s="38"/>
      <c r="L5" s="38"/>
      <c r="M5" s="38"/>
    </row>
    <row r="6" spans="1:13">
      <c r="A6" s="464">
        <f t="shared" ref="A6:A69" si="2">IFERROR(B5+1,0)</f>
        <v>1</v>
      </c>
      <c r="B6" s="87"/>
      <c r="C6" s="187"/>
      <c r="D6" s="188"/>
      <c r="F6" s="186">
        <f t="shared" si="1"/>
        <v>0</v>
      </c>
      <c r="G6" s="186" t="str">
        <f>IF(IFERROR(IF(Str_TypeDonneesCpt8=Cpt_Index,Tab_Compteur_8[[#This Row],[Index]]-E5,Tab_Compteur_8[[#This Row],[Quantité]])/Tab_Compteur_8[[#This Row],[Delta Jour]],"")&lt;0,"",IFERROR(IF(Str_TypeDonneesCpt8=Cpt_Index,Tab_Compteur_8[[#This Row],[Index]]-E5,Tab_Compteur_8[[#This Row],[Quantité]])/Tab_Compteur_8[[#This Row],[Delta Jour]],""))</f>
        <v/>
      </c>
      <c r="H6" s="186" t="str">
        <f>IFERROR(Tab_Compteur_8[[#This Row],[Montant]]/Tab_Compteur_8[[#This Row],[Delta Jour]],"")</f>
        <v/>
      </c>
      <c r="I6" s="208" t="str">
        <f t="shared" si="0"/>
        <v/>
      </c>
      <c r="J6" s="209"/>
      <c r="K6" s="38"/>
      <c r="L6" s="38"/>
      <c r="M6" s="38"/>
    </row>
    <row r="7" spans="1:13">
      <c r="A7" s="464">
        <f t="shared" si="2"/>
        <v>1</v>
      </c>
      <c r="B7" s="87"/>
      <c r="C7" s="187"/>
      <c r="D7" s="188"/>
      <c r="F7" s="186">
        <f t="shared" si="1"/>
        <v>0</v>
      </c>
      <c r="G7" s="186" t="str">
        <f>IF(IFERROR(IF(Str_TypeDonneesCpt8=Cpt_Index,Tab_Compteur_8[[#This Row],[Index]]-E6,Tab_Compteur_8[[#This Row],[Quantité]])/Tab_Compteur_8[[#This Row],[Delta Jour]],"")&lt;0,"",IFERROR(IF(Str_TypeDonneesCpt8=Cpt_Index,Tab_Compteur_8[[#This Row],[Index]]-E6,Tab_Compteur_8[[#This Row],[Quantité]])/Tab_Compteur_8[[#This Row],[Delta Jour]],""))</f>
        <v/>
      </c>
      <c r="H7" s="186" t="str">
        <f>IFERROR(Tab_Compteur_8[[#This Row],[Montant]]/Tab_Compteur_8[[#This Row],[Delta Jour]],"")</f>
        <v/>
      </c>
      <c r="I7" s="208" t="str">
        <f t="shared" si="0"/>
        <v/>
      </c>
      <c r="J7" s="209"/>
      <c r="K7" s="38"/>
      <c r="L7" s="38"/>
      <c r="M7" s="38"/>
    </row>
    <row r="8" spans="1:13">
      <c r="A8" s="464">
        <f t="shared" si="2"/>
        <v>1</v>
      </c>
      <c r="B8" s="87"/>
      <c r="C8" s="187"/>
      <c r="D8" s="188"/>
      <c r="F8" s="186">
        <f t="shared" si="1"/>
        <v>0</v>
      </c>
      <c r="G8" s="186" t="str">
        <f>IF(IFERROR(IF(Str_TypeDonneesCpt8=Cpt_Index,Tab_Compteur_8[[#This Row],[Index]]-E7,Tab_Compteur_8[[#This Row],[Quantité]])/Tab_Compteur_8[[#This Row],[Delta Jour]],"")&lt;0,"",IFERROR(IF(Str_TypeDonneesCpt8=Cpt_Index,Tab_Compteur_8[[#This Row],[Index]]-E7,Tab_Compteur_8[[#This Row],[Quantité]])/Tab_Compteur_8[[#This Row],[Delta Jour]],""))</f>
        <v/>
      </c>
      <c r="H8" s="186" t="str">
        <f>IFERROR(Tab_Compteur_8[[#This Row],[Montant]]/Tab_Compteur_8[[#This Row],[Delta Jour]],"")</f>
        <v/>
      </c>
      <c r="I8" s="208" t="str">
        <f t="shared" si="0"/>
        <v/>
      </c>
      <c r="J8" s="209"/>
      <c r="K8" s="173"/>
      <c r="L8" s="173"/>
      <c r="M8" s="173"/>
    </row>
    <row r="9" spans="1:13">
      <c r="A9" s="464">
        <f t="shared" si="2"/>
        <v>1</v>
      </c>
      <c r="B9" s="87"/>
      <c r="C9" s="187"/>
      <c r="D9" s="188"/>
      <c r="F9" s="186">
        <f t="shared" si="1"/>
        <v>0</v>
      </c>
      <c r="G9" s="186" t="str">
        <f>IF(IFERROR(IF(Str_TypeDonneesCpt8=Cpt_Index,Tab_Compteur_8[[#This Row],[Index]]-E8,Tab_Compteur_8[[#This Row],[Quantité]])/Tab_Compteur_8[[#This Row],[Delta Jour]],"")&lt;0,"",IFERROR(IF(Str_TypeDonneesCpt8=Cpt_Index,Tab_Compteur_8[[#This Row],[Index]]-E8,Tab_Compteur_8[[#This Row],[Quantité]])/Tab_Compteur_8[[#This Row],[Delta Jour]],""))</f>
        <v/>
      </c>
      <c r="H9" s="186" t="str">
        <f>IFERROR(Tab_Compteur_8[[#This Row],[Montant]]/Tab_Compteur_8[[#This Row],[Delta Jour]],"")</f>
        <v/>
      </c>
      <c r="I9" s="208" t="str">
        <f t="shared" si="0"/>
        <v/>
      </c>
      <c r="J9" s="209"/>
      <c r="K9" s="173"/>
      <c r="L9" s="173"/>
      <c r="M9" s="173"/>
    </row>
    <row r="10" spans="1:13">
      <c r="A10" s="464">
        <f t="shared" si="2"/>
        <v>1</v>
      </c>
      <c r="B10" s="87"/>
      <c r="C10" s="187"/>
      <c r="D10" s="188"/>
      <c r="F10" s="186">
        <f t="shared" si="1"/>
        <v>0</v>
      </c>
      <c r="G10" s="186" t="str">
        <f>IF(IFERROR(IF(Str_TypeDonneesCpt8=Cpt_Index,Tab_Compteur_8[[#This Row],[Index]]-E9,Tab_Compteur_8[[#This Row],[Quantité]])/Tab_Compteur_8[[#This Row],[Delta Jour]],"")&lt;0,"",IFERROR(IF(Str_TypeDonneesCpt8=Cpt_Index,Tab_Compteur_8[[#This Row],[Index]]-E9,Tab_Compteur_8[[#This Row],[Quantité]])/Tab_Compteur_8[[#This Row],[Delta Jour]],""))</f>
        <v/>
      </c>
      <c r="H10" s="186" t="str">
        <f>IFERROR(Tab_Compteur_8[[#This Row],[Montant]]/Tab_Compteur_8[[#This Row],[Delta Jour]],"")</f>
        <v/>
      </c>
      <c r="I10" s="208" t="str">
        <f t="shared" si="0"/>
        <v/>
      </c>
      <c r="J10" s="209"/>
      <c r="K10" s="173"/>
      <c r="L10" s="173"/>
      <c r="M10" s="173"/>
    </row>
    <row r="11" spans="1:13">
      <c r="A11" s="464">
        <f t="shared" si="2"/>
        <v>1</v>
      </c>
      <c r="B11" s="87"/>
      <c r="C11" s="187"/>
      <c r="D11" s="188"/>
      <c r="F11" s="186">
        <f t="shared" si="1"/>
        <v>0</v>
      </c>
      <c r="G11" s="186" t="str">
        <f>IF(IFERROR(IF(Str_TypeDonneesCpt8=Cpt_Index,Tab_Compteur_8[[#This Row],[Index]]-E10,Tab_Compteur_8[[#This Row],[Quantité]])/Tab_Compteur_8[[#This Row],[Delta Jour]],"")&lt;0,"",IFERROR(IF(Str_TypeDonneesCpt8=Cpt_Index,Tab_Compteur_8[[#This Row],[Index]]-E10,Tab_Compteur_8[[#This Row],[Quantité]])/Tab_Compteur_8[[#This Row],[Delta Jour]],""))</f>
        <v/>
      </c>
      <c r="H11" s="186" t="str">
        <f>IFERROR(Tab_Compteur_8[[#This Row],[Montant]]/Tab_Compteur_8[[#This Row],[Delta Jour]],"")</f>
        <v/>
      </c>
      <c r="I11" s="208" t="str">
        <f t="shared" si="0"/>
        <v/>
      </c>
      <c r="J11" s="209"/>
      <c r="K11" s="599"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99"/>
      <c r="M11" s="599"/>
    </row>
    <row r="12" spans="1:13">
      <c r="A12" s="464">
        <f t="shared" si="2"/>
        <v>1</v>
      </c>
      <c r="B12" s="87"/>
      <c r="C12" s="187"/>
      <c r="D12" s="188"/>
      <c r="F12" s="186">
        <f t="shared" si="1"/>
        <v>0</v>
      </c>
      <c r="G12" s="186" t="str">
        <f>IF(IFERROR(IF(Str_TypeDonneesCpt8=Cpt_Index,Tab_Compteur_8[[#This Row],[Index]]-E11,Tab_Compteur_8[[#This Row],[Quantité]])/Tab_Compteur_8[[#This Row],[Delta Jour]],"")&lt;0,"",IFERROR(IF(Str_TypeDonneesCpt8=Cpt_Index,Tab_Compteur_8[[#This Row],[Index]]-E11,Tab_Compteur_8[[#This Row],[Quantité]])/Tab_Compteur_8[[#This Row],[Delta Jour]],""))</f>
        <v/>
      </c>
      <c r="H12" s="186" t="str">
        <f>IFERROR(Tab_Compteur_8[[#This Row],[Montant]]/Tab_Compteur_8[[#This Row],[Delta Jour]],"")</f>
        <v/>
      </c>
      <c r="I12" s="208" t="str">
        <f t="shared" si="0"/>
        <v/>
      </c>
      <c r="J12" s="209"/>
      <c r="K12" s="599"/>
      <c r="L12" s="599"/>
      <c r="M12" s="599"/>
    </row>
    <row r="13" spans="1:13">
      <c r="A13" s="464">
        <f t="shared" si="2"/>
        <v>1</v>
      </c>
      <c r="B13" s="87"/>
      <c r="C13" s="187"/>
      <c r="D13" s="188"/>
      <c r="F13" s="186">
        <f t="shared" si="1"/>
        <v>0</v>
      </c>
      <c r="G13" s="186" t="str">
        <f>IF(IFERROR(IF(Str_TypeDonneesCpt8=Cpt_Index,Tab_Compteur_8[[#This Row],[Index]]-E12,Tab_Compteur_8[[#This Row],[Quantité]])/Tab_Compteur_8[[#This Row],[Delta Jour]],"")&lt;0,"",IFERROR(IF(Str_TypeDonneesCpt8=Cpt_Index,Tab_Compteur_8[[#This Row],[Index]]-E12,Tab_Compteur_8[[#This Row],[Quantité]])/Tab_Compteur_8[[#This Row],[Delta Jour]],""))</f>
        <v/>
      </c>
      <c r="H13" s="186" t="str">
        <f>IFERROR(Tab_Compteur_8[[#This Row],[Montant]]/Tab_Compteur_8[[#This Row],[Delta Jour]],"")</f>
        <v/>
      </c>
      <c r="I13" s="208" t="str">
        <f t="shared" si="0"/>
        <v/>
      </c>
      <c r="J13" s="209"/>
      <c r="K13" s="599"/>
      <c r="L13" s="599"/>
      <c r="M13" s="599"/>
    </row>
    <row r="14" spans="1:13">
      <c r="A14" s="464">
        <f t="shared" si="2"/>
        <v>1</v>
      </c>
      <c r="B14" s="87"/>
      <c r="C14" s="187"/>
      <c r="D14" s="188"/>
      <c r="F14" s="186">
        <f t="shared" si="1"/>
        <v>0</v>
      </c>
      <c r="G14" s="186" t="str">
        <f>IF(IFERROR(IF(Str_TypeDonneesCpt8=Cpt_Index,Tab_Compteur_8[[#This Row],[Index]]-E13,Tab_Compteur_8[[#This Row],[Quantité]])/Tab_Compteur_8[[#This Row],[Delta Jour]],"")&lt;0,"",IFERROR(IF(Str_TypeDonneesCpt8=Cpt_Index,Tab_Compteur_8[[#This Row],[Index]]-E13,Tab_Compteur_8[[#This Row],[Quantité]])/Tab_Compteur_8[[#This Row],[Delta Jour]],""))</f>
        <v/>
      </c>
      <c r="H14" s="186" t="str">
        <f>IFERROR(Tab_Compteur_8[[#This Row],[Montant]]/Tab_Compteur_8[[#This Row],[Delta Jour]],"")</f>
        <v/>
      </c>
      <c r="I14" s="208" t="str">
        <f t="shared" si="0"/>
        <v/>
      </c>
      <c r="J14" s="209"/>
      <c r="K14" s="599"/>
      <c r="L14" s="599"/>
      <c r="M14" s="599"/>
    </row>
    <row r="15" spans="1:13">
      <c r="A15" s="464">
        <f t="shared" si="2"/>
        <v>1</v>
      </c>
      <c r="B15" s="87"/>
      <c r="C15" s="187"/>
      <c r="D15" s="188"/>
      <c r="F15" s="186">
        <f t="shared" si="1"/>
        <v>0</v>
      </c>
      <c r="G15" s="186" t="str">
        <f>IF(IFERROR(IF(Str_TypeDonneesCpt8=Cpt_Index,Tab_Compteur_8[[#This Row],[Index]]-E14,Tab_Compteur_8[[#This Row],[Quantité]])/Tab_Compteur_8[[#This Row],[Delta Jour]],"")&lt;0,"",IFERROR(IF(Str_TypeDonneesCpt8=Cpt_Index,Tab_Compteur_8[[#This Row],[Index]]-E14,Tab_Compteur_8[[#This Row],[Quantité]])/Tab_Compteur_8[[#This Row],[Delta Jour]],""))</f>
        <v/>
      </c>
      <c r="H15" s="186" t="str">
        <f>IFERROR(Tab_Compteur_8[[#This Row],[Montant]]/Tab_Compteur_8[[#This Row],[Delta Jour]],"")</f>
        <v/>
      </c>
      <c r="I15" s="208" t="str">
        <f t="shared" si="0"/>
        <v/>
      </c>
      <c r="J15" s="209"/>
      <c r="K15" s="599"/>
      <c r="L15" s="599"/>
      <c r="M15" s="599"/>
    </row>
    <row r="16" spans="1:13">
      <c r="A16" s="464">
        <f t="shared" si="2"/>
        <v>1</v>
      </c>
      <c r="B16" s="87"/>
      <c r="C16" s="187"/>
      <c r="D16" s="188"/>
      <c r="F16" s="186">
        <f t="shared" si="1"/>
        <v>0</v>
      </c>
      <c r="G16" s="186" t="str">
        <f>IF(IFERROR(IF(Str_TypeDonneesCpt8=Cpt_Index,Tab_Compteur_8[[#This Row],[Index]]-E15,Tab_Compteur_8[[#This Row],[Quantité]])/Tab_Compteur_8[[#This Row],[Delta Jour]],"")&lt;0,"",IFERROR(IF(Str_TypeDonneesCpt8=Cpt_Index,Tab_Compteur_8[[#This Row],[Index]]-E15,Tab_Compteur_8[[#This Row],[Quantité]])/Tab_Compteur_8[[#This Row],[Delta Jour]],""))</f>
        <v/>
      </c>
      <c r="H16" s="186" t="str">
        <f>IFERROR(Tab_Compteur_8[[#This Row],[Montant]]/Tab_Compteur_8[[#This Row],[Delta Jour]],"")</f>
        <v/>
      </c>
      <c r="I16" s="208" t="str">
        <f t="shared" si="0"/>
        <v/>
      </c>
      <c r="J16" s="209"/>
      <c r="K16" s="599"/>
      <c r="L16" s="599"/>
      <c r="M16" s="599"/>
    </row>
    <row r="17" spans="1:13">
      <c r="A17" s="464">
        <f t="shared" si="2"/>
        <v>1</v>
      </c>
      <c r="B17" s="87"/>
      <c r="C17" s="187"/>
      <c r="D17" s="188"/>
      <c r="F17" s="186">
        <f t="shared" si="1"/>
        <v>0</v>
      </c>
      <c r="G17" s="186" t="str">
        <f>IF(IFERROR(IF(Str_TypeDonneesCpt8=Cpt_Index,Tab_Compteur_8[[#This Row],[Index]]-E16,Tab_Compteur_8[[#This Row],[Quantité]])/Tab_Compteur_8[[#This Row],[Delta Jour]],"")&lt;0,"",IFERROR(IF(Str_TypeDonneesCpt8=Cpt_Index,Tab_Compteur_8[[#This Row],[Index]]-E16,Tab_Compteur_8[[#This Row],[Quantité]])/Tab_Compteur_8[[#This Row],[Delta Jour]],""))</f>
        <v/>
      </c>
      <c r="H17" s="186" t="str">
        <f>IFERROR(Tab_Compteur_8[[#This Row],[Montant]]/Tab_Compteur_8[[#This Row],[Delta Jour]],"")</f>
        <v/>
      </c>
      <c r="I17" s="208" t="str">
        <f t="shared" si="0"/>
        <v/>
      </c>
      <c r="J17" s="209"/>
      <c r="K17" s="599"/>
      <c r="L17" s="599"/>
      <c r="M17" s="599"/>
    </row>
    <row r="18" spans="1:13">
      <c r="A18" s="464">
        <f t="shared" si="2"/>
        <v>1</v>
      </c>
      <c r="B18" s="87"/>
      <c r="C18" s="189"/>
      <c r="D18" s="188"/>
      <c r="F18" s="186">
        <f t="shared" si="1"/>
        <v>0</v>
      </c>
      <c r="G18" s="186" t="str">
        <f>IF(IFERROR(IF(Str_TypeDonneesCpt8=Cpt_Index,Tab_Compteur_8[[#This Row],[Index]]-E17,Tab_Compteur_8[[#This Row],[Quantité]])/Tab_Compteur_8[[#This Row],[Delta Jour]],"")&lt;0,"",IFERROR(IF(Str_TypeDonneesCpt8=Cpt_Index,Tab_Compteur_8[[#This Row],[Index]]-E17,Tab_Compteur_8[[#This Row],[Quantité]])/Tab_Compteur_8[[#This Row],[Delta Jour]],""))</f>
        <v/>
      </c>
      <c r="H18" s="186" t="str">
        <f>IFERROR(Tab_Compteur_8[[#This Row],[Montant]]/Tab_Compteur_8[[#This Row],[Delta Jour]],"")</f>
        <v/>
      </c>
      <c r="I18" s="208" t="str">
        <f t="shared" si="0"/>
        <v/>
      </c>
      <c r="J18" s="209"/>
      <c r="K18" s="599"/>
      <c r="L18" s="599"/>
      <c r="M18" s="599"/>
    </row>
    <row r="19" spans="1:13">
      <c r="A19" s="464">
        <f t="shared" si="2"/>
        <v>1</v>
      </c>
      <c r="B19" s="87"/>
      <c r="C19" s="190"/>
      <c r="D19" s="191"/>
      <c r="F19" s="186">
        <f t="shared" si="1"/>
        <v>0</v>
      </c>
      <c r="G19" s="186" t="str">
        <f>IF(IFERROR(IF(Str_TypeDonneesCpt8=Cpt_Index,Tab_Compteur_8[[#This Row],[Index]]-E18,Tab_Compteur_8[[#This Row],[Quantité]])/Tab_Compteur_8[[#This Row],[Delta Jour]],"")&lt;0,"",IFERROR(IF(Str_TypeDonneesCpt8=Cpt_Index,Tab_Compteur_8[[#This Row],[Index]]-E18,Tab_Compteur_8[[#This Row],[Quantité]])/Tab_Compteur_8[[#This Row],[Delta Jour]],""))</f>
        <v/>
      </c>
      <c r="H19" s="186" t="str">
        <f>IFERROR(Tab_Compteur_8[[#This Row],[Montant]]/Tab_Compteur_8[[#This Row],[Delta Jour]],"")</f>
        <v/>
      </c>
      <c r="I19" s="208" t="str">
        <f t="shared" si="0"/>
        <v/>
      </c>
      <c r="J19" s="209"/>
      <c r="K19" s="599"/>
      <c r="L19" s="599"/>
      <c r="M19" s="599"/>
    </row>
    <row r="20" spans="1:13">
      <c r="A20" s="464">
        <f t="shared" si="2"/>
        <v>1</v>
      </c>
      <c r="B20" s="87"/>
      <c r="C20" s="192"/>
      <c r="D20" s="191"/>
      <c r="F20" s="186">
        <f t="shared" si="1"/>
        <v>0</v>
      </c>
      <c r="G20" s="186" t="str">
        <f>IF(IFERROR(IF(Str_TypeDonneesCpt8=Cpt_Index,Tab_Compteur_8[[#This Row],[Index]]-E19,Tab_Compteur_8[[#This Row],[Quantité]])/Tab_Compteur_8[[#This Row],[Delta Jour]],"")&lt;0,"",IFERROR(IF(Str_TypeDonneesCpt8=Cpt_Index,Tab_Compteur_8[[#This Row],[Index]]-E19,Tab_Compteur_8[[#This Row],[Quantité]])/Tab_Compteur_8[[#This Row],[Delta Jour]],""))</f>
        <v/>
      </c>
      <c r="H20" s="186" t="str">
        <f>IFERROR(Tab_Compteur_8[[#This Row],[Montant]]/Tab_Compteur_8[[#This Row],[Delta Jour]],"")</f>
        <v/>
      </c>
      <c r="I20" s="208" t="str">
        <f t="shared" si="0"/>
        <v/>
      </c>
      <c r="J20" s="209"/>
      <c r="K20" s="599"/>
      <c r="L20" s="599"/>
      <c r="M20" s="599"/>
    </row>
    <row r="21" spans="1:13">
      <c r="A21" s="464">
        <f t="shared" si="2"/>
        <v>1</v>
      </c>
      <c r="B21" s="87"/>
      <c r="C21" s="192"/>
      <c r="D21" s="191"/>
      <c r="F21" s="186">
        <f t="shared" si="1"/>
        <v>0</v>
      </c>
      <c r="G21" s="186" t="str">
        <f>IF(IFERROR(IF(Str_TypeDonneesCpt8=Cpt_Index,Tab_Compteur_8[[#This Row],[Index]]-E20,Tab_Compteur_8[[#This Row],[Quantité]])/Tab_Compteur_8[[#This Row],[Delta Jour]],"")&lt;0,"",IFERROR(IF(Str_TypeDonneesCpt8=Cpt_Index,Tab_Compteur_8[[#This Row],[Index]]-E20,Tab_Compteur_8[[#This Row],[Quantité]])/Tab_Compteur_8[[#This Row],[Delta Jour]],""))</f>
        <v/>
      </c>
      <c r="H21" s="186" t="str">
        <f>IFERROR(Tab_Compteur_8[[#This Row],[Montant]]/Tab_Compteur_8[[#This Row],[Delta Jour]],"")</f>
        <v/>
      </c>
      <c r="I21" s="208" t="str">
        <f t="shared" si="0"/>
        <v/>
      </c>
      <c r="J21" s="209"/>
      <c r="K21" s="599"/>
      <c r="L21" s="599"/>
      <c r="M21" s="599"/>
    </row>
    <row r="22" spans="1:13">
      <c r="A22" s="464">
        <f t="shared" si="2"/>
        <v>1</v>
      </c>
      <c r="B22" s="87"/>
      <c r="C22" s="192"/>
      <c r="D22" s="191"/>
      <c r="F22" s="186">
        <f t="shared" si="1"/>
        <v>0</v>
      </c>
      <c r="G22" s="186" t="str">
        <f>IF(IFERROR(IF(Str_TypeDonneesCpt8=Cpt_Index,Tab_Compteur_8[[#This Row],[Index]]-E21,Tab_Compteur_8[[#This Row],[Quantité]])/Tab_Compteur_8[[#This Row],[Delta Jour]],"")&lt;0,"",IFERROR(IF(Str_TypeDonneesCpt8=Cpt_Index,Tab_Compteur_8[[#This Row],[Index]]-E21,Tab_Compteur_8[[#This Row],[Quantité]])/Tab_Compteur_8[[#This Row],[Delta Jour]],""))</f>
        <v/>
      </c>
      <c r="H22" s="186" t="str">
        <f>IFERROR(Tab_Compteur_8[[#This Row],[Montant]]/Tab_Compteur_8[[#This Row],[Delta Jour]],"")</f>
        <v/>
      </c>
      <c r="I22" s="208" t="str">
        <f t="shared" si="0"/>
        <v/>
      </c>
      <c r="J22" s="209"/>
      <c r="K22" s="599"/>
      <c r="L22" s="599"/>
      <c r="M22" s="599"/>
    </row>
    <row r="23" spans="1:13">
      <c r="A23" s="464">
        <f t="shared" si="2"/>
        <v>1</v>
      </c>
      <c r="B23" s="87"/>
      <c r="C23" s="192"/>
      <c r="D23" s="191"/>
      <c r="F23" s="186">
        <f t="shared" si="1"/>
        <v>0</v>
      </c>
      <c r="G23" s="186" t="str">
        <f>IF(IFERROR(IF(Str_TypeDonneesCpt8=Cpt_Index,Tab_Compteur_8[[#This Row],[Index]]-E22,Tab_Compteur_8[[#This Row],[Quantité]])/Tab_Compteur_8[[#This Row],[Delta Jour]],"")&lt;0,"",IFERROR(IF(Str_TypeDonneesCpt8=Cpt_Index,Tab_Compteur_8[[#This Row],[Index]]-E22,Tab_Compteur_8[[#This Row],[Quantité]])/Tab_Compteur_8[[#This Row],[Delta Jour]],""))</f>
        <v/>
      </c>
      <c r="H23" s="186" t="str">
        <f>IFERROR(Tab_Compteur_8[[#This Row],[Montant]]/Tab_Compteur_8[[#This Row],[Delta Jour]],"")</f>
        <v/>
      </c>
      <c r="I23" s="208" t="str">
        <f t="shared" si="0"/>
        <v/>
      </c>
      <c r="J23" s="209"/>
      <c r="K23" s="599"/>
      <c r="L23" s="599"/>
      <c r="M23" s="599"/>
    </row>
    <row r="24" spans="1:13">
      <c r="A24" s="464">
        <f t="shared" si="2"/>
        <v>1</v>
      </c>
      <c r="B24" s="87"/>
      <c r="C24" s="192"/>
      <c r="D24" s="191"/>
      <c r="F24" s="186">
        <f t="shared" si="1"/>
        <v>0</v>
      </c>
      <c r="G24" s="186" t="str">
        <f>IF(IFERROR(IF(Str_TypeDonneesCpt8=Cpt_Index,Tab_Compteur_8[[#This Row],[Index]]-E23,Tab_Compteur_8[[#This Row],[Quantité]])/Tab_Compteur_8[[#This Row],[Delta Jour]],"")&lt;0,"",IFERROR(IF(Str_TypeDonneesCpt8=Cpt_Index,Tab_Compteur_8[[#This Row],[Index]]-E23,Tab_Compteur_8[[#This Row],[Quantité]])/Tab_Compteur_8[[#This Row],[Delta Jour]],""))</f>
        <v/>
      </c>
      <c r="H24" s="186" t="str">
        <f>IFERROR(Tab_Compteur_8[[#This Row],[Montant]]/Tab_Compteur_8[[#This Row],[Delta Jour]],"")</f>
        <v/>
      </c>
      <c r="I24" s="208" t="str">
        <f t="shared" si="0"/>
        <v/>
      </c>
      <c r="J24" s="209"/>
      <c r="K24" s="599"/>
      <c r="L24" s="599"/>
      <c r="M24" s="599"/>
    </row>
    <row r="25" spans="1:13">
      <c r="A25" s="464">
        <f t="shared" si="2"/>
        <v>1</v>
      </c>
      <c r="B25" s="87"/>
      <c r="C25" s="192"/>
      <c r="D25" s="191"/>
      <c r="F25" s="186">
        <f t="shared" si="1"/>
        <v>0</v>
      </c>
      <c r="G25" s="186" t="str">
        <f>IF(IFERROR(IF(Str_TypeDonneesCpt8=Cpt_Index,Tab_Compteur_8[[#This Row],[Index]]-E24,Tab_Compteur_8[[#This Row],[Quantité]])/Tab_Compteur_8[[#This Row],[Delta Jour]],"")&lt;0,"",IFERROR(IF(Str_TypeDonneesCpt8=Cpt_Index,Tab_Compteur_8[[#This Row],[Index]]-E24,Tab_Compteur_8[[#This Row],[Quantité]])/Tab_Compteur_8[[#This Row],[Delta Jour]],""))</f>
        <v/>
      </c>
      <c r="H25" s="186" t="str">
        <f>IFERROR(Tab_Compteur_8[[#This Row],[Montant]]/Tab_Compteur_8[[#This Row],[Delta Jour]],"")</f>
        <v/>
      </c>
      <c r="I25" s="208" t="str">
        <f t="shared" si="0"/>
        <v/>
      </c>
      <c r="J25" s="209"/>
      <c r="K25" s="599"/>
      <c r="L25" s="599"/>
      <c r="M25" s="599"/>
    </row>
    <row r="26" spans="1:13">
      <c r="A26" s="464">
        <f t="shared" si="2"/>
        <v>1</v>
      </c>
      <c r="B26" s="87"/>
      <c r="C26" s="192"/>
      <c r="D26" s="191"/>
      <c r="F26" s="186">
        <f t="shared" si="1"/>
        <v>0</v>
      </c>
      <c r="G26" s="186" t="str">
        <f>IF(IFERROR(IF(Str_TypeDonneesCpt8=Cpt_Index,Tab_Compteur_8[[#This Row],[Index]]-E25,Tab_Compteur_8[[#This Row],[Quantité]])/Tab_Compteur_8[[#This Row],[Delta Jour]],"")&lt;0,"",IFERROR(IF(Str_TypeDonneesCpt8=Cpt_Index,Tab_Compteur_8[[#This Row],[Index]]-E25,Tab_Compteur_8[[#This Row],[Quantité]])/Tab_Compteur_8[[#This Row],[Delta Jour]],""))</f>
        <v/>
      </c>
      <c r="H26" s="186" t="str">
        <f>IFERROR(Tab_Compteur_8[[#This Row],[Montant]]/Tab_Compteur_8[[#This Row],[Delta Jour]],"")</f>
        <v/>
      </c>
      <c r="I26" s="208" t="str">
        <f t="shared" si="0"/>
        <v/>
      </c>
      <c r="J26" s="209"/>
      <c r="K26" s="599"/>
      <c r="L26" s="599"/>
      <c r="M26" s="599"/>
    </row>
    <row r="27" spans="1:13">
      <c r="A27" s="464">
        <f t="shared" si="2"/>
        <v>1</v>
      </c>
      <c r="B27" s="87"/>
      <c r="C27" s="192"/>
      <c r="D27" s="191"/>
      <c r="F27" s="186">
        <f t="shared" si="1"/>
        <v>0</v>
      </c>
      <c r="G27" s="186" t="str">
        <f>IF(IFERROR(IF(Str_TypeDonneesCpt8=Cpt_Index,Tab_Compteur_8[[#This Row],[Index]]-E26,Tab_Compteur_8[[#This Row],[Quantité]])/Tab_Compteur_8[[#This Row],[Delta Jour]],"")&lt;0,"",IFERROR(IF(Str_TypeDonneesCpt8=Cpt_Index,Tab_Compteur_8[[#This Row],[Index]]-E26,Tab_Compteur_8[[#This Row],[Quantité]])/Tab_Compteur_8[[#This Row],[Delta Jour]],""))</f>
        <v/>
      </c>
      <c r="H27" s="186" t="str">
        <f>IFERROR(Tab_Compteur_8[[#This Row],[Montant]]/Tab_Compteur_8[[#This Row],[Delta Jour]],"")</f>
        <v/>
      </c>
      <c r="I27" s="208" t="str">
        <f t="shared" si="0"/>
        <v/>
      </c>
      <c r="J27" s="254"/>
      <c r="K27" s="599"/>
      <c r="L27" s="599"/>
      <c r="M27" s="599"/>
    </row>
    <row r="28" spans="1:13">
      <c r="A28" s="464">
        <f t="shared" si="2"/>
        <v>1</v>
      </c>
      <c r="B28" s="87"/>
      <c r="C28" s="192"/>
      <c r="D28" s="191"/>
      <c r="F28" s="186">
        <f t="shared" si="1"/>
        <v>0</v>
      </c>
      <c r="G28" s="186" t="str">
        <f>IF(IFERROR(IF(Str_TypeDonneesCpt8=Cpt_Index,Tab_Compteur_8[[#This Row],[Index]]-E27,Tab_Compteur_8[[#This Row],[Quantité]])/Tab_Compteur_8[[#This Row],[Delta Jour]],"")&lt;0,"",IFERROR(IF(Str_TypeDonneesCpt8=Cpt_Index,Tab_Compteur_8[[#This Row],[Index]]-E27,Tab_Compteur_8[[#This Row],[Quantité]])/Tab_Compteur_8[[#This Row],[Delta Jour]],""))</f>
        <v/>
      </c>
      <c r="H28" s="186" t="str">
        <f>IFERROR(Tab_Compteur_8[[#This Row],[Montant]]/Tab_Compteur_8[[#This Row],[Delta Jour]],"")</f>
        <v/>
      </c>
      <c r="I28" s="208" t="str">
        <f t="shared" si="0"/>
        <v/>
      </c>
      <c r="J28" s="209"/>
      <c r="K28" s="599"/>
      <c r="L28" s="599"/>
      <c r="M28" s="599"/>
    </row>
    <row r="29" spans="1:13">
      <c r="A29" s="464">
        <f t="shared" si="2"/>
        <v>1</v>
      </c>
      <c r="B29" s="87"/>
      <c r="C29" s="190"/>
      <c r="D29" s="191"/>
      <c r="F29" s="186">
        <f t="shared" si="1"/>
        <v>0</v>
      </c>
      <c r="G29" s="186" t="str">
        <f>IF(IFERROR(IF(Str_TypeDonneesCpt8=Cpt_Index,Tab_Compteur_8[[#This Row],[Index]]-E28,Tab_Compteur_8[[#This Row],[Quantité]])/Tab_Compteur_8[[#This Row],[Delta Jour]],"")&lt;0,"",IFERROR(IF(Str_TypeDonneesCpt8=Cpt_Index,Tab_Compteur_8[[#This Row],[Index]]-E28,Tab_Compteur_8[[#This Row],[Quantité]])/Tab_Compteur_8[[#This Row],[Delta Jour]],""))</f>
        <v/>
      </c>
      <c r="H29" s="186" t="str">
        <f>IFERROR(Tab_Compteur_8[[#This Row],[Montant]]/Tab_Compteur_8[[#This Row],[Delta Jour]],"")</f>
        <v/>
      </c>
      <c r="I29" s="208" t="str">
        <f t="shared" si="0"/>
        <v/>
      </c>
      <c r="J29" s="209"/>
      <c r="K29" s="599"/>
      <c r="L29" s="599"/>
      <c r="M29" s="599"/>
    </row>
    <row r="30" spans="1:13">
      <c r="A30" s="464">
        <f t="shared" si="2"/>
        <v>1</v>
      </c>
      <c r="B30" s="87"/>
      <c r="C30" s="190"/>
      <c r="D30" s="191"/>
      <c r="F30" s="186">
        <f t="shared" si="1"/>
        <v>0</v>
      </c>
      <c r="G30" s="186" t="str">
        <f>IF(IFERROR(IF(Str_TypeDonneesCpt8=Cpt_Index,Tab_Compteur_8[[#This Row],[Index]]-E29,Tab_Compteur_8[[#This Row],[Quantité]])/Tab_Compteur_8[[#This Row],[Delta Jour]],"")&lt;0,"",IFERROR(IF(Str_TypeDonneesCpt8=Cpt_Index,Tab_Compteur_8[[#This Row],[Index]]-E29,Tab_Compteur_8[[#This Row],[Quantité]])/Tab_Compteur_8[[#This Row],[Delta Jour]],""))</f>
        <v/>
      </c>
      <c r="H30" s="186" t="str">
        <f>IFERROR(Tab_Compteur_8[[#This Row],[Montant]]/Tab_Compteur_8[[#This Row],[Delta Jour]],"")</f>
        <v/>
      </c>
      <c r="I30" s="208" t="str">
        <f t="shared" si="0"/>
        <v/>
      </c>
      <c r="J30" s="209"/>
      <c r="K30" s="599"/>
      <c r="L30" s="599"/>
      <c r="M30" s="599"/>
    </row>
    <row r="31" spans="1:13">
      <c r="A31" s="464">
        <f t="shared" si="2"/>
        <v>1</v>
      </c>
      <c r="B31" s="87"/>
      <c r="C31" s="190"/>
      <c r="D31" s="191"/>
      <c r="F31" s="186">
        <f t="shared" si="1"/>
        <v>0</v>
      </c>
      <c r="G31" s="186" t="str">
        <f>IF(IFERROR(IF(Str_TypeDonneesCpt8=Cpt_Index,Tab_Compteur_8[[#This Row],[Index]]-E30,Tab_Compteur_8[[#This Row],[Quantité]])/Tab_Compteur_8[[#This Row],[Delta Jour]],"")&lt;0,"",IFERROR(IF(Str_TypeDonneesCpt8=Cpt_Index,Tab_Compteur_8[[#This Row],[Index]]-E30,Tab_Compteur_8[[#This Row],[Quantité]])/Tab_Compteur_8[[#This Row],[Delta Jour]],""))</f>
        <v/>
      </c>
      <c r="H31" s="186" t="str">
        <f>IFERROR(Tab_Compteur_8[[#This Row],[Montant]]/Tab_Compteur_8[[#This Row],[Delta Jour]],"")</f>
        <v/>
      </c>
      <c r="I31" s="208" t="str">
        <f t="shared" si="0"/>
        <v/>
      </c>
      <c r="J31" s="209"/>
      <c r="K31" s="599"/>
      <c r="L31" s="599"/>
      <c r="M31" s="599"/>
    </row>
    <row r="32" spans="1:13">
      <c r="A32" s="464">
        <f t="shared" si="2"/>
        <v>1</v>
      </c>
      <c r="B32" s="87"/>
      <c r="C32" s="192"/>
      <c r="D32" s="191"/>
      <c r="F32" s="186">
        <f t="shared" si="1"/>
        <v>0</v>
      </c>
      <c r="G32" s="186" t="str">
        <f>IF(IFERROR(IF(Str_TypeDonneesCpt8=Cpt_Index,Tab_Compteur_8[[#This Row],[Index]]-E31,Tab_Compteur_8[[#This Row],[Quantité]])/Tab_Compteur_8[[#This Row],[Delta Jour]],"")&lt;0,"",IFERROR(IF(Str_TypeDonneesCpt8=Cpt_Index,Tab_Compteur_8[[#This Row],[Index]]-E31,Tab_Compteur_8[[#This Row],[Quantité]])/Tab_Compteur_8[[#This Row],[Delta Jour]],""))</f>
        <v/>
      </c>
      <c r="H32" s="186" t="str">
        <f>IFERROR(Tab_Compteur_8[[#This Row],[Montant]]/Tab_Compteur_8[[#This Row],[Delta Jour]],"")</f>
        <v/>
      </c>
      <c r="I32" s="208" t="str">
        <f t="shared" si="0"/>
        <v/>
      </c>
      <c r="J32" s="209"/>
      <c r="K32" s="599"/>
      <c r="L32" s="599"/>
      <c r="M32" s="599"/>
    </row>
    <row r="33" spans="1:13">
      <c r="A33" s="464">
        <f t="shared" si="2"/>
        <v>1</v>
      </c>
      <c r="B33" s="87"/>
      <c r="C33" s="192"/>
      <c r="D33" s="191"/>
      <c r="F33" s="186">
        <f t="shared" si="1"/>
        <v>0</v>
      </c>
      <c r="G33" s="186" t="str">
        <f>IF(IFERROR(IF(Str_TypeDonneesCpt8=Cpt_Index,Tab_Compteur_8[[#This Row],[Index]]-E32,Tab_Compteur_8[[#This Row],[Quantité]])/Tab_Compteur_8[[#This Row],[Delta Jour]],"")&lt;0,"",IFERROR(IF(Str_TypeDonneesCpt8=Cpt_Index,Tab_Compteur_8[[#This Row],[Index]]-E32,Tab_Compteur_8[[#This Row],[Quantité]])/Tab_Compteur_8[[#This Row],[Delta Jour]],""))</f>
        <v/>
      </c>
      <c r="H33" s="186" t="str">
        <f>IFERROR(Tab_Compteur_8[[#This Row],[Montant]]/Tab_Compteur_8[[#This Row],[Delta Jour]],"")</f>
        <v/>
      </c>
      <c r="I33" s="208" t="str">
        <f t="shared" si="0"/>
        <v/>
      </c>
      <c r="J33" s="209"/>
      <c r="K33" s="599"/>
      <c r="L33" s="599"/>
      <c r="M33" s="599"/>
    </row>
    <row r="34" spans="1:13">
      <c r="A34" s="464">
        <f t="shared" si="2"/>
        <v>1</v>
      </c>
      <c r="B34" s="87"/>
      <c r="C34" s="192"/>
      <c r="D34" s="191"/>
      <c r="F34" s="186">
        <f t="shared" si="1"/>
        <v>0</v>
      </c>
      <c r="G34" s="186" t="str">
        <f>IF(IFERROR(IF(Str_TypeDonneesCpt8=Cpt_Index,Tab_Compteur_8[[#This Row],[Index]]-E33,Tab_Compteur_8[[#This Row],[Quantité]])/Tab_Compteur_8[[#This Row],[Delta Jour]],"")&lt;0,"",IFERROR(IF(Str_TypeDonneesCpt8=Cpt_Index,Tab_Compteur_8[[#This Row],[Index]]-E33,Tab_Compteur_8[[#This Row],[Quantité]])/Tab_Compteur_8[[#This Row],[Delta Jour]],""))</f>
        <v/>
      </c>
      <c r="H34" s="186" t="str">
        <f>IFERROR(Tab_Compteur_8[[#This Row],[Montant]]/Tab_Compteur_8[[#This Row],[Delta Jour]],"")</f>
        <v/>
      </c>
      <c r="I34" s="208" t="str">
        <f t="shared" si="0"/>
        <v/>
      </c>
      <c r="J34" s="209"/>
      <c r="K34" s="38"/>
      <c r="L34" s="38"/>
      <c r="M34" s="38"/>
    </row>
    <row r="35" spans="1:13">
      <c r="A35" s="464">
        <f t="shared" si="2"/>
        <v>1</v>
      </c>
      <c r="B35" s="87"/>
      <c r="C35" s="192"/>
      <c r="D35" s="191"/>
      <c r="F35" s="186">
        <f t="shared" si="1"/>
        <v>0</v>
      </c>
      <c r="G35" s="186" t="str">
        <f>IF(IFERROR(IF(Str_TypeDonneesCpt8=Cpt_Index,Tab_Compteur_8[[#This Row],[Index]]-E34,Tab_Compteur_8[[#This Row],[Quantité]])/Tab_Compteur_8[[#This Row],[Delta Jour]],"")&lt;0,"",IFERROR(IF(Str_TypeDonneesCpt8=Cpt_Index,Tab_Compteur_8[[#This Row],[Index]]-E34,Tab_Compteur_8[[#This Row],[Quantité]])/Tab_Compteur_8[[#This Row],[Delta Jour]],""))</f>
        <v/>
      </c>
      <c r="H35" s="186" t="str">
        <f>IFERROR(Tab_Compteur_8[[#This Row],[Montant]]/Tab_Compteur_8[[#This Row],[Delta Jour]],"")</f>
        <v/>
      </c>
      <c r="I35" s="208" t="str">
        <f t="shared" si="0"/>
        <v/>
      </c>
      <c r="J35" s="209"/>
      <c r="K35" s="38"/>
      <c r="L35" s="38"/>
      <c r="M35" s="38"/>
    </row>
    <row r="36" spans="1:13">
      <c r="A36" s="464">
        <f t="shared" si="2"/>
        <v>1</v>
      </c>
      <c r="B36" s="87"/>
      <c r="C36" s="192"/>
      <c r="D36" s="191"/>
      <c r="F36" s="186">
        <f t="shared" si="1"/>
        <v>0</v>
      </c>
      <c r="G36" s="186" t="str">
        <f>IF(IFERROR(IF(Str_TypeDonneesCpt8=Cpt_Index,Tab_Compteur_8[[#This Row],[Index]]-E35,Tab_Compteur_8[[#This Row],[Quantité]])/Tab_Compteur_8[[#This Row],[Delta Jour]],"")&lt;0,"",IFERROR(IF(Str_TypeDonneesCpt8=Cpt_Index,Tab_Compteur_8[[#This Row],[Index]]-E35,Tab_Compteur_8[[#This Row],[Quantité]])/Tab_Compteur_8[[#This Row],[Delta Jour]],""))</f>
        <v/>
      </c>
      <c r="H36" s="186" t="str">
        <f>IFERROR(Tab_Compteur_8[[#This Row],[Montant]]/Tab_Compteur_8[[#This Row],[Delta Jour]],"")</f>
        <v/>
      </c>
      <c r="I36" s="208" t="str">
        <f t="shared" si="0"/>
        <v/>
      </c>
      <c r="J36" s="209"/>
      <c r="K36" s="38"/>
      <c r="L36" s="38"/>
      <c r="M36" s="38"/>
    </row>
    <row r="37" spans="1:13">
      <c r="A37" s="464">
        <f t="shared" si="2"/>
        <v>1</v>
      </c>
      <c r="B37" s="87"/>
      <c r="C37" s="192"/>
      <c r="D37" s="191"/>
      <c r="F37" s="186">
        <f t="shared" si="1"/>
        <v>0</v>
      </c>
      <c r="G37" s="186" t="str">
        <f>IF(IFERROR(IF(Str_TypeDonneesCpt8=Cpt_Index,Tab_Compteur_8[[#This Row],[Index]]-E36,Tab_Compteur_8[[#This Row],[Quantité]])/Tab_Compteur_8[[#This Row],[Delta Jour]],"")&lt;0,"",IFERROR(IF(Str_TypeDonneesCpt8=Cpt_Index,Tab_Compteur_8[[#This Row],[Index]]-E36,Tab_Compteur_8[[#This Row],[Quantité]])/Tab_Compteur_8[[#This Row],[Delta Jour]],""))</f>
        <v/>
      </c>
      <c r="H37" s="186" t="str">
        <f>IFERROR(Tab_Compteur_8[[#This Row],[Montant]]/Tab_Compteur_8[[#This Row],[Delta Jour]],"")</f>
        <v/>
      </c>
      <c r="I37" s="208" t="str">
        <f t="shared" si="0"/>
        <v/>
      </c>
      <c r="J37" s="209"/>
      <c r="K37" s="38"/>
      <c r="L37" s="38"/>
      <c r="M37" s="38"/>
    </row>
    <row r="38" spans="1:13">
      <c r="A38" s="464">
        <f t="shared" si="2"/>
        <v>1</v>
      </c>
      <c r="B38" s="87"/>
      <c r="C38" s="192"/>
      <c r="D38" s="191"/>
      <c r="F38" s="186">
        <f t="shared" si="1"/>
        <v>0</v>
      </c>
      <c r="G38" s="186" t="str">
        <f>IF(IFERROR(IF(Str_TypeDonneesCpt8=Cpt_Index,Tab_Compteur_8[[#This Row],[Index]]-E37,Tab_Compteur_8[[#This Row],[Quantité]])/Tab_Compteur_8[[#This Row],[Delta Jour]],"")&lt;0,"",IFERROR(IF(Str_TypeDonneesCpt8=Cpt_Index,Tab_Compteur_8[[#This Row],[Index]]-E37,Tab_Compteur_8[[#This Row],[Quantité]])/Tab_Compteur_8[[#This Row],[Delta Jour]],""))</f>
        <v/>
      </c>
      <c r="H38" s="186" t="str">
        <f>IFERROR(Tab_Compteur_8[[#This Row],[Montant]]/Tab_Compteur_8[[#This Row],[Delta Jour]],"")</f>
        <v/>
      </c>
      <c r="I38" s="208" t="str">
        <f t="shared" si="0"/>
        <v/>
      </c>
      <c r="J38" s="209"/>
      <c r="K38" s="38"/>
      <c r="L38" s="38"/>
      <c r="M38" s="38"/>
    </row>
    <row r="39" spans="1:13">
      <c r="A39" s="464">
        <f t="shared" si="2"/>
        <v>1</v>
      </c>
      <c r="B39" s="87"/>
      <c r="C39" s="192"/>
      <c r="D39" s="193"/>
      <c r="F39" s="186">
        <f t="shared" si="1"/>
        <v>0</v>
      </c>
      <c r="G39" s="186" t="str">
        <f>IF(IFERROR(IF(Str_TypeDonneesCpt8=Cpt_Index,Tab_Compteur_8[[#This Row],[Index]]-E38,Tab_Compteur_8[[#This Row],[Quantité]])/Tab_Compteur_8[[#This Row],[Delta Jour]],"")&lt;0,"",IFERROR(IF(Str_TypeDonneesCpt8=Cpt_Index,Tab_Compteur_8[[#This Row],[Index]]-E38,Tab_Compteur_8[[#This Row],[Quantité]])/Tab_Compteur_8[[#This Row],[Delta Jour]],""))</f>
        <v/>
      </c>
      <c r="H39" s="186" t="str">
        <f>IFERROR(Tab_Compteur_8[[#This Row],[Montant]]/Tab_Compteur_8[[#This Row],[Delta Jour]],"")</f>
        <v/>
      </c>
      <c r="I39" s="208" t="str">
        <f t="shared" si="0"/>
        <v/>
      </c>
      <c r="J39" s="209"/>
      <c r="K39" s="38"/>
      <c r="L39" s="38"/>
      <c r="M39" s="38"/>
    </row>
    <row r="40" spans="1:13">
      <c r="A40" s="464">
        <f t="shared" si="2"/>
        <v>1</v>
      </c>
      <c r="B40" s="87"/>
      <c r="C40" s="192"/>
      <c r="D40" s="193"/>
      <c r="F40" s="186">
        <f t="shared" si="1"/>
        <v>0</v>
      </c>
      <c r="G40" s="186" t="str">
        <f>IF(IFERROR(IF(Str_TypeDonneesCpt8=Cpt_Index,Tab_Compteur_8[[#This Row],[Index]]-E39,Tab_Compteur_8[[#This Row],[Quantité]])/Tab_Compteur_8[[#This Row],[Delta Jour]],"")&lt;0,"",IFERROR(IF(Str_TypeDonneesCpt8=Cpt_Index,Tab_Compteur_8[[#This Row],[Index]]-E39,Tab_Compteur_8[[#This Row],[Quantité]])/Tab_Compteur_8[[#This Row],[Delta Jour]],""))</f>
        <v/>
      </c>
      <c r="H40" s="186" t="str">
        <f>IFERROR(Tab_Compteur_8[[#This Row],[Montant]]/Tab_Compteur_8[[#This Row],[Delta Jour]],"")</f>
        <v/>
      </c>
      <c r="I40" s="208" t="str">
        <f t="shared" si="0"/>
        <v/>
      </c>
      <c r="J40" s="209"/>
      <c r="K40" s="38"/>
      <c r="L40" s="38"/>
      <c r="M40" s="38"/>
    </row>
    <row r="41" spans="1:13">
      <c r="A41" s="464">
        <f t="shared" si="2"/>
        <v>1</v>
      </c>
      <c r="B41" s="87"/>
      <c r="C41" s="190"/>
      <c r="D41" s="193"/>
      <c r="F41" s="186">
        <f t="shared" si="1"/>
        <v>0</v>
      </c>
      <c r="G41" s="186" t="str">
        <f>IF(IFERROR(IF(Str_TypeDonneesCpt8=Cpt_Index,Tab_Compteur_8[[#This Row],[Index]]-E40,Tab_Compteur_8[[#This Row],[Quantité]])/Tab_Compteur_8[[#This Row],[Delta Jour]],"")&lt;0,"",IFERROR(IF(Str_TypeDonneesCpt8=Cpt_Index,Tab_Compteur_8[[#This Row],[Index]]-E40,Tab_Compteur_8[[#This Row],[Quantité]])/Tab_Compteur_8[[#This Row],[Delta Jour]],""))</f>
        <v/>
      </c>
      <c r="H41" s="186" t="str">
        <f>IFERROR(Tab_Compteur_8[[#This Row],[Montant]]/Tab_Compteur_8[[#This Row],[Delta Jour]],"")</f>
        <v/>
      </c>
      <c r="I41" s="208" t="str">
        <f t="shared" si="0"/>
        <v/>
      </c>
      <c r="J41" s="209"/>
      <c r="K41" s="38"/>
      <c r="L41" s="38"/>
      <c r="M41" s="38"/>
    </row>
    <row r="42" spans="1:13">
      <c r="A42" s="464">
        <f t="shared" si="2"/>
        <v>1</v>
      </c>
      <c r="B42" s="87"/>
      <c r="C42" s="190"/>
      <c r="D42" s="193"/>
      <c r="F42" s="186">
        <f t="shared" si="1"/>
        <v>0</v>
      </c>
      <c r="G42" s="186" t="str">
        <f>IF(IFERROR(IF(Str_TypeDonneesCpt8=Cpt_Index,Tab_Compteur_8[[#This Row],[Index]]-E41,Tab_Compteur_8[[#This Row],[Quantité]])/Tab_Compteur_8[[#This Row],[Delta Jour]],"")&lt;0,"",IFERROR(IF(Str_TypeDonneesCpt8=Cpt_Index,Tab_Compteur_8[[#This Row],[Index]]-E41,Tab_Compteur_8[[#This Row],[Quantité]])/Tab_Compteur_8[[#This Row],[Delta Jour]],""))</f>
        <v/>
      </c>
      <c r="H42" s="186" t="str">
        <f>IFERROR(Tab_Compteur_8[[#This Row],[Montant]]/Tab_Compteur_8[[#This Row],[Delta Jour]],"")</f>
        <v/>
      </c>
      <c r="I42" s="208" t="str">
        <f t="shared" si="0"/>
        <v/>
      </c>
      <c r="J42" s="209"/>
      <c r="K42" s="38"/>
      <c r="L42" s="38"/>
      <c r="M42" s="38"/>
    </row>
    <row r="43" spans="1:13">
      <c r="A43" s="464">
        <f t="shared" si="2"/>
        <v>1</v>
      </c>
      <c r="B43" s="87"/>
      <c r="C43" s="192"/>
      <c r="D43" s="193"/>
      <c r="F43" s="186">
        <f t="shared" si="1"/>
        <v>0</v>
      </c>
      <c r="G43" s="186" t="str">
        <f>IF(IFERROR(IF(Str_TypeDonneesCpt8=Cpt_Index,Tab_Compteur_8[[#This Row],[Index]]-E42,Tab_Compteur_8[[#This Row],[Quantité]])/Tab_Compteur_8[[#This Row],[Delta Jour]],"")&lt;0,"",IFERROR(IF(Str_TypeDonneesCpt8=Cpt_Index,Tab_Compteur_8[[#This Row],[Index]]-E42,Tab_Compteur_8[[#This Row],[Quantité]])/Tab_Compteur_8[[#This Row],[Delta Jour]],""))</f>
        <v/>
      </c>
      <c r="H43" s="186" t="str">
        <f>IFERROR(Tab_Compteur_8[[#This Row],[Montant]]/Tab_Compteur_8[[#This Row],[Delta Jour]],"")</f>
        <v/>
      </c>
      <c r="I43" s="208" t="str">
        <f t="shared" si="0"/>
        <v/>
      </c>
      <c r="J43" s="209"/>
      <c r="K43" s="38"/>
      <c r="L43" s="38"/>
      <c r="M43" s="38"/>
    </row>
    <row r="44" spans="1:13">
      <c r="A44" s="464">
        <f t="shared" si="2"/>
        <v>1</v>
      </c>
      <c r="B44" s="87"/>
      <c r="C44" s="192"/>
      <c r="D44" s="193"/>
      <c r="F44" s="186">
        <f t="shared" si="1"/>
        <v>0</v>
      </c>
      <c r="G44" s="186" t="str">
        <f>IF(IFERROR(IF(Str_TypeDonneesCpt8=Cpt_Index,Tab_Compteur_8[[#This Row],[Index]]-E43,Tab_Compteur_8[[#This Row],[Quantité]])/Tab_Compteur_8[[#This Row],[Delta Jour]],"")&lt;0,"",IFERROR(IF(Str_TypeDonneesCpt8=Cpt_Index,Tab_Compteur_8[[#This Row],[Index]]-E43,Tab_Compteur_8[[#This Row],[Quantité]])/Tab_Compteur_8[[#This Row],[Delta Jour]],""))</f>
        <v/>
      </c>
      <c r="H44" s="186" t="str">
        <f>IFERROR(Tab_Compteur_8[[#This Row],[Montant]]/Tab_Compteur_8[[#This Row],[Delta Jour]],"")</f>
        <v/>
      </c>
      <c r="I44" s="208" t="str">
        <f t="shared" si="0"/>
        <v/>
      </c>
      <c r="J44" s="209"/>
      <c r="K44" s="38"/>
      <c r="L44" s="38"/>
      <c r="M44" s="38"/>
    </row>
    <row r="45" spans="1:13">
      <c r="A45" s="464">
        <f t="shared" si="2"/>
        <v>1</v>
      </c>
      <c r="B45" s="87"/>
      <c r="C45" s="192"/>
      <c r="D45" s="193"/>
      <c r="F45" s="186">
        <f t="shared" si="1"/>
        <v>0</v>
      </c>
      <c r="G45" s="186" t="str">
        <f>IF(IFERROR(IF(Str_TypeDonneesCpt8=Cpt_Index,Tab_Compteur_8[[#This Row],[Index]]-E44,Tab_Compteur_8[[#This Row],[Quantité]])/Tab_Compteur_8[[#This Row],[Delta Jour]],"")&lt;0,"",IFERROR(IF(Str_TypeDonneesCpt8=Cpt_Index,Tab_Compteur_8[[#This Row],[Index]]-E44,Tab_Compteur_8[[#This Row],[Quantité]])/Tab_Compteur_8[[#This Row],[Delta Jour]],""))</f>
        <v/>
      </c>
      <c r="H45" s="186" t="str">
        <f>IFERROR(Tab_Compteur_8[[#This Row],[Montant]]/Tab_Compteur_8[[#This Row],[Delta Jour]],"")</f>
        <v/>
      </c>
      <c r="I45" s="208" t="str">
        <f t="shared" si="0"/>
        <v/>
      </c>
      <c r="J45" s="209"/>
      <c r="K45" s="38"/>
      <c r="L45" s="38"/>
      <c r="M45" s="38"/>
    </row>
    <row r="46" spans="1:13">
      <c r="A46" s="464">
        <f t="shared" si="2"/>
        <v>1</v>
      </c>
      <c r="B46" s="87"/>
      <c r="C46" s="192"/>
      <c r="D46" s="193"/>
      <c r="F46" s="186">
        <f t="shared" si="1"/>
        <v>0</v>
      </c>
      <c r="G46" s="186" t="str">
        <f>IF(IFERROR(IF(Str_TypeDonneesCpt8=Cpt_Index,Tab_Compteur_8[[#This Row],[Index]]-E45,Tab_Compteur_8[[#This Row],[Quantité]])/Tab_Compteur_8[[#This Row],[Delta Jour]],"")&lt;0,"",IFERROR(IF(Str_TypeDonneesCpt8=Cpt_Index,Tab_Compteur_8[[#This Row],[Index]]-E45,Tab_Compteur_8[[#This Row],[Quantité]])/Tab_Compteur_8[[#This Row],[Delta Jour]],""))</f>
        <v/>
      </c>
      <c r="H46" s="186" t="str">
        <f>IFERROR(Tab_Compteur_8[[#This Row],[Montant]]/Tab_Compteur_8[[#This Row],[Delta Jour]],"")</f>
        <v/>
      </c>
      <c r="I46" s="208" t="str">
        <f t="shared" si="0"/>
        <v/>
      </c>
      <c r="J46" s="209"/>
      <c r="K46" s="38"/>
      <c r="L46" s="38"/>
      <c r="M46" s="38"/>
    </row>
    <row r="47" spans="1:13">
      <c r="A47" s="464">
        <f t="shared" si="2"/>
        <v>1</v>
      </c>
      <c r="B47" s="87"/>
      <c r="C47" s="192"/>
      <c r="D47" s="193"/>
      <c r="F47" s="186">
        <f t="shared" si="1"/>
        <v>0</v>
      </c>
      <c r="G47" s="186" t="str">
        <f>IF(IFERROR(IF(Str_TypeDonneesCpt8=Cpt_Index,Tab_Compteur_8[[#This Row],[Index]]-E46,Tab_Compteur_8[[#This Row],[Quantité]])/Tab_Compteur_8[[#This Row],[Delta Jour]],"")&lt;0,"",IFERROR(IF(Str_TypeDonneesCpt8=Cpt_Index,Tab_Compteur_8[[#This Row],[Index]]-E46,Tab_Compteur_8[[#This Row],[Quantité]])/Tab_Compteur_8[[#This Row],[Delta Jour]],""))</f>
        <v/>
      </c>
      <c r="H47" s="186" t="str">
        <f>IFERROR(Tab_Compteur_8[[#This Row],[Montant]]/Tab_Compteur_8[[#This Row],[Delta Jour]],"")</f>
        <v/>
      </c>
      <c r="I47" s="208" t="str">
        <f t="shared" si="0"/>
        <v/>
      </c>
      <c r="J47" s="209"/>
      <c r="K47" s="38"/>
      <c r="L47" s="38"/>
      <c r="M47" s="38"/>
    </row>
    <row r="48" spans="1:13">
      <c r="A48" s="464">
        <f t="shared" si="2"/>
        <v>1</v>
      </c>
      <c r="B48" s="87"/>
      <c r="C48" s="192"/>
      <c r="D48" s="193"/>
      <c r="F48" s="186">
        <f t="shared" si="1"/>
        <v>0</v>
      </c>
      <c r="G48" s="186" t="str">
        <f>IF(IFERROR(IF(Str_TypeDonneesCpt8=Cpt_Index,Tab_Compteur_8[[#This Row],[Index]]-E47,Tab_Compteur_8[[#This Row],[Quantité]])/Tab_Compteur_8[[#This Row],[Delta Jour]],"")&lt;0,"",IFERROR(IF(Str_TypeDonneesCpt8=Cpt_Index,Tab_Compteur_8[[#This Row],[Index]]-E47,Tab_Compteur_8[[#This Row],[Quantité]])/Tab_Compteur_8[[#This Row],[Delta Jour]],""))</f>
        <v/>
      </c>
      <c r="H48" s="186" t="str">
        <f>IFERROR(Tab_Compteur_8[[#This Row],[Montant]]/Tab_Compteur_8[[#This Row],[Delta Jour]],"")</f>
        <v/>
      </c>
      <c r="I48" s="208" t="str">
        <f t="shared" si="0"/>
        <v/>
      </c>
      <c r="J48" s="209"/>
      <c r="K48" s="38"/>
      <c r="L48" s="38"/>
      <c r="M48" s="38"/>
    </row>
    <row r="49" spans="1:13">
      <c r="A49" s="464">
        <f t="shared" si="2"/>
        <v>1</v>
      </c>
      <c r="B49" s="87"/>
      <c r="C49" s="192"/>
      <c r="D49" s="193"/>
      <c r="F49" s="186">
        <f t="shared" si="1"/>
        <v>0</v>
      </c>
      <c r="G49" s="186" t="str">
        <f>IF(IFERROR(IF(Str_TypeDonneesCpt8=Cpt_Index,Tab_Compteur_8[[#This Row],[Index]]-E48,Tab_Compteur_8[[#This Row],[Quantité]])/Tab_Compteur_8[[#This Row],[Delta Jour]],"")&lt;0,"",IFERROR(IF(Str_TypeDonneesCpt8=Cpt_Index,Tab_Compteur_8[[#This Row],[Index]]-E48,Tab_Compteur_8[[#This Row],[Quantité]])/Tab_Compteur_8[[#This Row],[Delta Jour]],""))</f>
        <v/>
      </c>
      <c r="H49" s="186" t="str">
        <f>IFERROR(Tab_Compteur_8[[#This Row],[Montant]]/Tab_Compteur_8[[#This Row],[Delta Jour]],"")</f>
        <v/>
      </c>
      <c r="I49" s="208" t="str">
        <f t="shared" si="0"/>
        <v/>
      </c>
      <c r="J49" s="209"/>
      <c r="K49" s="38"/>
      <c r="L49" s="38"/>
      <c r="M49" s="38"/>
    </row>
    <row r="50" spans="1:13">
      <c r="A50" s="464">
        <f t="shared" si="2"/>
        <v>1</v>
      </c>
      <c r="B50" s="87"/>
      <c r="C50" s="192"/>
      <c r="D50" s="193"/>
      <c r="F50" s="186">
        <f t="shared" si="1"/>
        <v>0</v>
      </c>
      <c r="G50" s="186" t="str">
        <f>IF(IFERROR(IF(Str_TypeDonneesCpt8=Cpt_Index,Tab_Compteur_8[[#This Row],[Index]]-E49,Tab_Compteur_8[[#This Row],[Quantité]])/Tab_Compteur_8[[#This Row],[Delta Jour]],"")&lt;0,"",IFERROR(IF(Str_TypeDonneesCpt8=Cpt_Index,Tab_Compteur_8[[#This Row],[Index]]-E49,Tab_Compteur_8[[#This Row],[Quantité]])/Tab_Compteur_8[[#This Row],[Delta Jour]],""))</f>
        <v/>
      </c>
      <c r="H50" s="186" t="str">
        <f>IFERROR(Tab_Compteur_8[[#This Row],[Montant]]/Tab_Compteur_8[[#This Row],[Delta Jour]],"")</f>
        <v/>
      </c>
      <c r="I50" s="208" t="str">
        <f t="shared" si="0"/>
        <v/>
      </c>
      <c r="J50" s="209"/>
      <c r="K50" s="38"/>
      <c r="L50" s="38"/>
      <c r="M50" s="38"/>
    </row>
    <row r="51" spans="1:13">
      <c r="A51" s="464">
        <f t="shared" si="2"/>
        <v>1</v>
      </c>
      <c r="B51" s="87"/>
      <c r="C51" s="192"/>
      <c r="D51" s="193"/>
      <c r="F51" s="186">
        <f t="shared" si="1"/>
        <v>0</v>
      </c>
      <c r="G51" s="186" t="str">
        <f>IF(IFERROR(IF(Str_TypeDonneesCpt8=Cpt_Index,Tab_Compteur_8[[#This Row],[Index]]-E50,Tab_Compteur_8[[#This Row],[Quantité]])/Tab_Compteur_8[[#This Row],[Delta Jour]],"")&lt;0,"",IFERROR(IF(Str_TypeDonneesCpt8=Cpt_Index,Tab_Compteur_8[[#This Row],[Index]]-E50,Tab_Compteur_8[[#This Row],[Quantité]])/Tab_Compteur_8[[#This Row],[Delta Jour]],""))</f>
        <v/>
      </c>
      <c r="H51" s="186" t="str">
        <f>IFERROR(Tab_Compteur_8[[#This Row],[Montant]]/Tab_Compteur_8[[#This Row],[Delta Jour]],"")</f>
        <v/>
      </c>
      <c r="I51" s="208" t="str">
        <f t="shared" si="0"/>
        <v/>
      </c>
      <c r="J51" s="209" t="s">
        <v>886</v>
      </c>
      <c r="K51" s="38"/>
      <c r="L51" s="38"/>
      <c r="M51" s="38"/>
    </row>
    <row r="52" spans="1:13">
      <c r="A52" s="464">
        <f t="shared" si="2"/>
        <v>1</v>
      </c>
      <c r="B52" s="87"/>
      <c r="C52" s="190"/>
      <c r="D52" s="193"/>
      <c r="F52" s="186">
        <f t="shared" si="1"/>
        <v>0</v>
      </c>
      <c r="G52" s="186" t="str">
        <f>IF(IFERROR(IF(Str_TypeDonneesCpt8=Cpt_Index,Tab_Compteur_8[[#This Row],[Index]]-E51,Tab_Compteur_8[[#This Row],[Quantité]])/Tab_Compteur_8[[#This Row],[Delta Jour]],"")&lt;0,"",IFERROR(IF(Str_TypeDonneesCpt8=Cpt_Index,Tab_Compteur_8[[#This Row],[Index]]-E51,Tab_Compteur_8[[#This Row],[Quantité]])/Tab_Compteur_8[[#This Row],[Delta Jour]],""))</f>
        <v/>
      </c>
      <c r="H52" s="186" t="str">
        <f>IFERROR(Tab_Compteur_8[[#This Row],[Montant]]/Tab_Compteur_8[[#This Row],[Delta Jour]],"")</f>
        <v/>
      </c>
      <c r="I52" s="208" t="str">
        <f t="shared" si="0"/>
        <v/>
      </c>
      <c r="J52" s="209"/>
      <c r="K52" s="38"/>
      <c r="L52" s="38"/>
      <c r="M52" s="38"/>
    </row>
    <row r="53" spans="1:13">
      <c r="A53" s="464">
        <f t="shared" si="2"/>
        <v>1</v>
      </c>
      <c r="B53" s="87"/>
      <c r="C53" s="190"/>
      <c r="D53" s="193"/>
      <c r="F53" s="186">
        <f t="shared" si="1"/>
        <v>0</v>
      </c>
      <c r="G53" s="186" t="str">
        <f>IF(IFERROR(IF(Str_TypeDonneesCpt8=Cpt_Index,Tab_Compteur_8[[#This Row],[Index]]-E52,Tab_Compteur_8[[#This Row],[Quantité]])/Tab_Compteur_8[[#This Row],[Delta Jour]],"")&lt;0,"",IFERROR(IF(Str_TypeDonneesCpt8=Cpt_Index,Tab_Compteur_8[[#This Row],[Index]]-E52,Tab_Compteur_8[[#This Row],[Quantité]])/Tab_Compteur_8[[#This Row],[Delta Jour]],""))</f>
        <v/>
      </c>
      <c r="H53" s="186" t="str">
        <f>IFERROR(Tab_Compteur_8[[#This Row],[Montant]]/Tab_Compteur_8[[#This Row],[Delta Jour]],"")</f>
        <v/>
      </c>
      <c r="I53" s="208" t="str">
        <f t="shared" si="0"/>
        <v/>
      </c>
      <c r="J53" s="209"/>
      <c r="K53" s="38"/>
      <c r="L53" s="38"/>
      <c r="M53" s="38"/>
    </row>
    <row r="54" spans="1:13">
      <c r="A54" s="464">
        <f t="shared" si="2"/>
        <v>1</v>
      </c>
      <c r="B54" s="87"/>
      <c r="C54" s="190"/>
      <c r="D54" s="193"/>
      <c r="F54" s="186">
        <f t="shared" si="1"/>
        <v>0</v>
      </c>
      <c r="G54" s="186" t="str">
        <f>IF(IFERROR(IF(Str_TypeDonneesCpt8=Cpt_Index,Tab_Compteur_8[[#This Row],[Index]]-E53,Tab_Compteur_8[[#This Row],[Quantité]])/Tab_Compteur_8[[#This Row],[Delta Jour]],"")&lt;0,"",IFERROR(IF(Str_TypeDonneesCpt8=Cpt_Index,Tab_Compteur_8[[#This Row],[Index]]-E53,Tab_Compteur_8[[#This Row],[Quantité]])/Tab_Compteur_8[[#This Row],[Delta Jour]],""))</f>
        <v/>
      </c>
      <c r="H54" s="186" t="str">
        <f>IFERROR(Tab_Compteur_8[[#This Row],[Montant]]/Tab_Compteur_8[[#This Row],[Delta Jour]],"")</f>
        <v/>
      </c>
      <c r="I54" s="208" t="str">
        <f t="shared" si="0"/>
        <v/>
      </c>
      <c r="J54" s="209"/>
      <c r="K54" s="38"/>
      <c r="L54" s="38"/>
      <c r="M54" s="38"/>
    </row>
    <row r="55" spans="1:13">
      <c r="A55" s="464">
        <f t="shared" si="2"/>
        <v>1</v>
      </c>
      <c r="B55" s="87"/>
      <c r="C55" s="192"/>
      <c r="D55" s="193"/>
      <c r="F55" s="186">
        <f t="shared" si="1"/>
        <v>0</v>
      </c>
      <c r="G55" s="186" t="str">
        <f>IF(IFERROR(IF(Str_TypeDonneesCpt8=Cpt_Index,Tab_Compteur_8[[#This Row],[Index]]-E54,Tab_Compteur_8[[#This Row],[Quantité]])/Tab_Compteur_8[[#This Row],[Delta Jour]],"")&lt;0,"",IFERROR(IF(Str_TypeDonneesCpt8=Cpt_Index,Tab_Compteur_8[[#This Row],[Index]]-E54,Tab_Compteur_8[[#This Row],[Quantité]])/Tab_Compteur_8[[#This Row],[Delta Jour]],""))</f>
        <v/>
      </c>
      <c r="H55" s="186" t="str">
        <f>IFERROR(Tab_Compteur_8[[#This Row],[Montant]]/Tab_Compteur_8[[#This Row],[Delta Jour]],"")</f>
        <v/>
      </c>
      <c r="I55" s="208" t="str">
        <f t="shared" si="0"/>
        <v/>
      </c>
      <c r="J55" s="209"/>
      <c r="K55" s="38"/>
      <c r="L55" s="38"/>
      <c r="M55" s="38"/>
    </row>
    <row r="56" spans="1:13">
      <c r="A56" s="464">
        <f t="shared" si="2"/>
        <v>1</v>
      </c>
      <c r="B56" s="87"/>
      <c r="C56" s="192"/>
      <c r="D56" s="193"/>
      <c r="F56" s="186">
        <f t="shared" si="1"/>
        <v>0</v>
      </c>
      <c r="G56" s="186" t="str">
        <f>IF(IFERROR(IF(Str_TypeDonneesCpt8=Cpt_Index,Tab_Compteur_8[[#This Row],[Index]]-E55,Tab_Compteur_8[[#This Row],[Quantité]])/Tab_Compteur_8[[#This Row],[Delta Jour]],"")&lt;0,"",IFERROR(IF(Str_TypeDonneesCpt8=Cpt_Index,Tab_Compteur_8[[#This Row],[Index]]-E55,Tab_Compteur_8[[#This Row],[Quantité]])/Tab_Compteur_8[[#This Row],[Delta Jour]],""))</f>
        <v/>
      </c>
      <c r="H56" s="186" t="str">
        <f>IFERROR(Tab_Compteur_8[[#This Row],[Montant]]/Tab_Compteur_8[[#This Row],[Delta Jour]],"")</f>
        <v/>
      </c>
      <c r="I56" s="208" t="str">
        <f t="shared" si="0"/>
        <v/>
      </c>
      <c r="J56" s="209"/>
      <c r="K56" s="38"/>
      <c r="L56" s="38"/>
      <c r="M56" s="38"/>
    </row>
    <row r="57" spans="1:13">
      <c r="A57" s="464">
        <f t="shared" si="2"/>
        <v>1</v>
      </c>
      <c r="B57" s="87"/>
      <c r="C57" s="192"/>
      <c r="D57" s="193"/>
      <c r="F57" s="186">
        <f t="shared" si="1"/>
        <v>0</v>
      </c>
      <c r="G57" s="186" t="str">
        <f>IF(IFERROR(IF(Str_TypeDonneesCpt8=Cpt_Index,Tab_Compteur_8[[#This Row],[Index]]-E56,Tab_Compteur_8[[#This Row],[Quantité]])/Tab_Compteur_8[[#This Row],[Delta Jour]],"")&lt;0,"",IFERROR(IF(Str_TypeDonneesCpt8=Cpt_Index,Tab_Compteur_8[[#This Row],[Index]]-E56,Tab_Compteur_8[[#This Row],[Quantité]])/Tab_Compteur_8[[#This Row],[Delta Jour]],""))</f>
        <v/>
      </c>
      <c r="H57" s="186" t="str">
        <f>IFERROR(Tab_Compteur_8[[#This Row],[Montant]]/Tab_Compteur_8[[#This Row],[Delta Jour]],"")</f>
        <v/>
      </c>
      <c r="I57" s="208" t="str">
        <f t="shared" si="0"/>
        <v/>
      </c>
      <c r="J57" s="209"/>
      <c r="K57" s="38"/>
      <c r="L57" s="38"/>
      <c r="M57" s="38"/>
    </row>
    <row r="58" spans="1:13">
      <c r="A58" s="464">
        <f t="shared" si="2"/>
        <v>1</v>
      </c>
      <c r="B58" s="87"/>
      <c r="C58" s="192"/>
      <c r="D58" s="193"/>
      <c r="F58" s="186">
        <f t="shared" si="1"/>
        <v>0</v>
      </c>
      <c r="G58" s="186" t="str">
        <f>IF(IFERROR(IF(Str_TypeDonneesCpt8=Cpt_Index,Tab_Compteur_8[[#This Row],[Index]]-E57,Tab_Compteur_8[[#This Row],[Quantité]])/Tab_Compteur_8[[#This Row],[Delta Jour]],"")&lt;0,"",IFERROR(IF(Str_TypeDonneesCpt8=Cpt_Index,Tab_Compteur_8[[#This Row],[Index]]-E57,Tab_Compteur_8[[#This Row],[Quantité]])/Tab_Compteur_8[[#This Row],[Delta Jour]],""))</f>
        <v/>
      </c>
      <c r="H58" s="186" t="str">
        <f>IFERROR(Tab_Compteur_8[[#This Row],[Montant]]/Tab_Compteur_8[[#This Row],[Delta Jour]],"")</f>
        <v/>
      </c>
      <c r="I58" s="208" t="str">
        <f t="shared" si="0"/>
        <v/>
      </c>
      <c r="J58" s="209"/>
      <c r="K58" s="38"/>
      <c r="L58" s="38"/>
      <c r="M58" s="38"/>
    </row>
    <row r="59" spans="1:13">
      <c r="A59" s="464">
        <f t="shared" si="2"/>
        <v>1</v>
      </c>
      <c r="B59" s="87"/>
      <c r="C59" s="192"/>
      <c r="D59" s="193"/>
      <c r="F59" s="186">
        <f t="shared" si="1"/>
        <v>0</v>
      </c>
      <c r="G59" s="186" t="str">
        <f>IF(IFERROR(IF(Str_TypeDonneesCpt8=Cpt_Index,Tab_Compteur_8[[#This Row],[Index]]-E58,Tab_Compteur_8[[#This Row],[Quantité]])/Tab_Compteur_8[[#This Row],[Delta Jour]],"")&lt;0,"",IFERROR(IF(Str_TypeDonneesCpt8=Cpt_Index,Tab_Compteur_8[[#This Row],[Index]]-E58,Tab_Compteur_8[[#This Row],[Quantité]])/Tab_Compteur_8[[#This Row],[Delta Jour]],""))</f>
        <v/>
      </c>
      <c r="H59" s="186" t="str">
        <f>IFERROR(Tab_Compteur_8[[#This Row],[Montant]]/Tab_Compteur_8[[#This Row],[Delta Jour]],"")</f>
        <v/>
      </c>
      <c r="I59" s="208" t="str">
        <f t="shared" si="0"/>
        <v/>
      </c>
      <c r="J59" s="209"/>
      <c r="K59" s="38"/>
      <c r="L59" s="38"/>
      <c r="M59" s="38"/>
    </row>
    <row r="60" spans="1:13">
      <c r="A60" s="464">
        <f t="shared" si="2"/>
        <v>1</v>
      </c>
      <c r="B60" s="87"/>
      <c r="C60" s="189"/>
      <c r="D60" s="188"/>
      <c r="F60" s="186">
        <f t="shared" si="1"/>
        <v>0</v>
      </c>
      <c r="G60" s="186" t="str">
        <f>IF(IFERROR(IF(Str_TypeDonneesCpt8=Cpt_Index,Tab_Compteur_8[[#This Row],[Index]]-E59,Tab_Compteur_8[[#This Row],[Quantité]])/Tab_Compteur_8[[#This Row],[Delta Jour]],"")&lt;0,"",IFERROR(IF(Str_TypeDonneesCpt8=Cpt_Index,Tab_Compteur_8[[#This Row],[Index]]-E59,Tab_Compteur_8[[#This Row],[Quantité]])/Tab_Compteur_8[[#This Row],[Delta Jour]],""))</f>
        <v/>
      </c>
      <c r="H60" s="186" t="str">
        <f>IFERROR(Tab_Compteur_8[[#This Row],[Montant]]/Tab_Compteur_8[[#This Row],[Delta Jour]],"")</f>
        <v/>
      </c>
      <c r="I60" s="208" t="str">
        <f t="shared" si="0"/>
        <v/>
      </c>
      <c r="J60" s="209"/>
      <c r="K60" s="38"/>
      <c r="L60" s="38"/>
      <c r="M60" s="38"/>
    </row>
    <row r="61" spans="1:13">
      <c r="A61" s="464">
        <f t="shared" si="2"/>
        <v>1</v>
      </c>
      <c r="B61" s="87"/>
      <c r="C61" s="189"/>
      <c r="D61" s="188"/>
      <c r="F61" s="186">
        <f t="shared" si="1"/>
        <v>0</v>
      </c>
      <c r="G61" s="186" t="str">
        <f>IF(IFERROR(IF(Str_TypeDonneesCpt8=Cpt_Index,Tab_Compteur_8[[#This Row],[Index]]-E60,Tab_Compteur_8[[#This Row],[Quantité]])/Tab_Compteur_8[[#This Row],[Delta Jour]],"")&lt;0,"",IFERROR(IF(Str_TypeDonneesCpt8=Cpt_Index,Tab_Compteur_8[[#This Row],[Index]]-E60,Tab_Compteur_8[[#This Row],[Quantité]])/Tab_Compteur_8[[#This Row],[Delta Jour]],""))</f>
        <v/>
      </c>
      <c r="H61" s="186" t="str">
        <f>IFERROR(Tab_Compteur_8[[#This Row],[Montant]]/Tab_Compteur_8[[#This Row],[Delta Jour]],"")</f>
        <v/>
      </c>
      <c r="I61" s="208" t="str">
        <f t="shared" si="0"/>
        <v/>
      </c>
      <c r="J61" s="209"/>
      <c r="K61" s="38"/>
      <c r="L61" s="38"/>
      <c r="M61" s="38"/>
    </row>
    <row r="62" spans="1:13">
      <c r="A62" s="464">
        <f t="shared" si="2"/>
        <v>1</v>
      </c>
      <c r="B62" s="87"/>
      <c r="C62" s="189"/>
      <c r="D62" s="188"/>
      <c r="F62" s="186">
        <f t="shared" si="1"/>
        <v>0</v>
      </c>
      <c r="G62" s="186" t="str">
        <f>IF(IFERROR(IF(Str_TypeDonneesCpt8=Cpt_Index,Tab_Compteur_8[[#This Row],[Index]]-E61,Tab_Compteur_8[[#This Row],[Quantité]])/Tab_Compteur_8[[#This Row],[Delta Jour]],"")&lt;0,"",IFERROR(IF(Str_TypeDonneesCpt8=Cpt_Index,Tab_Compteur_8[[#This Row],[Index]]-E61,Tab_Compteur_8[[#This Row],[Quantité]])/Tab_Compteur_8[[#This Row],[Delta Jour]],""))</f>
        <v/>
      </c>
      <c r="H62" s="186" t="str">
        <f>IFERROR(Tab_Compteur_8[[#This Row],[Montant]]/Tab_Compteur_8[[#This Row],[Delta Jour]],"")</f>
        <v/>
      </c>
      <c r="I62" s="208" t="str">
        <f t="shared" si="0"/>
        <v/>
      </c>
      <c r="J62" s="209"/>
      <c r="K62" s="38"/>
      <c r="L62" s="38"/>
      <c r="M62" s="38"/>
    </row>
    <row r="63" spans="1:13">
      <c r="A63" s="464">
        <f t="shared" si="2"/>
        <v>1</v>
      </c>
      <c r="B63" s="87"/>
      <c r="C63" s="189"/>
      <c r="D63" s="188"/>
      <c r="F63" s="186">
        <f t="shared" si="1"/>
        <v>0</v>
      </c>
      <c r="G63" s="186" t="str">
        <f>IF(IFERROR(IF(Str_TypeDonneesCpt8=Cpt_Index,Tab_Compteur_8[[#This Row],[Index]]-E62,Tab_Compteur_8[[#This Row],[Quantité]])/Tab_Compteur_8[[#This Row],[Delta Jour]],"")&lt;0,"",IFERROR(IF(Str_TypeDonneesCpt8=Cpt_Index,Tab_Compteur_8[[#This Row],[Index]]-E62,Tab_Compteur_8[[#This Row],[Quantité]])/Tab_Compteur_8[[#This Row],[Delta Jour]],""))</f>
        <v/>
      </c>
      <c r="H63" s="186" t="str">
        <f>IFERROR(Tab_Compteur_8[[#This Row],[Montant]]/Tab_Compteur_8[[#This Row],[Delta Jour]],"")</f>
        <v/>
      </c>
      <c r="I63" s="208" t="str">
        <f t="shared" si="0"/>
        <v/>
      </c>
      <c r="J63" s="209"/>
      <c r="K63" s="38"/>
      <c r="L63" s="38"/>
      <c r="M63" s="38"/>
    </row>
    <row r="64" spans="1:13">
      <c r="A64" s="464">
        <f t="shared" si="2"/>
        <v>1</v>
      </c>
      <c r="B64" s="87"/>
      <c r="C64" s="189"/>
      <c r="D64" s="188"/>
      <c r="F64" s="186">
        <f t="shared" si="1"/>
        <v>0</v>
      </c>
      <c r="G64" s="186" t="str">
        <f>IF(IFERROR(IF(Str_TypeDonneesCpt8=Cpt_Index,Tab_Compteur_8[[#This Row],[Index]]-E63,Tab_Compteur_8[[#This Row],[Quantité]])/Tab_Compteur_8[[#This Row],[Delta Jour]],"")&lt;0,"",IFERROR(IF(Str_TypeDonneesCpt8=Cpt_Index,Tab_Compteur_8[[#This Row],[Index]]-E63,Tab_Compteur_8[[#This Row],[Quantité]])/Tab_Compteur_8[[#This Row],[Delta Jour]],""))</f>
        <v/>
      </c>
      <c r="H64" s="186" t="str">
        <f>IFERROR(Tab_Compteur_8[[#This Row],[Montant]]/Tab_Compteur_8[[#This Row],[Delta Jour]],"")</f>
        <v/>
      </c>
      <c r="I64" s="208" t="str">
        <f t="shared" si="0"/>
        <v/>
      </c>
      <c r="J64" s="209"/>
      <c r="K64" s="38"/>
      <c r="L64" s="38"/>
      <c r="M64" s="38"/>
    </row>
    <row r="65" spans="1:13">
      <c r="A65" s="464">
        <f t="shared" si="2"/>
        <v>1</v>
      </c>
      <c r="B65" s="87"/>
      <c r="C65" s="189"/>
      <c r="D65" s="188"/>
      <c r="F65" s="186">
        <f t="shared" si="1"/>
        <v>0</v>
      </c>
      <c r="G65" s="186" t="str">
        <f>IF(IFERROR(IF(Str_TypeDonneesCpt8=Cpt_Index,Tab_Compteur_8[[#This Row],[Index]]-E64,Tab_Compteur_8[[#This Row],[Quantité]])/Tab_Compteur_8[[#This Row],[Delta Jour]],"")&lt;0,"",IFERROR(IF(Str_TypeDonneesCpt8=Cpt_Index,Tab_Compteur_8[[#This Row],[Index]]-E64,Tab_Compteur_8[[#This Row],[Quantité]])/Tab_Compteur_8[[#This Row],[Delta Jour]],""))</f>
        <v/>
      </c>
      <c r="H65" s="186" t="str">
        <f>IFERROR(Tab_Compteur_8[[#This Row],[Montant]]/Tab_Compteur_8[[#This Row],[Delta Jour]],"")</f>
        <v/>
      </c>
      <c r="I65" s="208" t="str">
        <f t="shared" si="0"/>
        <v/>
      </c>
      <c r="J65" s="209"/>
      <c r="K65" s="38"/>
      <c r="L65" s="38"/>
      <c r="M65" s="38"/>
    </row>
    <row r="66" spans="1:13">
      <c r="A66" s="464">
        <f t="shared" si="2"/>
        <v>1</v>
      </c>
      <c r="B66" s="87"/>
      <c r="C66" s="189"/>
      <c r="D66" s="188"/>
      <c r="F66" s="186">
        <f t="shared" si="1"/>
        <v>0</v>
      </c>
      <c r="G66" s="186" t="str">
        <f>IF(IFERROR(IF(Str_TypeDonneesCpt8=Cpt_Index,Tab_Compteur_8[[#This Row],[Index]]-E65,Tab_Compteur_8[[#This Row],[Quantité]])/Tab_Compteur_8[[#This Row],[Delta Jour]],"")&lt;0,"",IFERROR(IF(Str_TypeDonneesCpt8=Cpt_Index,Tab_Compteur_8[[#This Row],[Index]]-E65,Tab_Compteur_8[[#This Row],[Quantité]])/Tab_Compteur_8[[#This Row],[Delta Jour]],""))</f>
        <v/>
      </c>
      <c r="H66" s="186" t="str">
        <f>IFERROR(Tab_Compteur_8[[#This Row],[Montant]]/Tab_Compteur_8[[#This Row],[Delta Jour]],"")</f>
        <v/>
      </c>
      <c r="I66" s="208" t="str">
        <f t="shared" si="0"/>
        <v/>
      </c>
      <c r="J66" s="209"/>
      <c r="K66" s="38"/>
      <c r="L66" s="38"/>
      <c r="M66" s="38"/>
    </row>
    <row r="67" spans="1:13">
      <c r="A67" s="464">
        <f t="shared" si="2"/>
        <v>1</v>
      </c>
      <c r="B67" s="87"/>
      <c r="C67" s="189"/>
      <c r="D67" s="188"/>
      <c r="F67" s="186">
        <f t="shared" si="1"/>
        <v>0</v>
      </c>
      <c r="G67" s="186" t="str">
        <f>IF(IFERROR(IF(Str_TypeDonneesCpt8=Cpt_Index,Tab_Compteur_8[[#This Row],[Index]]-E66,Tab_Compteur_8[[#This Row],[Quantité]])/Tab_Compteur_8[[#This Row],[Delta Jour]],"")&lt;0,"",IFERROR(IF(Str_TypeDonneesCpt8=Cpt_Index,Tab_Compteur_8[[#This Row],[Index]]-E66,Tab_Compteur_8[[#This Row],[Quantité]])/Tab_Compteur_8[[#This Row],[Delta Jour]],""))</f>
        <v/>
      </c>
      <c r="H67" s="186" t="str">
        <f>IFERROR(Tab_Compteur_8[[#This Row],[Montant]]/Tab_Compteur_8[[#This Row],[Delta Jour]],"")</f>
        <v/>
      </c>
      <c r="I67" s="208" t="str">
        <f t="shared" ref="I67:I130" si="3">G67</f>
        <v/>
      </c>
      <c r="J67" s="209"/>
      <c r="K67" s="38"/>
      <c r="L67" s="38"/>
      <c r="M67" s="38"/>
    </row>
    <row r="68" spans="1:13">
      <c r="A68" s="464">
        <f t="shared" si="2"/>
        <v>1</v>
      </c>
      <c r="B68" s="87"/>
      <c r="C68" s="189"/>
      <c r="D68" s="188"/>
      <c r="F68" s="186">
        <f t="shared" si="1"/>
        <v>0</v>
      </c>
      <c r="G68" s="186" t="str">
        <f>IF(IFERROR(IF(Str_TypeDonneesCpt8=Cpt_Index,Tab_Compteur_8[[#This Row],[Index]]-E67,Tab_Compteur_8[[#This Row],[Quantité]])/Tab_Compteur_8[[#This Row],[Delta Jour]],"")&lt;0,"",IFERROR(IF(Str_TypeDonneesCpt8=Cpt_Index,Tab_Compteur_8[[#This Row],[Index]]-E67,Tab_Compteur_8[[#This Row],[Quantité]])/Tab_Compteur_8[[#This Row],[Delta Jour]],""))</f>
        <v/>
      </c>
      <c r="H68" s="186" t="str">
        <f>IFERROR(Tab_Compteur_8[[#This Row],[Montant]]/Tab_Compteur_8[[#This Row],[Delta Jour]],"")</f>
        <v/>
      </c>
      <c r="I68" s="208" t="str">
        <f t="shared" si="3"/>
        <v/>
      </c>
      <c r="J68" s="209"/>
      <c r="K68" s="38"/>
      <c r="L68" s="38"/>
      <c r="M68" s="38"/>
    </row>
    <row r="69" spans="1:13">
      <c r="A69" s="464">
        <f t="shared" si="2"/>
        <v>1</v>
      </c>
      <c r="B69" s="87"/>
      <c r="C69" s="189"/>
      <c r="D69" s="188"/>
      <c r="F69" s="186">
        <f t="shared" ref="F69:F132" si="4">IFERROR(B69-A69+1,"")</f>
        <v>0</v>
      </c>
      <c r="G69" s="186" t="str">
        <f>IF(IFERROR(IF(Str_TypeDonneesCpt8=Cpt_Index,Tab_Compteur_8[[#This Row],[Index]]-E68,Tab_Compteur_8[[#This Row],[Quantité]])/Tab_Compteur_8[[#This Row],[Delta Jour]],"")&lt;0,"",IFERROR(IF(Str_TypeDonneesCpt8=Cpt_Index,Tab_Compteur_8[[#This Row],[Index]]-E68,Tab_Compteur_8[[#This Row],[Quantité]])/Tab_Compteur_8[[#This Row],[Delta Jour]],""))</f>
        <v/>
      </c>
      <c r="H69" s="186" t="str">
        <f>IFERROR(Tab_Compteur_8[[#This Row],[Montant]]/Tab_Compteur_8[[#This Row],[Delta Jour]],"")</f>
        <v/>
      </c>
      <c r="I69" s="208" t="str">
        <f t="shared" si="3"/>
        <v/>
      </c>
      <c r="J69" s="209"/>
      <c r="K69" s="38"/>
      <c r="L69" s="38"/>
      <c r="M69" s="38"/>
    </row>
    <row r="70" spans="1:13">
      <c r="A70" s="464">
        <f t="shared" ref="A70:A133" si="5">IFERROR(B69+1,0)</f>
        <v>1</v>
      </c>
      <c r="B70" s="87"/>
      <c r="C70" s="189"/>
      <c r="D70" s="188"/>
      <c r="F70" s="186">
        <f t="shared" si="4"/>
        <v>0</v>
      </c>
      <c r="G70" s="186" t="str">
        <f>IF(IFERROR(IF(Str_TypeDonneesCpt8=Cpt_Index,Tab_Compteur_8[[#This Row],[Index]]-E69,Tab_Compteur_8[[#This Row],[Quantité]])/Tab_Compteur_8[[#This Row],[Delta Jour]],"")&lt;0,"",IFERROR(IF(Str_TypeDonneesCpt8=Cpt_Index,Tab_Compteur_8[[#This Row],[Index]]-E69,Tab_Compteur_8[[#This Row],[Quantité]])/Tab_Compteur_8[[#This Row],[Delta Jour]],""))</f>
        <v/>
      </c>
      <c r="H70" s="186" t="str">
        <f>IFERROR(Tab_Compteur_8[[#This Row],[Montant]]/Tab_Compteur_8[[#This Row],[Delta Jour]],"")</f>
        <v/>
      </c>
      <c r="I70" s="208" t="str">
        <f t="shared" si="3"/>
        <v/>
      </c>
      <c r="J70" s="209"/>
      <c r="K70" s="38"/>
      <c r="L70" s="38"/>
      <c r="M70" s="38"/>
    </row>
    <row r="71" spans="1:13">
      <c r="A71" s="464">
        <f t="shared" si="5"/>
        <v>1</v>
      </c>
      <c r="B71" s="87"/>
      <c r="C71" s="189"/>
      <c r="D71" s="188"/>
      <c r="F71" s="186">
        <f t="shared" si="4"/>
        <v>0</v>
      </c>
      <c r="G71" s="186" t="str">
        <f>IF(IFERROR(IF(Str_TypeDonneesCpt8=Cpt_Index,Tab_Compteur_8[[#This Row],[Index]]-E70,Tab_Compteur_8[[#This Row],[Quantité]])/Tab_Compteur_8[[#This Row],[Delta Jour]],"")&lt;0,"",IFERROR(IF(Str_TypeDonneesCpt8=Cpt_Index,Tab_Compteur_8[[#This Row],[Index]]-E70,Tab_Compteur_8[[#This Row],[Quantité]])/Tab_Compteur_8[[#This Row],[Delta Jour]],""))</f>
        <v/>
      </c>
      <c r="H71" s="186" t="str">
        <f>IFERROR(Tab_Compteur_8[[#This Row],[Montant]]/Tab_Compteur_8[[#This Row],[Delta Jour]],"")</f>
        <v/>
      </c>
      <c r="I71" s="208" t="str">
        <f t="shared" si="3"/>
        <v/>
      </c>
      <c r="J71" s="209"/>
      <c r="K71" s="38"/>
      <c r="L71" s="38"/>
      <c r="M71" s="38"/>
    </row>
    <row r="72" spans="1:13">
      <c r="A72" s="464">
        <f t="shared" si="5"/>
        <v>1</v>
      </c>
      <c r="B72" s="87"/>
      <c r="C72" s="189"/>
      <c r="D72" s="188"/>
      <c r="F72" s="186">
        <f t="shared" si="4"/>
        <v>0</v>
      </c>
      <c r="G72" s="186" t="str">
        <f>IF(IFERROR(IF(Str_TypeDonneesCpt8=Cpt_Index,Tab_Compteur_8[[#This Row],[Index]]-E71,Tab_Compteur_8[[#This Row],[Quantité]])/Tab_Compteur_8[[#This Row],[Delta Jour]],"")&lt;0,"",IFERROR(IF(Str_TypeDonneesCpt8=Cpt_Index,Tab_Compteur_8[[#This Row],[Index]]-E71,Tab_Compteur_8[[#This Row],[Quantité]])/Tab_Compteur_8[[#This Row],[Delta Jour]],""))</f>
        <v/>
      </c>
      <c r="H72" s="186" t="str">
        <f>IFERROR(Tab_Compteur_8[[#This Row],[Montant]]/Tab_Compteur_8[[#This Row],[Delta Jour]],"")</f>
        <v/>
      </c>
      <c r="I72" s="208" t="str">
        <f t="shared" si="3"/>
        <v/>
      </c>
      <c r="J72" s="209"/>
      <c r="K72" s="38"/>
      <c r="L72" s="38"/>
      <c r="M72" s="38"/>
    </row>
    <row r="73" spans="1:13">
      <c r="A73" s="464">
        <f t="shared" si="5"/>
        <v>1</v>
      </c>
      <c r="B73" s="87"/>
      <c r="C73" s="189"/>
      <c r="D73" s="188"/>
      <c r="F73" s="186">
        <f t="shared" si="4"/>
        <v>0</v>
      </c>
      <c r="G73" s="186" t="str">
        <f>IF(IFERROR(IF(Str_TypeDonneesCpt8=Cpt_Index,Tab_Compteur_8[[#This Row],[Index]]-E72,Tab_Compteur_8[[#This Row],[Quantité]])/Tab_Compteur_8[[#This Row],[Delta Jour]],"")&lt;0,"",IFERROR(IF(Str_TypeDonneesCpt8=Cpt_Index,Tab_Compteur_8[[#This Row],[Index]]-E72,Tab_Compteur_8[[#This Row],[Quantité]])/Tab_Compteur_8[[#This Row],[Delta Jour]],""))</f>
        <v/>
      </c>
      <c r="H73" s="186" t="str">
        <f>IFERROR(Tab_Compteur_8[[#This Row],[Montant]]/Tab_Compteur_8[[#This Row],[Delta Jour]],"")</f>
        <v/>
      </c>
      <c r="I73" s="208" t="str">
        <f t="shared" si="3"/>
        <v/>
      </c>
      <c r="J73" s="209"/>
      <c r="K73" s="38"/>
      <c r="L73" s="38"/>
      <c r="M73" s="38"/>
    </row>
    <row r="74" spans="1:13">
      <c r="A74" s="464">
        <f t="shared" si="5"/>
        <v>1</v>
      </c>
      <c r="B74" s="87"/>
      <c r="C74" s="189"/>
      <c r="D74" s="188"/>
      <c r="F74" s="186">
        <f t="shared" si="4"/>
        <v>0</v>
      </c>
      <c r="G74" s="186" t="str">
        <f>IF(IFERROR(IF(Str_TypeDonneesCpt8=Cpt_Index,Tab_Compteur_8[[#This Row],[Index]]-E73,Tab_Compteur_8[[#This Row],[Quantité]])/Tab_Compteur_8[[#This Row],[Delta Jour]],"")&lt;0,"",IFERROR(IF(Str_TypeDonneesCpt8=Cpt_Index,Tab_Compteur_8[[#This Row],[Index]]-E73,Tab_Compteur_8[[#This Row],[Quantité]])/Tab_Compteur_8[[#This Row],[Delta Jour]],""))</f>
        <v/>
      </c>
      <c r="H74" s="186" t="str">
        <f>IFERROR(Tab_Compteur_8[[#This Row],[Montant]]/Tab_Compteur_8[[#This Row],[Delta Jour]],"")</f>
        <v/>
      </c>
      <c r="I74" s="208" t="str">
        <f t="shared" si="3"/>
        <v/>
      </c>
      <c r="J74" s="209"/>
      <c r="K74" s="38"/>
      <c r="L74" s="38"/>
      <c r="M74" s="38"/>
    </row>
    <row r="75" spans="1:13">
      <c r="A75" s="464">
        <f t="shared" si="5"/>
        <v>1</v>
      </c>
      <c r="B75" s="87"/>
      <c r="C75" s="189"/>
      <c r="D75" s="188"/>
      <c r="F75" s="186">
        <f t="shared" si="4"/>
        <v>0</v>
      </c>
      <c r="G75" s="186" t="str">
        <f>IF(IFERROR(IF(Str_TypeDonneesCpt8=Cpt_Index,Tab_Compteur_8[[#This Row],[Index]]-E74,Tab_Compteur_8[[#This Row],[Quantité]])/Tab_Compteur_8[[#This Row],[Delta Jour]],"")&lt;0,"",IFERROR(IF(Str_TypeDonneesCpt8=Cpt_Index,Tab_Compteur_8[[#This Row],[Index]]-E74,Tab_Compteur_8[[#This Row],[Quantité]])/Tab_Compteur_8[[#This Row],[Delta Jour]],""))</f>
        <v/>
      </c>
      <c r="H75" s="186" t="str">
        <f>IFERROR(Tab_Compteur_8[[#This Row],[Montant]]/Tab_Compteur_8[[#This Row],[Delta Jour]],"")</f>
        <v/>
      </c>
      <c r="I75" s="208" t="str">
        <f t="shared" si="3"/>
        <v/>
      </c>
      <c r="J75" s="209"/>
      <c r="K75" s="38"/>
      <c r="L75" s="38"/>
      <c r="M75" s="38"/>
    </row>
    <row r="76" spans="1:13">
      <c r="A76" s="464">
        <f t="shared" si="5"/>
        <v>1</v>
      </c>
      <c r="B76" s="87"/>
      <c r="C76" s="189"/>
      <c r="D76" s="188"/>
      <c r="F76" s="186">
        <f t="shared" si="4"/>
        <v>0</v>
      </c>
      <c r="G76" s="186" t="str">
        <f>IF(IFERROR(IF(Str_TypeDonneesCpt8=Cpt_Index,Tab_Compteur_8[[#This Row],[Index]]-E75,Tab_Compteur_8[[#This Row],[Quantité]])/Tab_Compteur_8[[#This Row],[Delta Jour]],"")&lt;0,"",IFERROR(IF(Str_TypeDonneesCpt8=Cpt_Index,Tab_Compteur_8[[#This Row],[Index]]-E75,Tab_Compteur_8[[#This Row],[Quantité]])/Tab_Compteur_8[[#This Row],[Delta Jour]],""))</f>
        <v/>
      </c>
      <c r="H76" s="186" t="str">
        <f>IFERROR(Tab_Compteur_8[[#This Row],[Montant]]/Tab_Compteur_8[[#This Row],[Delta Jour]],"")</f>
        <v/>
      </c>
      <c r="I76" s="208" t="str">
        <f t="shared" si="3"/>
        <v/>
      </c>
      <c r="J76" s="209"/>
      <c r="K76" s="38"/>
      <c r="L76" s="38"/>
      <c r="M76" s="38"/>
    </row>
    <row r="77" spans="1:13">
      <c r="A77" s="464">
        <f t="shared" si="5"/>
        <v>1</v>
      </c>
      <c r="B77" s="87"/>
      <c r="C77" s="189"/>
      <c r="D77" s="188"/>
      <c r="F77" s="186">
        <f t="shared" si="4"/>
        <v>0</v>
      </c>
      <c r="G77" s="186" t="str">
        <f>IF(IFERROR(IF(Str_TypeDonneesCpt8=Cpt_Index,Tab_Compteur_8[[#This Row],[Index]]-E76,Tab_Compteur_8[[#This Row],[Quantité]])/Tab_Compteur_8[[#This Row],[Delta Jour]],"")&lt;0,"",IFERROR(IF(Str_TypeDonneesCpt8=Cpt_Index,Tab_Compteur_8[[#This Row],[Index]]-E76,Tab_Compteur_8[[#This Row],[Quantité]])/Tab_Compteur_8[[#This Row],[Delta Jour]],""))</f>
        <v/>
      </c>
      <c r="H77" s="186" t="str">
        <f>IFERROR(Tab_Compteur_8[[#This Row],[Montant]]/Tab_Compteur_8[[#This Row],[Delta Jour]],"")</f>
        <v/>
      </c>
      <c r="I77" s="208" t="str">
        <f t="shared" si="3"/>
        <v/>
      </c>
      <c r="J77" s="209"/>
      <c r="K77" s="38"/>
      <c r="L77" s="38"/>
      <c r="M77" s="38"/>
    </row>
    <row r="78" spans="1:13">
      <c r="A78" s="464">
        <f t="shared" si="5"/>
        <v>1</v>
      </c>
      <c r="B78" s="87"/>
      <c r="C78" s="189"/>
      <c r="D78" s="188"/>
      <c r="F78" s="186">
        <f t="shared" si="4"/>
        <v>0</v>
      </c>
      <c r="G78" s="186" t="str">
        <f>IF(IFERROR(IF(Str_TypeDonneesCpt8=Cpt_Index,Tab_Compteur_8[[#This Row],[Index]]-E77,Tab_Compteur_8[[#This Row],[Quantité]])/Tab_Compteur_8[[#This Row],[Delta Jour]],"")&lt;0,"",IFERROR(IF(Str_TypeDonneesCpt8=Cpt_Index,Tab_Compteur_8[[#This Row],[Index]]-E77,Tab_Compteur_8[[#This Row],[Quantité]])/Tab_Compteur_8[[#This Row],[Delta Jour]],""))</f>
        <v/>
      </c>
      <c r="H78" s="186" t="str">
        <f>IFERROR(Tab_Compteur_8[[#This Row],[Montant]]/Tab_Compteur_8[[#This Row],[Delta Jour]],"")</f>
        <v/>
      </c>
      <c r="I78" s="208" t="str">
        <f t="shared" si="3"/>
        <v/>
      </c>
      <c r="J78" s="209"/>
      <c r="K78" s="38"/>
      <c r="L78" s="38"/>
      <c r="M78" s="38"/>
    </row>
    <row r="79" spans="1:13">
      <c r="A79" s="464">
        <f t="shared" si="5"/>
        <v>1</v>
      </c>
      <c r="B79" s="87"/>
      <c r="C79" s="189"/>
      <c r="D79" s="188"/>
      <c r="F79" s="186">
        <f t="shared" si="4"/>
        <v>0</v>
      </c>
      <c r="G79" s="186" t="str">
        <f>IF(IFERROR(IF(Str_TypeDonneesCpt8=Cpt_Index,Tab_Compteur_8[[#This Row],[Index]]-E78,Tab_Compteur_8[[#This Row],[Quantité]])/Tab_Compteur_8[[#This Row],[Delta Jour]],"")&lt;0,"",IFERROR(IF(Str_TypeDonneesCpt8=Cpt_Index,Tab_Compteur_8[[#This Row],[Index]]-E78,Tab_Compteur_8[[#This Row],[Quantité]])/Tab_Compteur_8[[#This Row],[Delta Jour]],""))</f>
        <v/>
      </c>
      <c r="H79" s="186" t="str">
        <f>IFERROR(Tab_Compteur_8[[#This Row],[Montant]]/Tab_Compteur_8[[#This Row],[Delta Jour]],"")</f>
        <v/>
      </c>
      <c r="I79" s="208" t="str">
        <f t="shared" si="3"/>
        <v/>
      </c>
      <c r="J79" s="209"/>
      <c r="K79" s="38"/>
      <c r="L79" s="38"/>
      <c r="M79" s="38"/>
    </row>
    <row r="80" spans="1:13">
      <c r="A80" s="464">
        <f t="shared" si="5"/>
        <v>1</v>
      </c>
      <c r="B80" s="87"/>
      <c r="C80" s="189"/>
      <c r="D80" s="188"/>
      <c r="F80" s="186">
        <f t="shared" si="4"/>
        <v>0</v>
      </c>
      <c r="G80" s="186" t="str">
        <f>IF(IFERROR(IF(Str_TypeDonneesCpt8=Cpt_Index,Tab_Compteur_8[[#This Row],[Index]]-E79,Tab_Compteur_8[[#This Row],[Quantité]])/Tab_Compteur_8[[#This Row],[Delta Jour]],"")&lt;0,"",IFERROR(IF(Str_TypeDonneesCpt8=Cpt_Index,Tab_Compteur_8[[#This Row],[Index]]-E79,Tab_Compteur_8[[#This Row],[Quantité]])/Tab_Compteur_8[[#This Row],[Delta Jour]],""))</f>
        <v/>
      </c>
      <c r="H80" s="186" t="str">
        <f>IFERROR(Tab_Compteur_8[[#This Row],[Montant]]/Tab_Compteur_8[[#This Row],[Delta Jour]],"")</f>
        <v/>
      </c>
      <c r="I80" s="208" t="str">
        <f t="shared" si="3"/>
        <v/>
      </c>
      <c r="J80" s="209"/>
      <c r="K80" s="38"/>
      <c r="L80" s="38"/>
      <c r="M80" s="38"/>
    </row>
    <row r="81" spans="1:13">
      <c r="A81" s="464">
        <f t="shared" si="5"/>
        <v>1</v>
      </c>
      <c r="B81" s="87"/>
      <c r="C81" s="189"/>
      <c r="D81" s="188"/>
      <c r="F81" s="186">
        <f t="shared" si="4"/>
        <v>0</v>
      </c>
      <c r="G81" s="186" t="str">
        <f>IF(IFERROR(IF(Str_TypeDonneesCpt8=Cpt_Index,Tab_Compteur_8[[#This Row],[Index]]-E80,Tab_Compteur_8[[#This Row],[Quantité]])/Tab_Compteur_8[[#This Row],[Delta Jour]],"")&lt;0,"",IFERROR(IF(Str_TypeDonneesCpt8=Cpt_Index,Tab_Compteur_8[[#This Row],[Index]]-E80,Tab_Compteur_8[[#This Row],[Quantité]])/Tab_Compteur_8[[#This Row],[Delta Jour]],""))</f>
        <v/>
      </c>
      <c r="H81" s="186" t="str">
        <f>IFERROR(Tab_Compteur_8[[#This Row],[Montant]]/Tab_Compteur_8[[#This Row],[Delta Jour]],"")</f>
        <v/>
      </c>
      <c r="I81" s="208" t="str">
        <f t="shared" si="3"/>
        <v/>
      </c>
      <c r="J81" s="209"/>
      <c r="K81" s="38"/>
      <c r="L81" s="38"/>
      <c r="M81" s="38"/>
    </row>
    <row r="82" spans="1:13">
      <c r="A82" s="464">
        <f t="shared" si="5"/>
        <v>1</v>
      </c>
      <c r="B82" s="87"/>
      <c r="C82" s="189"/>
      <c r="D82" s="188"/>
      <c r="F82" s="186">
        <f t="shared" si="4"/>
        <v>0</v>
      </c>
      <c r="G82" s="186" t="str">
        <f>IF(IFERROR(IF(Str_TypeDonneesCpt8=Cpt_Index,Tab_Compteur_8[[#This Row],[Index]]-E81,Tab_Compteur_8[[#This Row],[Quantité]])/Tab_Compteur_8[[#This Row],[Delta Jour]],"")&lt;0,"",IFERROR(IF(Str_TypeDonneesCpt8=Cpt_Index,Tab_Compteur_8[[#This Row],[Index]]-E81,Tab_Compteur_8[[#This Row],[Quantité]])/Tab_Compteur_8[[#This Row],[Delta Jour]],""))</f>
        <v/>
      </c>
      <c r="H82" s="186" t="str">
        <f>IFERROR(Tab_Compteur_8[[#This Row],[Montant]]/Tab_Compteur_8[[#This Row],[Delta Jour]],"")</f>
        <v/>
      </c>
      <c r="I82" s="208" t="str">
        <f t="shared" si="3"/>
        <v/>
      </c>
      <c r="J82" s="209"/>
      <c r="K82" s="38"/>
      <c r="L82" s="38"/>
      <c r="M82" s="38"/>
    </row>
    <row r="83" spans="1:13">
      <c r="A83" s="464">
        <f t="shared" si="5"/>
        <v>1</v>
      </c>
      <c r="B83" s="87"/>
      <c r="C83" s="189"/>
      <c r="D83" s="188"/>
      <c r="F83" s="186">
        <f t="shared" si="4"/>
        <v>0</v>
      </c>
      <c r="G83" s="186" t="str">
        <f>IF(IFERROR(IF(Str_TypeDonneesCpt8=Cpt_Index,Tab_Compteur_8[[#This Row],[Index]]-E82,Tab_Compteur_8[[#This Row],[Quantité]])/Tab_Compteur_8[[#This Row],[Delta Jour]],"")&lt;0,"",IFERROR(IF(Str_TypeDonneesCpt8=Cpt_Index,Tab_Compteur_8[[#This Row],[Index]]-E82,Tab_Compteur_8[[#This Row],[Quantité]])/Tab_Compteur_8[[#This Row],[Delta Jour]],""))</f>
        <v/>
      </c>
      <c r="H83" s="186" t="str">
        <f>IFERROR(Tab_Compteur_8[[#This Row],[Montant]]/Tab_Compteur_8[[#This Row],[Delta Jour]],"")</f>
        <v/>
      </c>
      <c r="I83" s="208" t="str">
        <f t="shared" si="3"/>
        <v/>
      </c>
      <c r="J83" s="209"/>
      <c r="K83" s="38"/>
      <c r="L83" s="38"/>
      <c r="M83" s="38"/>
    </row>
    <row r="84" spans="1:13">
      <c r="A84" s="464">
        <f t="shared" si="5"/>
        <v>1</v>
      </c>
      <c r="B84" s="87"/>
      <c r="C84" s="189"/>
      <c r="D84" s="188"/>
      <c r="F84" s="186">
        <f t="shared" si="4"/>
        <v>0</v>
      </c>
      <c r="G84" s="186" t="str">
        <f>IF(IFERROR(IF(Str_TypeDonneesCpt8=Cpt_Index,Tab_Compteur_8[[#This Row],[Index]]-E83,Tab_Compteur_8[[#This Row],[Quantité]])/Tab_Compteur_8[[#This Row],[Delta Jour]],"")&lt;0,"",IFERROR(IF(Str_TypeDonneesCpt8=Cpt_Index,Tab_Compteur_8[[#This Row],[Index]]-E83,Tab_Compteur_8[[#This Row],[Quantité]])/Tab_Compteur_8[[#This Row],[Delta Jour]],""))</f>
        <v/>
      </c>
      <c r="H84" s="186" t="str">
        <f>IFERROR(Tab_Compteur_8[[#This Row],[Montant]]/Tab_Compteur_8[[#This Row],[Delta Jour]],"")</f>
        <v/>
      </c>
      <c r="I84" s="208" t="str">
        <f t="shared" si="3"/>
        <v/>
      </c>
      <c r="J84" s="209"/>
      <c r="K84" s="38"/>
      <c r="L84" s="38"/>
      <c r="M84" s="38"/>
    </row>
    <row r="85" spans="1:13">
      <c r="A85" s="464">
        <f t="shared" si="5"/>
        <v>1</v>
      </c>
      <c r="B85" s="87"/>
      <c r="C85" s="189"/>
      <c r="D85" s="188"/>
      <c r="F85" s="186">
        <f t="shared" si="4"/>
        <v>0</v>
      </c>
      <c r="G85" s="186" t="str">
        <f>IF(IFERROR(IF(Str_TypeDonneesCpt8=Cpt_Index,Tab_Compteur_8[[#This Row],[Index]]-E84,Tab_Compteur_8[[#This Row],[Quantité]])/Tab_Compteur_8[[#This Row],[Delta Jour]],"")&lt;0,"",IFERROR(IF(Str_TypeDonneesCpt8=Cpt_Index,Tab_Compteur_8[[#This Row],[Index]]-E84,Tab_Compteur_8[[#This Row],[Quantité]])/Tab_Compteur_8[[#This Row],[Delta Jour]],""))</f>
        <v/>
      </c>
      <c r="H85" s="186" t="str">
        <f>IFERROR(Tab_Compteur_8[[#This Row],[Montant]]/Tab_Compteur_8[[#This Row],[Delta Jour]],"")</f>
        <v/>
      </c>
      <c r="I85" s="208" t="str">
        <f t="shared" si="3"/>
        <v/>
      </c>
      <c r="J85" s="209"/>
      <c r="K85" s="38"/>
      <c r="L85" s="38"/>
      <c r="M85" s="38"/>
    </row>
    <row r="86" spans="1:13">
      <c r="A86" s="464">
        <f t="shared" si="5"/>
        <v>1</v>
      </c>
      <c r="B86" s="87"/>
      <c r="C86" s="189"/>
      <c r="D86" s="188"/>
      <c r="F86" s="186">
        <f t="shared" si="4"/>
        <v>0</v>
      </c>
      <c r="G86" s="186" t="str">
        <f>IF(IFERROR(IF(Str_TypeDonneesCpt8=Cpt_Index,Tab_Compteur_8[[#This Row],[Index]]-E85,Tab_Compteur_8[[#This Row],[Quantité]])/Tab_Compteur_8[[#This Row],[Delta Jour]],"")&lt;0,"",IFERROR(IF(Str_TypeDonneesCpt8=Cpt_Index,Tab_Compteur_8[[#This Row],[Index]]-E85,Tab_Compteur_8[[#This Row],[Quantité]])/Tab_Compteur_8[[#This Row],[Delta Jour]],""))</f>
        <v/>
      </c>
      <c r="H86" s="186" t="str">
        <f>IFERROR(Tab_Compteur_8[[#This Row],[Montant]]/Tab_Compteur_8[[#This Row],[Delta Jour]],"")</f>
        <v/>
      </c>
      <c r="I86" s="208" t="str">
        <f t="shared" si="3"/>
        <v/>
      </c>
      <c r="J86" s="209"/>
      <c r="K86" s="38"/>
      <c r="L86" s="38"/>
      <c r="M86" s="38"/>
    </row>
    <row r="87" spans="1:13">
      <c r="A87" s="464">
        <f t="shared" si="5"/>
        <v>1</v>
      </c>
      <c r="B87" s="87"/>
      <c r="C87" s="189"/>
      <c r="D87" s="188"/>
      <c r="F87" s="186">
        <f t="shared" si="4"/>
        <v>0</v>
      </c>
      <c r="G87" s="186" t="str">
        <f>IF(IFERROR(IF(Str_TypeDonneesCpt8=Cpt_Index,Tab_Compteur_8[[#This Row],[Index]]-E86,Tab_Compteur_8[[#This Row],[Quantité]])/Tab_Compteur_8[[#This Row],[Delta Jour]],"")&lt;0,"",IFERROR(IF(Str_TypeDonneesCpt8=Cpt_Index,Tab_Compteur_8[[#This Row],[Index]]-E86,Tab_Compteur_8[[#This Row],[Quantité]])/Tab_Compteur_8[[#This Row],[Delta Jour]],""))</f>
        <v/>
      </c>
      <c r="H87" s="186" t="str">
        <f>IFERROR(Tab_Compteur_8[[#This Row],[Montant]]/Tab_Compteur_8[[#This Row],[Delta Jour]],"")</f>
        <v/>
      </c>
      <c r="I87" s="208" t="str">
        <f t="shared" si="3"/>
        <v/>
      </c>
      <c r="J87" s="209"/>
      <c r="K87" s="38"/>
      <c r="L87" s="38"/>
      <c r="M87" s="38"/>
    </row>
    <row r="88" spans="1:13">
      <c r="A88" s="464">
        <f t="shared" si="5"/>
        <v>1</v>
      </c>
      <c r="B88" s="87"/>
      <c r="C88" s="189"/>
      <c r="D88" s="188"/>
      <c r="F88" s="186">
        <f t="shared" si="4"/>
        <v>0</v>
      </c>
      <c r="G88" s="186" t="str">
        <f>IF(IFERROR(IF(Str_TypeDonneesCpt8=Cpt_Index,Tab_Compteur_8[[#This Row],[Index]]-E87,Tab_Compteur_8[[#This Row],[Quantité]])/Tab_Compteur_8[[#This Row],[Delta Jour]],"")&lt;0,"",IFERROR(IF(Str_TypeDonneesCpt8=Cpt_Index,Tab_Compteur_8[[#This Row],[Index]]-E87,Tab_Compteur_8[[#This Row],[Quantité]])/Tab_Compteur_8[[#This Row],[Delta Jour]],""))</f>
        <v/>
      </c>
      <c r="H88" s="186" t="str">
        <f>IFERROR(Tab_Compteur_8[[#This Row],[Montant]]/Tab_Compteur_8[[#This Row],[Delta Jour]],"")</f>
        <v/>
      </c>
      <c r="I88" s="208" t="str">
        <f t="shared" si="3"/>
        <v/>
      </c>
      <c r="J88" s="209"/>
      <c r="K88" s="38"/>
      <c r="L88" s="38"/>
      <c r="M88" s="38"/>
    </row>
    <row r="89" spans="1:13">
      <c r="A89" s="464">
        <f t="shared" si="5"/>
        <v>1</v>
      </c>
      <c r="B89" s="87"/>
      <c r="C89" s="189"/>
      <c r="D89" s="188"/>
      <c r="F89" s="186">
        <f t="shared" si="4"/>
        <v>0</v>
      </c>
      <c r="G89" s="186" t="str">
        <f>IF(IFERROR(IF(Str_TypeDonneesCpt8=Cpt_Index,Tab_Compteur_8[[#This Row],[Index]]-E88,Tab_Compteur_8[[#This Row],[Quantité]])/Tab_Compteur_8[[#This Row],[Delta Jour]],"")&lt;0,"",IFERROR(IF(Str_TypeDonneesCpt8=Cpt_Index,Tab_Compteur_8[[#This Row],[Index]]-E88,Tab_Compteur_8[[#This Row],[Quantité]])/Tab_Compteur_8[[#This Row],[Delta Jour]],""))</f>
        <v/>
      </c>
      <c r="H89" s="186" t="str">
        <f>IFERROR(Tab_Compteur_8[[#This Row],[Montant]]/Tab_Compteur_8[[#This Row],[Delta Jour]],"")</f>
        <v/>
      </c>
      <c r="I89" s="208" t="str">
        <f t="shared" si="3"/>
        <v/>
      </c>
      <c r="J89" s="209"/>
      <c r="K89" s="38"/>
      <c r="L89" s="38"/>
      <c r="M89" s="38"/>
    </row>
    <row r="90" spans="1:13">
      <c r="A90" s="464">
        <f t="shared" si="5"/>
        <v>1</v>
      </c>
      <c r="B90" s="87"/>
      <c r="C90" s="189"/>
      <c r="D90" s="188"/>
      <c r="F90" s="186">
        <f t="shared" si="4"/>
        <v>0</v>
      </c>
      <c r="G90" s="186" t="str">
        <f>IF(IFERROR(IF(Str_TypeDonneesCpt8=Cpt_Index,Tab_Compteur_8[[#This Row],[Index]]-E89,Tab_Compteur_8[[#This Row],[Quantité]])/Tab_Compteur_8[[#This Row],[Delta Jour]],"")&lt;0,"",IFERROR(IF(Str_TypeDonneesCpt8=Cpt_Index,Tab_Compteur_8[[#This Row],[Index]]-E89,Tab_Compteur_8[[#This Row],[Quantité]])/Tab_Compteur_8[[#This Row],[Delta Jour]],""))</f>
        <v/>
      </c>
      <c r="H90" s="186" t="str">
        <f>IFERROR(Tab_Compteur_8[[#This Row],[Montant]]/Tab_Compteur_8[[#This Row],[Delta Jour]],"")</f>
        <v/>
      </c>
      <c r="I90" s="208" t="str">
        <f t="shared" si="3"/>
        <v/>
      </c>
      <c r="J90" s="209"/>
      <c r="K90" s="38"/>
      <c r="L90" s="38"/>
      <c r="M90" s="38"/>
    </row>
    <row r="91" spans="1:13">
      <c r="A91" s="464">
        <f t="shared" si="5"/>
        <v>1</v>
      </c>
      <c r="B91" s="87"/>
      <c r="C91" s="189"/>
      <c r="D91" s="188"/>
      <c r="F91" s="186">
        <f t="shared" si="4"/>
        <v>0</v>
      </c>
      <c r="G91" s="186" t="str">
        <f>IF(IFERROR(IF(Str_TypeDonneesCpt8=Cpt_Index,Tab_Compteur_8[[#This Row],[Index]]-E90,Tab_Compteur_8[[#This Row],[Quantité]])/Tab_Compteur_8[[#This Row],[Delta Jour]],"")&lt;0,"",IFERROR(IF(Str_TypeDonneesCpt8=Cpt_Index,Tab_Compteur_8[[#This Row],[Index]]-E90,Tab_Compteur_8[[#This Row],[Quantité]])/Tab_Compteur_8[[#This Row],[Delta Jour]],""))</f>
        <v/>
      </c>
      <c r="H91" s="186" t="str">
        <f>IFERROR(Tab_Compteur_8[[#This Row],[Montant]]/Tab_Compteur_8[[#This Row],[Delta Jour]],"")</f>
        <v/>
      </c>
      <c r="I91" s="208" t="str">
        <f t="shared" si="3"/>
        <v/>
      </c>
      <c r="J91" s="209"/>
      <c r="K91" s="38"/>
      <c r="L91" s="38"/>
      <c r="M91" s="38"/>
    </row>
    <row r="92" spans="1:13">
      <c r="A92" s="464">
        <f t="shared" si="5"/>
        <v>1</v>
      </c>
      <c r="B92" s="87"/>
      <c r="C92" s="189"/>
      <c r="D92" s="188"/>
      <c r="F92" s="186">
        <f t="shared" si="4"/>
        <v>0</v>
      </c>
      <c r="G92" s="186" t="str">
        <f>IF(IFERROR(IF(Str_TypeDonneesCpt8=Cpt_Index,Tab_Compteur_8[[#This Row],[Index]]-E91,Tab_Compteur_8[[#This Row],[Quantité]])/Tab_Compteur_8[[#This Row],[Delta Jour]],"")&lt;0,"",IFERROR(IF(Str_TypeDonneesCpt8=Cpt_Index,Tab_Compteur_8[[#This Row],[Index]]-E91,Tab_Compteur_8[[#This Row],[Quantité]])/Tab_Compteur_8[[#This Row],[Delta Jour]],""))</f>
        <v/>
      </c>
      <c r="H92" s="186" t="str">
        <f>IFERROR(Tab_Compteur_8[[#This Row],[Montant]]/Tab_Compteur_8[[#This Row],[Delta Jour]],"")</f>
        <v/>
      </c>
      <c r="I92" s="208" t="str">
        <f t="shared" si="3"/>
        <v/>
      </c>
      <c r="J92" s="209"/>
      <c r="K92" s="38"/>
      <c r="L92" s="38"/>
      <c r="M92" s="38"/>
    </row>
    <row r="93" spans="1:13">
      <c r="A93" s="464">
        <f t="shared" si="5"/>
        <v>1</v>
      </c>
      <c r="B93" s="87"/>
      <c r="C93" s="189"/>
      <c r="D93" s="188"/>
      <c r="F93" s="186">
        <f t="shared" si="4"/>
        <v>0</v>
      </c>
      <c r="G93" s="186" t="str">
        <f>IF(IFERROR(IF(Str_TypeDonneesCpt8=Cpt_Index,Tab_Compteur_8[[#This Row],[Index]]-E92,Tab_Compteur_8[[#This Row],[Quantité]])/Tab_Compteur_8[[#This Row],[Delta Jour]],"")&lt;0,"",IFERROR(IF(Str_TypeDonneesCpt8=Cpt_Index,Tab_Compteur_8[[#This Row],[Index]]-E92,Tab_Compteur_8[[#This Row],[Quantité]])/Tab_Compteur_8[[#This Row],[Delta Jour]],""))</f>
        <v/>
      </c>
      <c r="H93" s="186" t="str">
        <f>IFERROR(Tab_Compteur_8[[#This Row],[Montant]]/Tab_Compteur_8[[#This Row],[Delta Jour]],"")</f>
        <v/>
      </c>
      <c r="I93" s="208" t="str">
        <f t="shared" si="3"/>
        <v/>
      </c>
      <c r="J93" s="209"/>
      <c r="K93" s="38"/>
      <c r="L93" s="38"/>
      <c r="M93" s="38"/>
    </row>
    <row r="94" spans="1:13">
      <c r="A94" s="464">
        <f t="shared" si="5"/>
        <v>1</v>
      </c>
      <c r="B94" s="87"/>
      <c r="C94" s="189"/>
      <c r="D94" s="188"/>
      <c r="F94" s="186">
        <f t="shared" si="4"/>
        <v>0</v>
      </c>
      <c r="G94" s="186" t="str">
        <f>IF(IFERROR(IF(Str_TypeDonneesCpt8=Cpt_Index,Tab_Compteur_8[[#This Row],[Index]]-E93,Tab_Compteur_8[[#This Row],[Quantité]])/Tab_Compteur_8[[#This Row],[Delta Jour]],"")&lt;0,"",IFERROR(IF(Str_TypeDonneesCpt8=Cpt_Index,Tab_Compteur_8[[#This Row],[Index]]-E93,Tab_Compteur_8[[#This Row],[Quantité]])/Tab_Compteur_8[[#This Row],[Delta Jour]],""))</f>
        <v/>
      </c>
      <c r="H94" s="186" t="str">
        <f>IFERROR(Tab_Compteur_8[[#This Row],[Montant]]/Tab_Compteur_8[[#This Row],[Delta Jour]],"")</f>
        <v/>
      </c>
      <c r="I94" s="208" t="str">
        <f t="shared" si="3"/>
        <v/>
      </c>
      <c r="J94" s="209"/>
      <c r="K94" s="38"/>
      <c r="L94" s="38"/>
      <c r="M94" s="38"/>
    </row>
    <row r="95" spans="1:13">
      <c r="A95" s="464">
        <f t="shared" si="5"/>
        <v>1</v>
      </c>
      <c r="B95" s="87"/>
      <c r="C95" s="189"/>
      <c r="D95" s="188"/>
      <c r="F95" s="186">
        <f t="shared" si="4"/>
        <v>0</v>
      </c>
      <c r="G95" s="186" t="str">
        <f>IF(IFERROR(IF(Str_TypeDonneesCpt8=Cpt_Index,Tab_Compteur_8[[#This Row],[Index]]-E94,Tab_Compteur_8[[#This Row],[Quantité]])/Tab_Compteur_8[[#This Row],[Delta Jour]],"")&lt;0,"",IFERROR(IF(Str_TypeDonneesCpt8=Cpt_Index,Tab_Compteur_8[[#This Row],[Index]]-E94,Tab_Compteur_8[[#This Row],[Quantité]])/Tab_Compteur_8[[#This Row],[Delta Jour]],""))</f>
        <v/>
      </c>
      <c r="H95" s="186" t="str">
        <f>IFERROR(Tab_Compteur_8[[#This Row],[Montant]]/Tab_Compteur_8[[#This Row],[Delta Jour]],"")</f>
        <v/>
      </c>
      <c r="I95" s="208" t="str">
        <f t="shared" si="3"/>
        <v/>
      </c>
      <c r="J95" s="209"/>
      <c r="K95" s="38"/>
      <c r="L95" s="38"/>
      <c r="M95" s="38"/>
    </row>
    <row r="96" spans="1:13">
      <c r="A96" s="464">
        <f t="shared" si="5"/>
        <v>1</v>
      </c>
      <c r="B96" s="87"/>
      <c r="C96" s="189"/>
      <c r="D96" s="188"/>
      <c r="F96" s="186">
        <f t="shared" si="4"/>
        <v>0</v>
      </c>
      <c r="G96" s="186" t="str">
        <f>IF(IFERROR(IF(Str_TypeDonneesCpt8=Cpt_Index,Tab_Compteur_8[[#This Row],[Index]]-E95,Tab_Compteur_8[[#This Row],[Quantité]])/Tab_Compteur_8[[#This Row],[Delta Jour]],"")&lt;0,"",IFERROR(IF(Str_TypeDonneesCpt8=Cpt_Index,Tab_Compteur_8[[#This Row],[Index]]-E95,Tab_Compteur_8[[#This Row],[Quantité]])/Tab_Compteur_8[[#This Row],[Delta Jour]],""))</f>
        <v/>
      </c>
      <c r="H96" s="186" t="str">
        <f>IFERROR(Tab_Compteur_8[[#This Row],[Montant]]/Tab_Compteur_8[[#This Row],[Delta Jour]],"")</f>
        <v/>
      </c>
      <c r="I96" s="208" t="str">
        <f t="shared" si="3"/>
        <v/>
      </c>
      <c r="J96" s="209"/>
      <c r="K96" s="38"/>
      <c r="L96" s="38"/>
      <c r="M96" s="38"/>
    </row>
    <row r="97" spans="1:13">
      <c r="A97" s="464">
        <f t="shared" si="5"/>
        <v>1</v>
      </c>
      <c r="B97" s="87"/>
      <c r="C97" s="189"/>
      <c r="D97" s="188"/>
      <c r="F97" s="186">
        <f t="shared" si="4"/>
        <v>0</v>
      </c>
      <c r="G97" s="186" t="str">
        <f>IF(IFERROR(IF(Str_TypeDonneesCpt8=Cpt_Index,Tab_Compteur_8[[#This Row],[Index]]-E96,Tab_Compteur_8[[#This Row],[Quantité]])/Tab_Compteur_8[[#This Row],[Delta Jour]],"")&lt;0,"",IFERROR(IF(Str_TypeDonneesCpt8=Cpt_Index,Tab_Compteur_8[[#This Row],[Index]]-E96,Tab_Compteur_8[[#This Row],[Quantité]])/Tab_Compteur_8[[#This Row],[Delta Jour]],""))</f>
        <v/>
      </c>
      <c r="H97" s="186" t="str">
        <f>IFERROR(Tab_Compteur_8[[#This Row],[Montant]]/Tab_Compteur_8[[#This Row],[Delta Jour]],"")</f>
        <v/>
      </c>
      <c r="I97" s="208" t="str">
        <f t="shared" si="3"/>
        <v/>
      </c>
      <c r="J97" s="209"/>
      <c r="K97" s="38"/>
      <c r="L97" s="38"/>
      <c r="M97" s="38"/>
    </row>
    <row r="98" spans="1:13">
      <c r="A98" s="464">
        <f t="shared" si="5"/>
        <v>1</v>
      </c>
      <c r="B98" s="87"/>
      <c r="C98" s="189"/>
      <c r="D98" s="188"/>
      <c r="F98" s="186">
        <f t="shared" si="4"/>
        <v>0</v>
      </c>
      <c r="G98" s="186" t="str">
        <f>IF(IFERROR(IF(Str_TypeDonneesCpt8=Cpt_Index,Tab_Compteur_8[[#This Row],[Index]]-E97,Tab_Compteur_8[[#This Row],[Quantité]])/Tab_Compteur_8[[#This Row],[Delta Jour]],"")&lt;0,"",IFERROR(IF(Str_TypeDonneesCpt8=Cpt_Index,Tab_Compteur_8[[#This Row],[Index]]-E97,Tab_Compteur_8[[#This Row],[Quantité]])/Tab_Compteur_8[[#This Row],[Delta Jour]],""))</f>
        <v/>
      </c>
      <c r="H98" s="186" t="str">
        <f>IFERROR(Tab_Compteur_8[[#This Row],[Montant]]/Tab_Compteur_8[[#This Row],[Delta Jour]],"")</f>
        <v/>
      </c>
      <c r="I98" s="208" t="str">
        <f t="shared" si="3"/>
        <v/>
      </c>
      <c r="J98" s="209"/>
      <c r="K98" s="38"/>
      <c r="L98" s="38"/>
      <c r="M98" s="38"/>
    </row>
    <row r="99" spans="1:13">
      <c r="A99" s="464">
        <f t="shared" si="5"/>
        <v>1</v>
      </c>
      <c r="B99" s="87"/>
      <c r="C99" s="189"/>
      <c r="D99" s="188"/>
      <c r="F99" s="186">
        <f t="shared" si="4"/>
        <v>0</v>
      </c>
      <c r="G99" s="186" t="str">
        <f>IF(IFERROR(IF(Str_TypeDonneesCpt8=Cpt_Index,Tab_Compteur_8[[#This Row],[Index]]-E98,Tab_Compteur_8[[#This Row],[Quantité]])/Tab_Compteur_8[[#This Row],[Delta Jour]],"")&lt;0,"",IFERROR(IF(Str_TypeDonneesCpt8=Cpt_Index,Tab_Compteur_8[[#This Row],[Index]]-E98,Tab_Compteur_8[[#This Row],[Quantité]])/Tab_Compteur_8[[#This Row],[Delta Jour]],""))</f>
        <v/>
      </c>
      <c r="H99" s="186" t="str">
        <f>IFERROR(Tab_Compteur_8[[#This Row],[Montant]]/Tab_Compteur_8[[#This Row],[Delta Jour]],"")</f>
        <v/>
      </c>
      <c r="I99" s="208" t="str">
        <f t="shared" si="3"/>
        <v/>
      </c>
      <c r="J99" s="209"/>
      <c r="K99" s="38"/>
      <c r="L99" s="38"/>
      <c r="M99" s="38"/>
    </row>
    <row r="100" spans="1:13">
      <c r="A100" s="464">
        <f t="shared" si="5"/>
        <v>1</v>
      </c>
      <c r="B100" s="87"/>
      <c r="C100" s="189"/>
      <c r="D100" s="188"/>
      <c r="F100" s="186">
        <f t="shared" si="4"/>
        <v>0</v>
      </c>
      <c r="G100" s="186" t="str">
        <f>IF(IFERROR(IF(Str_TypeDonneesCpt8=Cpt_Index,Tab_Compteur_8[[#This Row],[Index]]-E99,Tab_Compteur_8[[#This Row],[Quantité]])/Tab_Compteur_8[[#This Row],[Delta Jour]],"")&lt;0,"",IFERROR(IF(Str_TypeDonneesCpt8=Cpt_Index,Tab_Compteur_8[[#This Row],[Index]]-E99,Tab_Compteur_8[[#This Row],[Quantité]])/Tab_Compteur_8[[#This Row],[Delta Jour]],""))</f>
        <v/>
      </c>
      <c r="H100" s="186" t="str">
        <f>IFERROR(Tab_Compteur_8[[#This Row],[Montant]]/Tab_Compteur_8[[#This Row],[Delta Jour]],"")</f>
        <v/>
      </c>
      <c r="I100" s="208" t="str">
        <f t="shared" si="3"/>
        <v/>
      </c>
      <c r="J100" s="209"/>
      <c r="K100" s="38"/>
      <c r="L100" s="38"/>
      <c r="M100" s="38"/>
    </row>
    <row r="101" spans="1:13">
      <c r="A101" s="464">
        <f t="shared" si="5"/>
        <v>1</v>
      </c>
      <c r="B101" s="87"/>
      <c r="C101" s="189"/>
      <c r="D101" s="188"/>
      <c r="F101" s="186">
        <f t="shared" si="4"/>
        <v>0</v>
      </c>
      <c r="G101" s="186" t="str">
        <f>IF(IFERROR(IF(Str_TypeDonneesCpt8=Cpt_Index,Tab_Compteur_8[[#This Row],[Index]]-E100,Tab_Compteur_8[[#This Row],[Quantité]])/Tab_Compteur_8[[#This Row],[Delta Jour]],"")&lt;0,"",IFERROR(IF(Str_TypeDonneesCpt8=Cpt_Index,Tab_Compteur_8[[#This Row],[Index]]-E100,Tab_Compteur_8[[#This Row],[Quantité]])/Tab_Compteur_8[[#This Row],[Delta Jour]],""))</f>
        <v/>
      </c>
      <c r="H101" s="186" t="str">
        <f>IFERROR(Tab_Compteur_8[[#This Row],[Montant]]/Tab_Compteur_8[[#This Row],[Delta Jour]],"")</f>
        <v/>
      </c>
      <c r="I101" s="208" t="str">
        <f t="shared" si="3"/>
        <v/>
      </c>
      <c r="J101" s="209"/>
      <c r="K101" s="38"/>
      <c r="L101" s="38"/>
      <c r="M101" s="38"/>
    </row>
    <row r="102" spans="1:13">
      <c r="A102" s="464">
        <f t="shared" si="5"/>
        <v>1</v>
      </c>
      <c r="B102" s="87"/>
      <c r="C102" s="189"/>
      <c r="D102" s="188"/>
      <c r="F102" s="186">
        <f t="shared" si="4"/>
        <v>0</v>
      </c>
      <c r="G102" s="186" t="str">
        <f>IF(IFERROR(IF(Str_TypeDonneesCpt8=Cpt_Index,Tab_Compteur_8[[#This Row],[Index]]-E101,Tab_Compteur_8[[#This Row],[Quantité]])/Tab_Compteur_8[[#This Row],[Delta Jour]],"")&lt;0,"",IFERROR(IF(Str_TypeDonneesCpt8=Cpt_Index,Tab_Compteur_8[[#This Row],[Index]]-E101,Tab_Compteur_8[[#This Row],[Quantité]])/Tab_Compteur_8[[#This Row],[Delta Jour]],""))</f>
        <v/>
      </c>
      <c r="H102" s="186" t="str">
        <f>IFERROR(Tab_Compteur_8[[#This Row],[Montant]]/Tab_Compteur_8[[#This Row],[Delta Jour]],"")</f>
        <v/>
      </c>
      <c r="I102" s="208" t="str">
        <f t="shared" si="3"/>
        <v/>
      </c>
      <c r="J102" s="209"/>
      <c r="K102" s="38"/>
      <c r="L102" s="38"/>
      <c r="M102" s="38"/>
    </row>
    <row r="103" spans="1:13">
      <c r="A103" s="464">
        <f t="shared" si="5"/>
        <v>1</v>
      </c>
      <c r="B103" s="87"/>
      <c r="C103" s="189"/>
      <c r="D103" s="188"/>
      <c r="F103" s="186">
        <f t="shared" si="4"/>
        <v>0</v>
      </c>
      <c r="G103" s="186" t="str">
        <f>IF(IFERROR(IF(Str_TypeDonneesCpt8=Cpt_Index,Tab_Compteur_8[[#This Row],[Index]]-E102,Tab_Compteur_8[[#This Row],[Quantité]])/Tab_Compteur_8[[#This Row],[Delta Jour]],"")&lt;0,"",IFERROR(IF(Str_TypeDonneesCpt8=Cpt_Index,Tab_Compteur_8[[#This Row],[Index]]-E102,Tab_Compteur_8[[#This Row],[Quantité]])/Tab_Compteur_8[[#This Row],[Delta Jour]],""))</f>
        <v/>
      </c>
      <c r="H103" s="186" t="str">
        <f>IFERROR(Tab_Compteur_8[[#This Row],[Montant]]/Tab_Compteur_8[[#This Row],[Delta Jour]],"")</f>
        <v/>
      </c>
      <c r="I103" s="208" t="str">
        <f t="shared" si="3"/>
        <v/>
      </c>
      <c r="J103" s="209"/>
      <c r="K103" s="38"/>
      <c r="L103" s="38"/>
      <c r="M103" s="38"/>
    </row>
    <row r="104" spans="1:13">
      <c r="A104" s="464">
        <f t="shared" si="5"/>
        <v>1</v>
      </c>
      <c r="B104" s="87"/>
      <c r="C104" s="189"/>
      <c r="D104" s="188"/>
      <c r="F104" s="186">
        <f t="shared" si="4"/>
        <v>0</v>
      </c>
      <c r="G104" s="186" t="str">
        <f>IF(IFERROR(IF(Str_TypeDonneesCpt8=Cpt_Index,Tab_Compteur_8[[#This Row],[Index]]-E103,Tab_Compteur_8[[#This Row],[Quantité]])/Tab_Compteur_8[[#This Row],[Delta Jour]],"")&lt;0,"",IFERROR(IF(Str_TypeDonneesCpt8=Cpt_Index,Tab_Compteur_8[[#This Row],[Index]]-E103,Tab_Compteur_8[[#This Row],[Quantité]])/Tab_Compteur_8[[#This Row],[Delta Jour]],""))</f>
        <v/>
      </c>
      <c r="H104" s="186" t="str">
        <f>IFERROR(Tab_Compteur_8[[#This Row],[Montant]]/Tab_Compteur_8[[#This Row],[Delta Jour]],"")</f>
        <v/>
      </c>
      <c r="I104" s="208" t="str">
        <f t="shared" si="3"/>
        <v/>
      </c>
      <c r="J104" s="209"/>
      <c r="K104" s="38"/>
      <c r="L104" s="38"/>
      <c r="M104" s="38"/>
    </row>
    <row r="105" spans="1:13">
      <c r="A105" s="464">
        <f t="shared" si="5"/>
        <v>1</v>
      </c>
      <c r="B105" s="87"/>
      <c r="C105" s="189"/>
      <c r="D105" s="188"/>
      <c r="F105" s="186">
        <f t="shared" si="4"/>
        <v>0</v>
      </c>
      <c r="G105" s="186" t="str">
        <f>IF(IFERROR(IF(Str_TypeDonneesCpt8=Cpt_Index,Tab_Compteur_8[[#This Row],[Index]]-E104,Tab_Compteur_8[[#This Row],[Quantité]])/Tab_Compteur_8[[#This Row],[Delta Jour]],"")&lt;0,"",IFERROR(IF(Str_TypeDonneesCpt8=Cpt_Index,Tab_Compteur_8[[#This Row],[Index]]-E104,Tab_Compteur_8[[#This Row],[Quantité]])/Tab_Compteur_8[[#This Row],[Delta Jour]],""))</f>
        <v/>
      </c>
      <c r="H105" s="186" t="str">
        <f>IFERROR(Tab_Compteur_8[[#This Row],[Montant]]/Tab_Compteur_8[[#This Row],[Delta Jour]],"")</f>
        <v/>
      </c>
      <c r="I105" s="208" t="str">
        <f t="shared" si="3"/>
        <v/>
      </c>
      <c r="J105" s="209"/>
      <c r="K105" s="38"/>
      <c r="L105" s="38"/>
      <c r="M105" s="38"/>
    </row>
    <row r="106" spans="1:13">
      <c r="A106" s="464">
        <f t="shared" si="5"/>
        <v>1</v>
      </c>
      <c r="B106" s="87"/>
      <c r="C106" s="189"/>
      <c r="D106" s="188"/>
      <c r="F106" s="186">
        <f t="shared" si="4"/>
        <v>0</v>
      </c>
      <c r="G106" s="186" t="str">
        <f>IF(IFERROR(IF(Str_TypeDonneesCpt8=Cpt_Index,Tab_Compteur_8[[#This Row],[Index]]-E105,Tab_Compteur_8[[#This Row],[Quantité]])/Tab_Compteur_8[[#This Row],[Delta Jour]],"")&lt;0,"",IFERROR(IF(Str_TypeDonneesCpt8=Cpt_Index,Tab_Compteur_8[[#This Row],[Index]]-E105,Tab_Compteur_8[[#This Row],[Quantité]])/Tab_Compteur_8[[#This Row],[Delta Jour]],""))</f>
        <v/>
      </c>
      <c r="H106" s="186" t="str">
        <f>IFERROR(Tab_Compteur_8[[#This Row],[Montant]]/Tab_Compteur_8[[#This Row],[Delta Jour]],"")</f>
        <v/>
      </c>
      <c r="I106" s="208" t="str">
        <f t="shared" si="3"/>
        <v/>
      </c>
      <c r="J106" s="209"/>
      <c r="K106" s="38"/>
      <c r="L106" s="38"/>
      <c r="M106" s="38"/>
    </row>
    <row r="107" spans="1:13">
      <c r="A107" s="464">
        <f t="shared" si="5"/>
        <v>1</v>
      </c>
      <c r="B107" s="87"/>
      <c r="C107" s="189"/>
      <c r="D107" s="188"/>
      <c r="F107" s="186">
        <f t="shared" si="4"/>
        <v>0</v>
      </c>
      <c r="G107" s="186" t="str">
        <f>IF(IFERROR(IF(Str_TypeDonneesCpt8=Cpt_Index,Tab_Compteur_8[[#This Row],[Index]]-E106,Tab_Compteur_8[[#This Row],[Quantité]])/Tab_Compteur_8[[#This Row],[Delta Jour]],"")&lt;0,"",IFERROR(IF(Str_TypeDonneesCpt8=Cpt_Index,Tab_Compteur_8[[#This Row],[Index]]-E106,Tab_Compteur_8[[#This Row],[Quantité]])/Tab_Compteur_8[[#This Row],[Delta Jour]],""))</f>
        <v/>
      </c>
      <c r="H107" s="186" t="str">
        <f>IFERROR(Tab_Compteur_8[[#This Row],[Montant]]/Tab_Compteur_8[[#This Row],[Delta Jour]],"")</f>
        <v/>
      </c>
      <c r="I107" s="208" t="str">
        <f t="shared" si="3"/>
        <v/>
      </c>
      <c r="J107" s="209"/>
      <c r="K107" s="38"/>
      <c r="L107" s="38"/>
      <c r="M107" s="38"/>
    </row>
    <row r="108" spans="1:13">
      <c r="A108" s="464">
        <f t="shared" si="5"/>
        <v>1</v>
      </c>
      <c r="B108" s="87"/>
      <c r="C108" s="189"/>
      <c r="D108" s="188"/>
      <c r="F108" s="186">
        <f t="shared" si="4"/>
        <v>0</v>
      </c>
      <c r="G108" s="186" t="str">
        <f>IF(IFERROR(IF(Str_TypeDonneesCpt8=Cpt_Index,Tab_Compteur_8[[#This Row],[Index]]-E107,Tab_Compteur_8[[#This Row],[Quantité]])/Tab_Compteur_8[[#This Row],[Delta Jour]],"")&lt;0,"",IFERROR(IF(Str_TypeDonneesCpt8=Cpt_Index,Tab_Compteur_8[[#This Row],[Index]]-E107,Tab_Compteur_8[[#This Row],[Quantité]])/Tab_Compteur_8[[#This Row],[Delta Jour]],""))</f>
        <v/>
      </c>
      <c r="H108" s="186" t="str">
        <f>IFERROR(Tab_Compteur_8[[#This Row],[Montant]]/Tab_Compteur_8[[#This Row],[Delta Jour]],"")</f>
        <v/>
      </c>
      <c r="I108" s="208" t="str">
        <f t="shared" si="3"/>
        <v/>
      </c>
      <c r="J108" s="209"/>
      <c r="K108" s="38"/>
      <c r="L108" s="38"/>
      <c r="M108" s="38"/>
    </row>
    <row r="109" spans="1:13">
      <c r="A109" s="464">
        <f t="shared" si="5"/>
        <v>1</v>
      </c>
      <c r="B109" s="87"/>
      <c r="C109" s="189"/>
      <c r="D109" s="188"/>
      <c r="F109" s="186">
        <f t="shared" si="4"/>
        <v>0</v>
      </c>
      <c r="G109" s="186" t="str">
        <f>IF(IFERROR(IF(Str_TypeDonneesCpt8=Cpt_Index,Tab_Compteur_8[[#This Row],[Index]]-E108,Tab_Compteur_8[[#This Row],[Quantité]])/Tab_Compteur_8[[#This Row],[Delta Jour]],"")&lt;0,"",IFERROR(IF(Str_TypeDonneesCpt8=Cpt_Index,Tab_Compteur_8[[#This Row],[Index]]-E108,Tab_Compteur_8[[#This Row],[Quantité]])/Tab_Compteur_8[[#This Row],[Delta Jour]],""))</f>
        <v/>
      </c>
      <c r="H109" s="186" t="str">
        <f>IFERROR(Tab_Compteur_8[[#This Row],[Montant]]/Tab_Compteur_8[[#This Row],[Delta Jour]],"")</f>
        <v/>
      </c>
      <c r="I109" s="208" t="str">
        <f t="shared" si="3"/>
        <v/>
      </c>
      <c r="J109" s="209"/>
      <c r="K109" s="38"/>
      <c r="L109" s="38"/>
      <c r="M109" s="38"/>
    </row>
    <row r="110" spans="1:13">
      <c r="A110" s="464">
        <f t="shared" si="5"/>
        <v>1</v>
      </c>
      <c r="B110" s="87"/>
      <c r="C110" s="189"/>
      <c r="D110" s="188"/>
      <c r="F110" s="186">
        <f t="shared" si="4"/>
        <v>0</v>
      </c>
      <c r="G110" s="186" t="str">
        <f>IF(IFERROR(IF(Str_TypeDonneesCpt8=Cpt_Index,Tab_Compteur_8[[#This Row],[Index]]-E109,Tab_Compteur_8[[#This Row],[Quantité]])/Tab_Compteur_8[[#This Row],[Delta Jour]],"")&lt;0,"",IFERROR(IF(Str_TypeDonneesCpt8=Cpt_Index,Tab_Compteur_8[[#This Row],[Index]]-E109,Tab_Compteur_8[[#This Row],[Quantité]])/Tab_Compteur_8[[#This Row],[Delta Jour]],""))</f>
        <v/>
      </c>
      <c r="H110" s="186" t="str">
        <f>IFERROR(Tab_Compteur_8[[#This Row],[Montant]]/Tab_Compteur_8[[#This Row],[Delta Jour]],"")</f>
        <v/>
      </c>
      <c r="I110" s="208" t="str">
        <f t="shared" si="3"/>
        <v/>
      </c>
      <c r="J110" s="209"/>
      <c r="K110" s="38"/>
      <c r="L110" s="38"/>
      <c r="M110" s="38"/>
    </row>
    <row r="111" spans="1:13">
      <c r="A111" s="464">
        <f t="shared" si="5"/>
        <v>1</v>
      </c>
      <c r="B111" s="87"/>
      <c r="C111" s="189"/>
      <c r="D111" s="188"/>
      <c r="F111" s="186">
        <f t="shared" si="4"/>
        <v>0</v>
      </c>
      <c r="G111" s="186" t="str">
        <f>IF(IFERROR(IF(Str_TypeDonneesCpt8=Cpt_Index,Tab_Compteur_8[[#This Row],[Index]]-E110,Tab_Compteur_8[[#This Row],[Quantité]])/Tab_Compteur_8[[#This Row],[Delta Jour]],"")&lt;0,"",IFERROR(IF(Str_TypeDonneesCpt8=Cpt_Index,Tab_Compteur_8[[#This Row],[Index]]-E110,Tab_Compteur_8[[#This Row],[Quantité]])/Tab_Compteur_8[[#This Row],[Delta Jour]],""))</f>
        <v/>
      </c>
      <c r="H111" s="186" t="str">
        <f>IFERROR(Tab_Compteur_8[[#This Row],[Montant]]/Tab_Compteur_8[[#This Row],[Delta Jour]],"")</f>
        <v/>
      </c>
      <c r="I111" s="208" t="str">
        <f t="shared" si="3"/>
        <v/>
      </c>
      <c r="J111" s="209"/>
      <c r="K111" s="38"/>
      <c r="L111" s="38"/>
      <c r="M111" s="38"/>
    </row>
    <row r="112" spans="1:13">
      <c r="A112" s="464">
        <f t="shared" si="5"/>
        <v>1</v>
      </c>
      <c r="B112" s="87"/>
      <c r="C112" s="189"/>
      <c r="D112" s="188"/>
      <c r="F112" s="186">
        <f t="shared" si="4"/>
        <v>0</v>
      </c>
      <c r="G112" s="186" t="str">
        <f>IF(IFERROR(IF(Str_TypeDonneesCpt8=Cpt_Index,Tab_Compteur_8[[#This Row],[Index]]-E111,Tab_Compteur_8[[#This Row],[Quantité]])/Tab_Compteur_8[[#This Row],[Delta Jour]],"")&lt;0,"",IFERROR(IF(Str_TypeDonneesCpt8=Cpt_Index,Tab_Compteur_8[[#This Row],[Index]]-E111,Tab_Compteur_8[[#This Row],[Quantité]])/Tab_Compteur_8[[#This Row],[Delta Jour]],""))</f>
        <v/>
      </c>
      <c r="H112" s="186" t="str">
        <f>IFERROR(Tab_Compteur_8[[#This Row],[Montant]]/Tab_Compteur_8[[#This Row],[Delta Jour]],"")</f>
        <v/>
      </c>
      <c r="I112" s="208" t="str">
        <f t="shared" si="3"/>
        <v/>
      </c>
      <c r="J112" s="209"/>
      <c r="K112" s="38"/>
      <c r="L112" s="38"/>
      <c r="M112" s="38"/>
    </row>
    <row r="113" spans="1:13">
      <c r="A113" s="464">
        <f t="shared" si="5"/>
        <v>1</v>
      </c>
      <c r="B113" s="87"/>
      <c r="C113" s="189"/>
      <c r="D113" s="188"/>
      <c r="F113" s="186">
        <f t="shared" si="4"/>
        <v>0</v>
      </c>
      <c r="G113" s="186" t="str">
        <f>IF(IFERROR(IF(Str_TypeDonneesCpt8=Cpt_Index,Tab_Compteur_8[[#This Row],[Index]]-E112,Tab_Compteur_8[[#This Row],[Quantité]])/Tab_Compteur_8[[#This Row],[Delta Jour]],"")&lt;0,"",IFERROR(IF(Str_TypeDonneesCpt8=Cpt_Index,Tab_Compteur_8[[#This Row],[Index]]-E112,Tab_Compteur_8[[#This Row],[Quantité]])/Tab_Compteur_8[[#This Row],[Delta Jour]],""))</f>
        <v/>
      </c>
      <c r="H113" s="186" t="str">
        <f>IFERROR(Tab_Compteur_8[[#This Row],[Montant]]/Tab_Compteur_8[[#This Row],[Delta Jour]],"")</f>
        <v/>
      </c>
      <c r="I113" s="208" t="str">
        <f t="shared" si="3"/>
        <v/>
      </c>
      <c r="J113" s="209"/>
      <c r="K113" s="38"/>
      <c r="L113" s="38"/>
      <c r="M113" s="38"/>
    </row>
    <row r="114" spans="1:13">
      <c r="A114" s="464">
        <f t="shared" si="5"/>
        <v>1</v>
      </c>
      <c r="B114" s="87"/>
      <c r="C114" s="189"/>
      <c r="D114" s="188"/>
      <c r="F114" s="186">
        <f t="shared" si="4"/>
        <v>0</v>
      </c>
      <c r="G114" s="186" t="str">
        <f>IF(IFERROR(IF(Str_TypeDonneesCpt8=Cpt_Index,Tab_Compteur_8[[#This Row],[Index]]-E113,Tab_Compteur_8[[#This Row],[Quantité]])/Tab_Compteur_8[[#This Row],[Delta Jour]],"")&lt;0,"",IFERROR(IF(Str_TypeDonneesCpt8=Cpt_Index,Tab_Compteur_8[[#This Row],[Index]]-E113,Tab_Compteur_8[[#This Row],[Quantité]])/Tab_Compteur_8[[#This Row],[Delta Jour]],""))</f>
        <v/>
      </c>
      <c r="H114" s="186" t="str">
        <f>IFERROR(Tab_Compteur_8[[#This Row],[Montant]]/Tab_Compteur_8[[#This Row],[Delta Jour]],"")</f>
        <v/>
      </c>
      <c r="I114" s="208" t="str">
        <f t="shared" si="3"/>
        <v/>
      </c>
      <c r="J114" s="209"/>
      <c r="K114" s="38"/>
      <c r="L114" s="38"/>
      <c r="M114" s="38"/>
    </row>
    <row r="115" spans="1:13">
      <c r="A115" s="464">
        <f t="shared" si="5"/>
        <v>1</v>
      </c>
      <c r="B115" s="87"/>
      <c r="C115" s="189"/>
      <c r="D115" s="188"/>
      <c r="F115" s="186">
        <f t="shared" si="4"/>
        <v>0</v>
      </c>
      <c r="G115" s="186" t="str">
        <f>IF(IFERROR(IF(Str_TypeDonneesCpt8=Cpt_Index,Tab_Compteur_8[[#This Row],[Index]]-E114,Tab_Compteur_8[[#This Row],[Quantité]])/Tab_Compteur_8[[#This Row],[Delta Jour]],"")&lt;0,"",IFERROR(IF(Str_TypeDonneesCpt8=Cpt_Index,Tab_Compteur_8[[#This Row],[Index]]-E114,Tab_Compteur_8[[#This Row],[Quantité]])/Tab_Compteur_8[[#This Row],[Delta Jour]],""))</f>
        <v/>
      </c>
      <c r="H115" s="186" t="str">
        <f>IFERROR(Tab_Compteur_8[[#This Row],[Montant]]/Tab_Compteur_8[[#This Row],[Delta Jour]],"")</f>
        <v/>
      </c>
      <c r="I115" s="208" t="str">
        <f t="shared" si="3"/>
        <v/>
      </c>
      <c r="J115" s="209"/>
      <c r="K115" s="38"/>
      <c r="L115" s="38"/>
      <c r="M115" s="38"/>
    </row>
    <row r="116" spans="1:13">
      <c r="A116" s="464">
        <f t="shared" si="5"/>
        <v>1</v>
      </c>
      <c r="B116" s="87"/>
      <c r="C116" s="189"/>
      <c r="D116" s="188"/>
      <c r="F116" s="186">
        <f t="shared" si="4"/>
        <v>0</v>
      </c>
      <c r="G116" s="186" t="str">
        <f>IF(IFERROR(IF(Str_TypeDonneesCpt8=Cpt_Index,Tab_Compteur_8[[#This Row],[Index]]-E115,Tab_Compteur_8[[#This Row],[Quantité]])/Tab_Compteur_8[[#This Row],[Delta Jour]],"")&lt;0,"",IFERROR(IF(Str_TypeDonneesCpt8=Cpt_Index,Tab_Compteur_8[[#This Row],[Index]]-E115,Tab_Compteur_8[[#This Row],[Quantité]])/Tab_Compteur_8[[#This Row],[Delta Jour]],""))</f>
        <v/>
      </c>
      <c r="H116" s="186" t="str">
        <f>IFERROR(Tab_Compteur_8[[#This Row],[Montant]]/Tab_Compteur_8[[#This Row],[Delta Jour]],"")</f>
        <v/>
      </c>
      <c r="I116" s="208" t="str">
        <f t="shared" si="3"/>
        <v/>
      </c>
      <c r="J116" s="209"/>
      <c r="K116" s="38"/>
      <c r="L116" s="38"/>
      <c r="M116" s="38"/>
    </row>
    <row r="117" spans="1:13">
      <c r="A117" s="464">
        <f t="shared" si="5"/>
        <v>1</v>
      </c>
      <c r="B117" s="87"/>
      <c r="C117" s="189"/>
      <c r="D117" s="188"/>
      <c r="F117" s="186">
        <f t="shared" si="4"/>
        <v>0</v>
      </c>
      <c r="G117" s="186" t="str">
        <f>IF(IFERROR(IF(Str_TypeDonneesCpt8=Cpt_Index,Tab_Compteur_8[[#This Row],[Index]]-E116,Tab_Compteur_8[[#This Row],[Quantité]])/Tab_Compteur_8[[#This Row],[Delta Jour]],"")&lt;0,"",IFERROR(IF(Str_TypeDonneesCpt8=Cpt_Index,Tab_Compteur_8[[#This Row],[Index]]-E116,Tab_Compteur_8[[#This Row],[Quantité]])/Tab_Compteur_8[[#This Row],[Delta Jour]],""))</f>
        <v/>
      </c>
      <c r="H117" s="186" t="str">
        <f>IFERROR(Tab_Compteur_8[[#This Row],[Montant]]/Tab_Compteur_8[[#This Row],[Delta Jour]],"")</f>
        <v/>
      </c>
      <c r="I117" s="208" t="str">
        <f t="shared" si="3"/>
        <v/>
      </c>
      <c r="J117" s="209"/>
      <c r="K117" s="38"/>
      <c r="L117" s="38"/>
      <c r="M117" s="38"/>
    </row>
    <row r="118" spans="1:13">
      <c r="A118" s="464">
        <f t="shared" si="5"/>
        <v>1</v>
      </c>
      <c r="B118" s="87"/>
      <c r="C118" s="189"/>
      <c r="D118" s="188"/>
      <c r="F118" s="186">
        <f t="shared" si="4"/>
        <v>0</v>
      </c>
      <c r="G118" s="186" t="str">
        <f>IF(IFERROR(IF(Str_TypeDonneesCpt8=Cpt_Index,Tab_Compteur_8[[#This Row],[Index]]-E117,Tab_Compteur_8[[#This Row],[Quantité]])/Tab_Compteur_8[[#This Row],[Delta Jour]],"")&lt;0,"",IFERROR(IF(Str_TypeDonneesCpt8=Cpt_Index,Tab_Compteur_8[[#This Row],[Index]]-E117,Tab_Compteur_8[[#This Row],[Quantité]])/Tab_Compteur_8[[#This Row],[Delta Jour]],""))</f>
        <v/>
      </c>
      <c r="H118" s="186" t="str">
        <f>IFERROR(Tab_Compteur_8[[#This Row],[Montant]]/Tab_Compteur_8[[#This Row],[Delta Jour]],"")</f>
        <v/>
      </c>
      <c r="I118" s="208" t="str">
        <f t="shared" si="3"/>
        <v/>
      </c>
      <c r="J118" s="209"/>
      <c r="K118" s="38"/>
      <c r="L118" s="38"/>
      <c r="M118" s="38"/>
    </row>
    <row r="119" spans="1:13">
      <c r="A119" s="464">
        <f t="shared" si="5"/>
        <v>1</v>
      </c>
      <c r="B119" s="87"/>
      <c r="C119" s="189"/>
      <c r="D119" s="188"/>
      <c r="F119" s="186">
        <f t="shared" si="4"/>
        <v>0</v>
      </c>
      <c r="G119" s="186" t="str">
        <f>IF(IFERROR(IF(Str_TypeDonneesCpt8=Cpt_Index,Tab_Compteur_8[[#This Row],[Index]]-E118,Tab_Compteur_8[[#This Row],[Quantité]])/Tab_Compteur_8[[#This Row],[Delta Jour]],"")&lt;0,"",IFERROR(IF(Str_TypeDonneesCpt8=Cpt_Index,Tab_Compteur_8[[#This Row],[Index]]-E118,Tab_Compteur_8[[#This Row],[Quantité]])/Tab_Compteur_8[[#This Row],[Delta Jour]],""))</f>
        <v/>
      </c>
      <c r="H119" s="186" t="str">
        <f>IFERROR(Tab_Compteur_8[[#This Row],[Montant]]/Tab_Compteur_8[[#This Row],[Delta Jour]],"")</f>
        <v/>
      </c>
      <c r="I119" s="208" t="str">
        <f t="shared" si="3"/>
        <v/>
      </c>
      <c r="J119" s="209"/>
      <c r="K119" s="38"/>
      <c r="L119" s="38"/>
      <c r="M119" s="38"/>
    </row>
    <row r="120" spans="1:13">
      <c r="A120" s="464">
        <f t="shared" si="5"/>
        <v>1</v>
      </c>
      <c r="B120" s="87"/>
      <c r="C120" s="189"/>
      <c r="D120" s="188"/>
      <c r="F120" s="186">
        <f t="shared" si="4"/>
        <v>0</v>
      </c>
      <c r="G120" s="186" t="str">
        <f>IF(IFERROR(IF(Str_TypeDonneesCpt8=Cpt_Index,Tab_Compteur_8[[#This Row],[Index]]-E119,Tab_Compteur_8[[#This Row],[Quantité]])/Tab_Compteur_8[[#This Row],[Delta Jour]],"")&lt;0,"",IFERROR(IF(Str_TypeDonneesCpt8=Cpt_Index,Tab_Compteur_8[[#This Row],[Index]]-E119,Tab_Compteur_8[[#This Row],[Quantité]])/Tab_Compteur_8[[#This Row],[Delta Jour]],""))</f>
        <v/>
      </c>
      <c r="H120" s="186" t="str">
        <f>IFERROR(Tab_Compteur_8[[#This Row],[Montant]]/Tab_Compteur_8[[#This Row],[Delta Jour]],"")</f>
        <v/>
      </c>
      <c r="I120" s="208" t="str">
        <f t="shared" si="3"/>
        <v/>
      </c>
      <c r="J120" s="209"/>
      <c r="K120" s="38"/>
      <c r="L120" s="38"/>
      <c r="M120" s="38"/>
    </row>
    <row r="121" spans="1:13">
      <c r="A121" s="464">
        <f t="shared" si="5"/>
        <v>1</v>
      </c>
      <c r="B121" s="87"/>
      <c r="C121" s="189"/>
      <c r="D121" s="188"/>
      <c r="F121" s="186">
        <f t="shared" si="4"/>
        <v>0</v>
      </c>
      <c r="G121" s="186" t="str">
        <f>IF(IFERROR(IF(Str_TypeDonneesCpt8=Cpt_Index,Tab_Compteur_8[[#This Row],[Index]]-E120,Tab_Compteur_8[[#This Row],[Quantité]])/Tab_Compteur_8[[#This Row],[Delta Jour]],"")&lt;0,"",IFERROR(IF(Str_TypeDonneesCpt8=Cpt_Index,Tab_Compteur_8[[#This Row],[Index]]-E120,Tab_Compteur_8[[#This Row],[Quantité]])/Tab_Compteur_8[[#This Row],[Delta Jour]],""))</f>
        <v/>
      </c>
      <c r="H121" s="186" t="str">
        <f>IFERROR(Tab_Compteur_8[[#This Row],[Montant]]/Tab_Compteur_8[[#This Row],[Delta Jour]],"")</f>
        <v/>
      </c>
      <c r="I121" s="208" t="str">
        <f t="shared" si="3"/>
        <v/>
      </c>
      <c r="J121" s="209"/>
      <c r="K121" s="38"/>
      <c r="L121" s="38"/>
      <c r="M121" s="38"/>
    </row>
    <row r="122" spans="1:13">
      <c r="A122" s="464">
        <f t="shared" si="5"/>
        <v>1</v>
      </c>
      <c r="B122" s="87"/>
      <c r="C122" s="189"/>
      <c r="D122" s="188"/>
      <c r="F122" s="186">
        <f t="shared" si="4"/>
        <v>0</v>
      </c>
      <c r="G122" s="186" t="str">
        <f>IF(IFERROR(IF(Str_TypeDonneesCpt8=Cpt_Index,Tab_Compteur_8[[#This Row],[Index]]-E121,Tab_Compteur_8[[#This Row],[Quantité]])/Tab_Compteur_8[[#This Row],[Delta Jour]],"")&lt;0,"",IFERROR(IF(Str_TypeDonneesCpt8=Cpt_Index,Tab_Compteur_8[[#This Row],[Index]]-E121,Tab_Compteur_8[[#This Row],[Quantité]])/Tab_Compteur_8[[#This Row],[Delta Jour]],""))</f>
        <v/>
      </c>
      <c r="H122" s="186" t="str">
        <f>IFERROR(Tab_Compteur_8[[#This Row],[Montant]]/Tab_Compteur_8[[#This Row],[Delta Jour]],"")</f>
        <v/>
      </c>
      <c r="I122" s="208" t="str">
        <f t="shared" si="3"/>
        <v/>
      </c>
      <c r="J122" s="209"/>
      <c r="K122" s="38"/>
      <c r="L122" s="38"/>
      <c r="M122" s="38"/>
    </row>
    <row r="123" spans="1:13">
      <c r="A123" s="464">
        <f t="shared" si="5"/>
        <v>1</v>
      </c>
      <c r="B123" s="87"/>
      <c r="C123" s="189"/>
      <c r="D123" s="188"/>
      <c r="F123" s="186">
        <f t="shared" si="4"/>
        <v>0</v>
      </c>
      <c r="G123" s="186" t="str">
        <f>IF(IFERROR(IF(Str_TypeDonneesCpt8=Cpt_Index,Tab_Compteur_8[[#This Row],[Index]]-E122,Tab_Compteur_8[[#This Row],[Quantité]])/Tab_Compteur_8[[#This Row],[Delta Jour]],"")&lt;0,"",IFERROR(IF(Str_TypeDonneesCpt8=Cpt_Index,Tab_Compteur_8[[#This Row],[Index]]-E122,Tab_Compteur_8[[#This Row],[Quantité]])/Tab_Compteur_8[[#This Row],[Delta Jour]],""))</f>
        <v/>
      </c>
      <c r="H123" s="186" t="str">
        <f>IFERROR(Tab_Compteur_8[[#This Row],[Montant]]/Tab_Compteur_8[[#This Row],[Delta Jour]],"")</f>
        <v/>
      </c>
      <c r="I123" s="208" t="str">
        <f t="shared" si="3"/>
        <v/>
      </c>
      <c r="J123" s="209"/>
      <c r="K123" s="38"/>
      <c r="L123" s="38"/>
      <c r="M123" s="38"/>
    </row>
    <row r="124" spans="1:13">
      <c r="A124" s="464">
        <f t="shared" si="5"/>
        <v>1</v>
      </c>
      <c r="B124" s="87"/>
      <c r="C124" s="189"/>
      <c r="D124" s="188"/>
      <c r="F124" s="186">
        <f t="shared" si="4"/>
        <v>0</v>
      </c>
      <c r="G124" s="186" t="str">
        <f>IF(IFERROR(IF(Str_TypeDonneesCpt8=Cpt_Index,Tab_Compteur_8[[#This Row],[Index]]-E123,Tab_Compteur_8[[#This Row],[Quantité]])/Tab_Compteur_8[[#This Row],[Delta Jour]],"")&lt;0,"",IFERROR(IF(Str_TypeDonneesCpt8=Cpt_Index,Tab_Compteur_8[[#This Row],[Index]]-E123,Tab_Compteur_8[[#This Row],[Quantité]])/Tab_Compteur_8[[#This Row],[Delta Jour]],""))</f>
        <v/>
      </c>
      <c r="H124" s="186" t="str">
        <f>IFERROR(Tab_Compteur_8[[#This Row],[Montant]]/Tab_Compteur_8[[#This Row],[Delta Jour]],"")</f>
        <v/>
      </c>
      <c r="I124" s="208" t="str">
        <f t="shared" si="3"/>
        <v/>
      </c>
      <c r="J124" s="209"/>
      <c r="K124" s="38"/>
      <c r="L124" s="38"/>
      <c r="M124" s="38"/>
    </row>
    <row r="125" spans="1:13">
      <c r="A125" s="464">
        <f t="shared" si="5"/>
        <v>1</v>
      </c>
      <c r="B125" s="87"/>
      <c r="C125" s="189"/>
      <c r="D125" s="188"/>
      <c r="F125" s="186">
        <f t="shared" si="4"/>
        <v>0</v>
      </c>
      <c r="G125" s="186" t="str">
        <f>IF(IFERROR(IF(Str_TypeDonneesCpt8=Cpt_Index,Tab_Compteur_8[[#This Row],[Index]]-E124,Tab_Compteur_8[[#This Row],[Quantité]])/Tab_Compteur_8[[#This Row],[Delta Jour]],"")&lt;0,"",IFERROR(IF(Str_TypeDonneesCpt8=Cpt_Index,Tab_Compteur_8[[#This Row],[Index]]-E124,Tab_Compteur_8[[#This Row],[Quantité]])/Tab_Compteur_8[[#This Row],[Delta Jour]],""))</f>
        <v/>
      </c>
      <c r="H125" s="186" t="str">
        <f>IFERROR(Tab_Compteur_8[[#This Row],[Montant]]/Tab_Compteur_8[[#This Row],[Delta Jour]],"")</f>
        <v/>
      </c>
      <c r="I125" s="208" t="str">
        <f t="shared" si="3"/>
        <v/>
      </c>
      <c r="J125" s="209"/>
      <c r="K125" s="38"/>
      <c r="L125" s="38"/>
      <c r="M125" s="38"/>
    </row>
    <row r="126" spans="1:13">
      <c r="A126" s="464">
        <f t="shared" si="5"/>
        <v>1</v>
      </c>
      <c r="B126" s="87"/>
      <c r="C126" s="189"/>
      <c r="D126" s="188"/>
      <c r="F126" s="186">
        <f t="shared" si="4"/>
        <v>0</v>
      </c>
      <c r="G126" s="186" t="str">
        <f>IF(IFERROR(IF(Str_TypeDonneesCpt8=Cpt_Index,Tab_Compteur_8[[#This Row],[Index]]-E125,Tab_Compteur_8[[#This Row],[Quantité]])/Tab_Compteur_8[[#This Row],[Delta Jour]],"")&lt;0,"",IFERROR(IF(Str_TypeDonneesCpt8=Cpt_Index,Tab_Compteur_8[[#This Row],[Index]]-E125,Tab_Compteur_8[[#This Row],[Quantité]])/Tab_Compteur_8[[#This Row],[Delta Jour]],""))</f>
        <v/>
      </c>
      <c r="H126" s="186" t="str">
        <f>IFERROR(Tab_Compteur_8[[#This Row],[Montant]]/Tab_Compteur_8[[#This Row],[Delta Jour]],"")</f>
        <v/>
      </c>
      <c r="I126" s="208" t="str">
        <f t="shared" si="3"/>
        <v/>
      </c>
      <c r="J126" s="209"/>
      <c r="K126" s="38"/>
      <c r="L126" s="38"/>
      <c r="M126" s="38"/>
    </row>
    <row r="127" spans="1:13">
      <c r="A127" s="464">
        <f t="shared" si="5"/>
        <v>1</v>
      </c>
      <c r="B127" s="87"/>
      <c r="C127" s="189"/>
      <c r="D127" s="188"/>
      <c r="F127" s="186">
        <f t="shared" si="4"/>
        <v>0</v>
      </c>
      <c r="G127" s="186" t="str">
        <f>IF(IFERROR(IF(Str_TypeDonneesCpt8=Cpt_Index,Tab_Compteur_8[[#This Row],[Index]]-E126,Tab_Compteur_8[[#This Row],[Quantité]])/Tab_Compteur_8[[#This Row],[Delta Jour]],"")&lt;0,"",IFERROR(IF(Str_TypeDonneesCpt8=Cpt_Index,Tab_Compteur_8[[#This Row],[Index]]-E126,Tab_Compteur_8[[#This Row],[Quantité]])/Tab_Compteur_8[[#This Row],[Delta Jour]],""))</f>
        <v/>
      </c>
      <c r="H127" s="186" t="str">
        <f>IFERROR(Tab_Compteur_8[[#This Row],[Montant]]/Tab_Compteur_8[[#This Row],[Delta Jour]],"")</f>
        <v/>
      </c>
      <c r="I127" s="208" t="str">
        <f t="shared" si="3"/>
        <v/>
      </c>
      <c r="J127" s="209"/>
      <c r="K127" s="38"/>
      <c r="L127" s="38"/>
      <c r="M127" s="38"/>
    </row>
    <row r="128" spans="1:13">
      <c r="A128" s="464">
        <f t="shared" si="5"/>
        <v>1</v>
      </c>
      <c r="B128" s="87"/>
      <c r="C128" s="189"/>
      <c r="D128" s="188"/>
      <c r="F128" s="186">
        <f t="shared" si="4"/>
        <v>0</v>
      </c>
      <c r="G128" s="186" t="str">
        <f>IF(IFERROR(IF(Str_TypeDonneesCpt8=Cpt_Index,Tab_Compteur_8[[#This Row],[Index]]-E127,Tab_Compteur_8[[#This Row],[Quantité]])/Tab_Compteur_8[[#This Row],[Delta Jour]],"")&lt;0,"",IFERROR(IF(Str_TypeDonneesCpt8=Cpt_Index,Tab_Compteur_8[[#This Row],[Index]]-E127,Tab_Compteur_8[[#This Row],[Quantité]])/Tab_Compteur_8[[#This Row],[Delta Jour]],""))</f>
        <v/>
      </c>
      <c r="H128" s="186" t="str">
        <f>IFERROR(Tab_Compteur_8[[#This Row],[Montant]]/Tab_Compteur_8[[#This Row],[Delta Jour]],"")</f>
        <v/>
      </c>
      <c r="I128" s="208" t="str">
        <f t="shared" si="3"/>
        <v/>
      </c>
      <c r="J128" s="209"/>
      <c r="K128" s="38"/>
      <c r="L128" s="38"/>
      <c r="M128" s="38"/>
    </row>
    <row r="129" spans="1:13">
      <c r="A129" s="464">
        <f t="shared" si="5"/>
        <v>1</v>
      </c>
      <c r="B129" s="87"/>
      <c r="C129" s="189"/>
      <c r="D129" s="188"/>
      <c r="F129" s="186">
        <f t="shared" si="4"/>
        <v>0</v>
      </c>
      <c r="G129" s="186" t="str">
        <f>IF(IFERROR(IF(Str_TypeDonneesCpt8=Cpt_Index,Tab_Compteur_8[[#This Row],[Index]]-E128,Tab_Compteur_8[[#This Row],[Quantité]])/Tab_Compteur_8[[#This Row],[Delta Jour]],"")&lt;0,"",IFERROR(IF(Str_TypeDonneesCpt8=Cpt_Index,Tab_Compteur_8[[#This Row],[Index]]-E128,Tab_Compteur_8[[#This Row],[Quantité]])/Tab_Compteur_8[[#This Row],[Delta Jour]],""))</f>
        <v/>
      </c>
      <c r="H129" s="186" t="str">
        <f>IFERROR(Tab_Compteur_8[[#This Row],[Montant]]/Tab_Compteur_8[[#This Row],[Delta Jour]],"")</f>
        <v/>
      </c>
      <c r="I129" s="208" t="str">
        <f t="shared" si="3"/>
        <v/>
      </c>
      <c r="J129" s="209"/>
      <c r="K129" s="38"/>
      <c r="L129" s="38"/>
      <c r="M129" s="38"/>
    </row>
    <row r="130" spans="1:13">
      <c r="A130" s="464">
        <f t="shared" si="5"/>
        <v>1</v>
      </c>
      <c r="B130" s="87"/>
      <c r="C130" s="189"/>
      <c r="D130" s="188"/>
      <c r="F130" s="186">
        <f t="shared" si="4"/>
        <v>0</v>
      </c>
      <c r="G130" s="186" t="str">
        <f>IF(IFERROR(IF(Str_TypeDonneesCpt8=Cpt_Index,Tab_Compteur_8[[#This Row],[Index]]-E129,Tab_Compteur_8[[#This Row],[Quantité]])/Tab_Compteur_8[[#This Row],[Delta Jour]],"")&lt;0,"",IFERROR(IF(Str_TypeDonneesCpt8=Cpt_Index,Tab_Compteur_8[[#This Row],[Index]]-E129,Tab_Compteur_8[[#This Row],[Quantité]])/Tab_Compteur_8[[#This Row],[Delta Jour]],""))</f>
        <v/>
      </c>
      <c r="H130" s="186" t="str">
        <f>IFERROR(Tab_Compteur_8[[#This Row],[Montant]]/Tab_Compteur_8[[#This Row],[Delta Jour]],"")</f>
        <v/>
      </c>
      <c r="I130" s="208" t="str">
        <f t="shared" si="3"/>
        <v/>
      </c>
      <c r="J130" s="209"/>
      <c r="K130" s="38"/>
      <c r="L130" s="38"/>
      <c r="M130" s="38"/>
    </row>
    <row r="131" spans="1:13">
      <c r="A131" s="464">
        <f t="shared" si="5"/>
        <v>1</v>
      </c>
      <c r="B131" s="87"/>
      <c r="C131" s="189"/>
      <c r="D131" s="188"/>
      <c r="F131" s="186">
        <f t="shared" si="4"/>
        <v>0</v>
      </c>
      <c r="G131" s="186" t="str">
        <f>IF(IFERROR(IF(Str_TypeDonneesCpt8=Cpt_Index,Tab_Compteur_8[[#This Row],[Index]]-E130,Tab_Compteur_8[[#This Row],[Quantité]])/Tab_Compteur_8[[#This Row],[Delta Jour]],"")&lt;0,"",IFERROR(IF(Str_TypeDonneesCpt8=Cpt_Index,Tab_Compteur_8[[#This Row],[Index]]-E130,Tab_Compteur_8[[#This Row],[Quantité]])/Tab_Compteur_8[[#This Row],[Delta Jour]],""))</f>
        <v/>
      </c>
      <c r="H131" s="186" t="str">
        <f>IFERROR(Tab_Compteur_8[[#This Row],[Montant]]/Tab_Compteur_8[[#This Row],[Delta Jour]],"")</f>
        <v/>
      </c>
      <c r="I131" s="208" t="str">
        <f t="shared" ref="I131:I194" si="6">G131</f>
        <v/>
      </c>
      <c r="J131" s="209"/>
      <c r="K131" s="38"/>
      <c r="L131" s="38"/>
      <c r="M131" s="38"/>
    </row>
    <row r="132" spans="1:13">
      <c r="A132" s="464">
        <f t="shared" si="5"/>
        <v>1</v>
      </c>
      <c r="B132" s="87"/>
      <c r="C132" s="189"/>
      <c r="D132" s="188"/>
      <c r="F132" s="186">
        <f t="shared" si="4"/>
        <v>0</v>
      </c>
      <c r="G132" s="186" t="str">
        <f>IF(IFERROR(IF(Str_TypeDonneesCpt8=Cpt_Index,Tab_Compteur_8[[#This Row],[Index]]-E131,Tab_Compteur_8[[#This Row],[Quantité]])/Tab_Compteur_8[[#This Row],[Delta Jour]],"")&lt;0,"",IFERROR(IF(Str_TypeDonneesCpt8=Cpt_Index,Tab_Compteur_8[[#This Row],[Index]]-E131,Tab_Compteur_8[[#This Row],[Quantité]])/Tab_Compteur_8[[#This Row],[Delta Jour]],""))</f>
        <v/>
      </c>
      <c r="H132" s="186" t="str">
        <f>IFERROR(Tab_Compteur_8[[#This Row],[Montant]]/Tab_Compteur_8[[#This Row],[Delta Jour]],"")</f>
        <v/>
      </c>
      <c r="I132" s="208" t="str">
        <f t="shared" si="6"/>
        <v/>
      </c>
      <c r="J132" s="209"/>
      <c r="K132" s="38"/>
      <c r="L132" s="38"/>
      <c r="M132" s="38"/>
    </row>
    <row r="133" spans="1:13">
      <c r="A133" s="464">
        <f t="shared" si="5"/>
        <v>1</v>
      </c>
      <c r="B133" s="87"/>
      <c r="C133" s="189"/>
      <c r="D133" s="188"/>
      <c r="F133" s="186">
        <f t="shared" ref="F133:F196" si="7">IFERROR(B133-A133+1,"")</f>
        <v>0</v>
      </c>
      <c r="G133" s="186" t="str">
        <f>IF(IFERROR(IF(Str_TypeDonneesCpt8=Cpt_Index,Tab_Compteur_8[[#This Row],[Index]]-E132,Tab_Compteur_8[[#This Row],[Quantité]])/Tab_Compteur_8[[#This Row],[Delta Jour]],"")&lt;0,"",IFERROR(IF(Str_TypeDonneesCpt8=Cpt_Index,Tab_Compteur_8[[#This Row],[Index]]-E132,Tab_Compteur_8[[#This Row],[Quantité]])/Tab_Compteur_8[[#This Row],[Delta Jour]],""))</f>
        <v/>
      </c>
      <c r="H133" s="186" t="str">
        <f>IFERROR(Tab_Compteur_8[[#This Row],[Montant]]/Tab_Compteur_8[[#This Row],[Delta Jour]],"")</f>
        <v/>
      </c>
      <c r="I133" s="208" t="str">
        <f t="shared" si="6"/>
        <v/>
      </c>
      <c r="J133" s="209"/>
      <c r="K133" s="38"/>
      <c r="L133" s="38"/>
      <c r="M133" s="38"/>
    </row>
    <row r="134" spans="1:13">
      <c r="A134" s="464">
        <f t="shared" ref="A134:A197" si="8">IFERROR(B133+1,0)</f>
        <v>1</v>
      </c>
      <c r="B134" s="87"/>
      <c r="C134" s="189"/>
      <c r="D134" s="188"/>
      <c r="F134" s="186">
        <f t="shared" si="7"/>
        <v>0</v>
      </c>
      <c r="G134" s="186" t="str">
        <f>IF(IFERROR(IF(Str_TypeDonneesCpt8=Cpt_Index,Tab_Compteur_8[[#This Row],[Index]]-E133,Tab_Compteur_8[[#This Row],[Quantité]])/Tab_Compteur_8[[#This Row],[Delta Jour]],"")&lt;0,"",IFERROR(IF(Str_TypeDonneesCpt8=Cpt_Index,Tab_Compteur_8[[#This Row],[Index]]-E133,Tab_Compteur_8[[#This Row],[Quantité]])/Tab_Compteur_8[[#This Row],[Delta Jour]],""))</f>
        <v/>
      </c>
      <c r="H134" s="186" t="str">
        <f>IFERROR(Tab_Compteur_8[[#This Row],[Montant]]/Tab_Compteur_8[[#This Row],[Delta Jour]],"")</f>
        <v/>
      </c>
      <c r="I134" s="208" t="str">
        <f t="shared" si="6"/>
        <v/>
      </c>
      <c r="J134" s="209"/>
      <c r="K134" s="38"/>
      <c r="L134" s="38"/>
      <c r="M134" s="38"/>
    </row>
    <row r="135" spans="1:13">
      <c r="A135" s="464">
        <f t="shared" si="8"/>
        <v>1</v>
      </c>
      <c r="B135" s="87"/>
      <c r="C135" s="189"/>
      <c r="D135" s="188"/>
      <c r="F135" s="186">
        <f t="shared" si="7"/>
        <v>0</v>
      </c>
      <c r="G135" s="186" t="str">
        <f>IF(IFERROR(IF(Str_TypeDonneesCpt8=Cpt_Index,Tab_Compteur_8[[#This Row],[Index]]-E134,Tab_Compteur_8[[#This Row],[Quantité]])/Tab_Compteur_8[[#This Row],[Delta Jour]],"")&lt;0,"",IFERROR(IF(Str_TypeDonneesCpt8=Cpt_Index,Tab_Compteur_8[[#This Row],[Index]]-E134,Tab_Compteur_8[[#This Row],[Quantité]])/Tab_Compteur_8[[#This Row],[Delta Jour]],""))</f>
        <v/>
      </c>
      <c r="H135" s="186" t="str">
        <f>IFERROR(Tab_Compteur_8[[#This Row],[Montant]]/Tab_Compteur_8[[#This Row],[Delta Jour]],"")</f>
        <v/>
      </c>
      <c r="I135" s="208" t="str">
        <f t="shared" si="6"/>
        <v/>
      </c>
      <c r="J135" s="209"/>
      <c r="K135" s="38"/>
      <c r="L135" s="38"/>
      <c r="M135" s="38"/>
    </row>
    <row r="136" spans="1:13">
      <c r="A136" s="464">
        <f t="shared" si="8"/>
        <v>1</v>
      </c>
      <c r="B136" s="87"/>
      <c r="C136" s="189"/>
      <c r="D136" s="188"/>
      <c r="F136" s="186">
        <f t="shared" si="7"/>
        <v>0</v>
      </c>
      <c r="G136" s="186" t="str">
        <f>IF(IFERROR(IF(Str_TypeDonneesCpt8=Cpt_Index,Tab_Compteur_8[[#This Row],[Index]]-E135,Tab_Compteur_8[[#This Row],[Quantité]])/Tab_Compteur_8[[#This Row],[Delta Jour]],"")&lt;0,"",IFERROR(IF(Str_TypeDonneesCpt8=Cpt_Index,Tab_Compteur_8[[#This Row],[Index]]-E135,Tab_Compteur_8[[#This Row],[Quantité]])/Tab_Compteur_8[[#This Row],[Delta Jour]],""))</f>
        <v/>
      </c>
      <c r="H136" s="186" t="str">
        <f>IFERROR(Tab_Compteur_8[[#This Row],[Montant]]/Tab_Compteur_8[[#This Row],[Delta Jour]],"")</f>
        <v/>
      </c>
      <c r="I136" s="208" t="str">
        <f t="shared" si="6"/>
        <v/>
      </c>
      <c r="J136" s="209"/>
      <c r="K136" s="38"/>
      <c r="L136" s="38"/>
      <c r="M136" s="38"/>
    </row>
    <row r="137" spans="1:13">
      <c r="A137" s="464">
        <f t="shared" si="8"/>
        <v>1</v>
      </c>
      <c r="B137" s="87"/>
      <c r="C137" s="189"/>
      <c r="D137" s="188"/>
      <c r="F137" s="186">
        <f t="shared" si="7"/>
        <v>0</v>
      </c>
      <c r="G137" s="186" t="str">
        <f>IF(IFERROR(IF(Str_TypeDonneesCpt8=Cpt_Index,Tab_Compteur_8[[#This Row],[Index]]-E136,Tab_Compteur_8[[#This Row],[Quantité]])/Tab_Compteur_8[[#This Row],[Delta Jour]],"")&lt;0,"",IFERROR(IF(Str_TypeDonneesCpt8=Cpt_Index,Tab_Compteur_8[[#This Row],[Index]]-E136,Tab_Compteur_8[[#This Row],[Quantité]])/Tab_Compteur_8[[#This Row],[Delta Jour]],""))</f>
        <v/>
      </c>
      <c r="H137" s="186" t="str">
        <f>IFERROR(Tab_Compteur_8[[#This Row],[Montant]]/Tab_Compteur_8[[#This Row],[Delta Jour]],"")</f>
        <v/>
      </c>
      <c r="I137" s="208" t="str">
        <f t="shared" si="6"/>
        <v/>
      </c>
      <c r="J137" s="209"/>
      <c r="K137" s="38"/>
      <c r="L137" s="38"/>
      <c r="M137" s="38"/>
    </row>
    <row r="138" spans="1:13">
      <c r="A138" s="464">
        <f t="shared" si="8"/>
        <v>1</v>
      </c>
      <c r="B138" s="87"/>
      <c r="C138" s="189"/>
      <c r="D138" s="188"/>
      <c r="F138" s="186">
        <f t="shared" si="7"/>
        <v>0</v>
      </c>
      <c r="G138" s="186" t="str">
        <f>IF(IFERROR(IF(Str_TypeDonneesCpt8=Cpt_Index,Tab_Compteur_8[[#This Row],[Index]]-E137,Tab_Compteur_8[[#This Row],[Quantité]])/Tab_Compteur_8[[#This Row],[Delta Jour]],"")&lt;0,"",IFERROR(IF(Str_TypeDonneesCpt8=Cpt_Index,Tab_Compteur_8[[#This Row],[Index]]-E137,Tab_Compteur_8[[#This Row],[Quantité]])/Tab_Compteur_8[[#This Row],[Delta Jour]],""))</f>
        <v/>
      </c>
      <c r="H138" s="186" t="str">
        <f>IFERROR(Tab_Compteur_8[[#This Row],[Montant]]/Tab_Compteur_8[[#This Row],[Delta Jour]],"")</f>
        <v/>
      </c>
      <c r="I138" s="208" t="str">
        <f t="shared" si="6"/>
        <v/>
      </c>
      <c r="J138" s="209"/>
      <c r="K138" s="38"/>
      <c r="L138" s="38"/>
      <c r="M138" s="38"/>
    </row>
    <row r="139" spans="1:13">
      <c r="A139" s="464">
        <f t="shared" si="8"/>
        <v>1</v>
      </c>
      <c r="B139" s="87"/>
      <c r="C139" s="189"/>
      <c r="D139" s="188"/>
      <c r="F139" s="186">
        <f t="shared" si="7"/>
        <v>0</v>
      </c>
      <c r="G139" s="186" t="str">
        <f>IF(IFERROR(IF(Str_TypeDonneesCpt8=Cpt_Index,Tab_Compteur_8[[#This Row],[Index]]-E138,Tab_Compteur_8[[#This Row],[Quantité]])/Tab_Compteur_8[[#This Row],[Delta Jour]],"")&lt;0,"",IFERROR(IF(Str_TypeDonneesCpt8=Cpt_Index,Tab_Compteur_8[[#This Row],[Index]]-E138,Tab_Compteur_8[[#This Row],[Quantité]])/Tab_Compteur_8[[#This Row],[Delta Jour]],""))</f>
        <v/>
      </c>
      <c r="H139" s="186" t="str">
        <f>IFERROR(Tab_Compteur_8[[#This Row],[Montant]]/Tab_Compteur_8[[#This Row],[Delta Jour]],"")</f>
        <v/>
      </c>
      <c r="I139" s="208" t="str">
        <f t="shared" si="6"/>
        <v/>
      </c>
      <c r="J139" s="209"/>
      <c r="K139" s="38"/>
      <c r="L139" s="38"/>
      <c r="M139" s="38"/>
    </row>
    <row r="140" spans="1:13">
      <c r="A140" s="464">
        <f t="shared" si="8"/>
        <v>1</v>
      </c>
      <c r="B140" s="87"/>
      <c r="C140" s="189"/>
      <c r="D140" s="188"/>
      <c r="F140" s="186">
        <f t="shared" si="7"/>
        <v>0</v>
      </c>
      <c r="G140" s="186" t="str">
        <f>IF(IFERROR(IF(Str_TypeDonneesCpt8=Cpt_Index,Tab_Compteur_8[[#This Row],[Index]]-E139,Tab_Compteur_8[[#This Row],[Quantité]])/Tab_Compteur_8[[#This Row],[Delta Jour]],"")&lt;0,"",IFERROR(IF(Str_TypeDonneesCpt8=Cpt_Index,Tab_Compteur_8[[#This Row],[Index]]-E139,Tab_Compteur_8[[#This Row],[Quantité]])/Tab_Compteur_8[[#This Row],[Delta Jour]],""))</f>
        <v/>
      </c>
      <c r="H140" s="186" t="str">
        <f>IFERROR(Tab_Compteur_8[[#This Row],[Montant]]/Tab_Compteur_8[[#This Row],[Delta Jour]],"")</f>
        <v/>
      </c>
      <c r="I140" s="208" t="str">
        <f t="shared" si="6"/>
        <v/>
      </c>
      <c r="J140" s="209"/>
      <c r="K140" s="38"/>
      <c r="L140" s="38"/>
      <c r="M140" s="38"/>
    </row>
    <row r="141" spans="1:13">
      <c r="A141" s="464">
        <f t="shared" si="8"/>
        <v>1</v>
      </c>
      <c r="B141" s="87"/>
      <c r="C141" s="189"/>
      <c r="D141" s="188"/>
      <c r="F141" s="186">
        <f t="shared" si="7"/>
        <v>0</v>
      </c>
      <c r="G141" s="186" t="str">
        <f>IF(IFERROR(IF(Str_TypeDonneesCpt8=Cpt_Index,Tab_Compteur_8[[#This Row],[Index]]-E140,Tab_Compteur_8[[#This Row],[Quantité]])/Tab_Compteur_8[[#This Row],[Delta Jour]],"")&lt;0,"",IFERROR(IF(Str_TypeDonneesCpt8=Cpt_Index,Tab_Compteur_8[[#This Row],[Index]]-E140,Tab_Compteur_8[[#This Row],[Quantité]])/Tab_Compteur_8[[#This Row],[Delta Jour]],""))</f>
        <v/>
      </c>
      <c r="H141" s="186" t="str">
        <f>IFERROR(Tab_Compteur_8[[#This Row],[Montant]]/Tab_Compteur_8[[#This Row],[Delta Jour]],"")</f>
        <v/>
      </c>
      <c r="I141" s="208" t="str">
        <f t="shared" si="6"/>
        <v/>
      </c>
      <c r="J141" s="209"/>
      <c r="K141" s="38"/>
      <c r="L141" s="38"/>
      <c r="M141" s="38"/>
    </row>
    <row r="142" spans="1:13">
      <c r="A142" s="464">
        <f t="shared" si="8"/>
        <v>1</v>
      </c>
      <c r="B142" s="87"/>
      <c r="C142" s="189"/>
      <c r="D142" s="188"/>
      <c r="F142" s="186">
        <f t="shared" si="7"/>
        <v>0</v>
      </c>
      <c r="G142" s="186" t="str">
        <f>IF(IFERROR(IF(Str_TypeDonneesCpt8=Cpt_Index,Tab_Compteur_8[[#This Row],[Index]]-E141,Tab_Compteur_8[[#This Row],[Quantité]])/Tab_Compteur_8[[#This Row],[Delta Jour]],"")&lt;0,"",IFERROR(IF(Str_TypeDonneesCpt8=Cpt_Index,Tab_Compteur_8[[#This Row],[Index]]-E141,Tab_Compteur_8[[#This Row],[Quantité]])/Tab_Compteur_8[[#This Row],[Delta Jour]],""))</f>
        <v/>
      </c>
      <c r="H142" s="186" t="str">
        <f>IFERROR(Tab_Compteur_8[[#This Row],[Montant]]/Tab_Compteur_8[[#This Row],[Delta Jour]],"")</f>
        <v/>
      </c>
      <c r="I142" s="208" t="str">
        <f t="shared" si="6"/>
        <v/>
      </c>
      <c r="J142" s="209"/>
      <c r="K142" s="38"/>
      <c r="L142" s="38"/>
      <c r="M142" s="38"/>
    </row>
    <row r="143" spans="1:13">
      <c r="A143" s="464">
        <f t="shared" si="8"/>
        <v>1</v>
      </c>
      <c r="B143" s="87"/>
      <c r="C143" s="189"/>
      <c r="D143" s="188"/>
      <c r="F143" s="186">
        <f t="shared" si="7"/>
        <v>0</v>
      </c>
      <c r="G143" s="186" t="str">
        <f>IF(IFERROR(IF(Str_TypeDonneesCpt8=Cpt_Index,Tab_Compteur_8[[#This Row],[Index]]-E142,Tab_Compteur_8[[#This Row],[Quantité]])/Tab_Compteur_8[[#This Row],[Delta Jour]],"")&lt;0,"",IFERROR(IF(Str_TypeDonneesCpt8=Cpt_Index,Tab_Compteur_8[[#This Row],[Index]]-E142,Tab_Compteur_8[[#This Row],[Quantité]])/Tab_Compteur_8[[#This Row],[Delta Jour]],""))</f>
        <v/>
      </c>
      <c r="H143" s="186" t="str">
        <f>IFERROR(Tab_Compteur_8[[#This Row],[Montant]]/Tab_Compteur_8[[#This Row],[Delta Jour]],"")</f>
        <v/>
      </c>
      <c r="I143" s="208" t="str">
        <f t="shared" si="6"/>
        <v/>
      </c>
      <c r="J143" s="209"/>
      <c r="K143" s="38"/>
      <c r="L143" s="38"/>
      <c r="M143" s="38"/>
    </row>
    <row r="144" spans="1:13">
      <c r="A144" s="464">
        <f t="shared" si="8"/>
        <v>1</v>
      </c>
      <c r="B144" s="87"/>
      <c r="C144" s="189"/>
      <c r="D144" s="188"/>
      <c r="F144" s="186">
        <f t="shared" si="7"/>
        <v>0</v>
      </c>
      <c r="G144" s="186" t="str">
        <f>IF(IFERROR(IF(Str_TypeDonneesCpt8=Cpt_Index,Tab_Compteur_8[[#This Row],[Index]]-E143,Tab_Compteur_8[[#This Row],[Quantité]])/Tab_Compteur_8[[#This Row],[Delta Jour]],"")&lt;0,"",IFERROR(IF(Str_TypeDonneesCpt8=Cpt_Index,Tab_Compteur_8[[#This Row],[Index]]-E143,Tab_Compteur_8[[#This Row],[Quantité]])/Tab_Compteur_8[[#This Row],[Delta Jour]],""))</f>
        <v/>
      </c>
      <c r="H144" s="186" t="str">
        <f>IFERROR(Tab_Compteur_8[[#This Row],[Montant]]/Tab_Compteur_8[[#This Row],[Delta Jour]],"")</f>
        <v/>
      </c>
      <c r="I144" s="208" t="str">
        <f t="shared" si="6"/>
        <v/>
      </c>
      <c r="J144" s="209"/>
      <c r="K144" s="38"/>
      <c r="L144" s="38"/>
      <c r="M144" s="38"/>
    </row>
    <row r="145" spans="1:13">
      <c r="A145" s="464">
        <f t="shared" si="8"/>
        <v>1</v>
      </c>
      <c r="B145" s="87"/>
      <c r="C145" s="189"/>
      <c r="D145" s="188"/>
      <c r="F145" s="186">
        <f t="shared" si="7"/>
        <v>0</v>
      </c>
      <c r="G145" s="186" t="str">
        <f>IF(IFERROR(IF(Str_TypeDonneesCpt8=Cpt_Index,Tab_Compteur_8[[#This Row],[Index]]-E144,Tab_Compteur_8[[#This Row],[Quantité]])/Tab_Compteur_8[[#This Row],[Delta Jour]],"")&lt;0,"",IFERROR(IF(Str_TypeDonneesCpt8=Cpt_Index,Tab_Compteur_8[[#This Row],[Index]]-E144,Tab_Compteur_8[[#This Row],[Quantité]])/Tab_Compteur_8[[#This Row],[Delta Jour]],""))</f>
        <v/>
      </c>
      <c r="H145" s="186" t="str">
        <f>IFERROR(Tab_Compteur_8[[#This Row],[Montant]]/Tab_Compteur_8[[#This Row],[Delta Jour]],"")</f>
        <v/>
      </c>
      <c r="I145" s="208" t="str">
        <f t="shared" si="6"/>
        <v/>
      </c>
      <c r="J145" s="209"/>
      <c r="K145" s="38"/>
      <c r="L145" s="38"/>
      <c r="M145" s="38"/>
    </row>
    <row r="146" spans="1:13">
      <c r="A146" s="464">
        <f t="shared" si="8"/>
        <v>1</v>
      </c>
      <c r="B146" s="87"/>
      <c r="C146" s="189"/>
      <c r="D146" s="188"/>
      <c r="F146" s="186">
        <f t="shared" si="7"/>
        <v>0</v>
      </c>
      <c r="G146" s="186" t="str">
        <f>IF(IFERROR(IF(Str_TypeDonneesCpt8=Cpt_Index,Tab_Compteur_8[[#This Row],[Index]]-E145,Tab_Compteur_8[[#This Row],[Quantité]])/Tab_Compteur_8[[#This Row],[Delta Jour]],"")&lt;0,"",IFERROR(IF(Str_TypeDonneesCpt8=Cpt_Index,Tab_Compteur_8[[#This Row],[Index]]-E145,Tab_Compteur_8[[#This Row],[Quantité]])/Tab_Compteur_8[[#This Row],[Delta Jour]],""))</f>
        <v/>
      </c>
      <c r="H146" s="186" t="str">
        <f>IFERROR(Tab_Compteur_8[[#This Row],[Montant]]/Tab_Compteur_8[[#This Row],[Delta Jour]],"")</f>
        <v/>
      </c>
      <c r="I146" s="208" t="str">
        <f t="shared" si="6"/>
        <v/>
      </c>
      <c r="J146" s="209"/>
      <c r="K146" s="38"/>
      <c r="L146" s="38"/>
      <c r="M146" s="38"/>
    </row>
    <row r="147" spans="1:13">
      <c r="A147" s="464">
        <f t="shared" si="8"/>
        <v>1</v>
      </c>
      <c r="B147" s="87"/>
      <c r="C147" s="189"/>
      <c r="D147" s="188"/>
      <c r="F147" s="186">
        <f t="shared" si="7"/>
        <v>0</v>
      </c>
      <c r="G147" s="186" t="str">
        <f>IF(IFERROR(IF(Str_TypeDonneesCpt8=Cpt_Index,Tab_Compteur_8[[#This Row],[Index]]-E146,Tab_Compteur_8[[#This Row],[Quantité]])/Tab_Compteur_8[[#This Row],[Delta Jour]],"")&lt;0,"",IFERROR(IF(Str_TypeDonneesCpt8=Cpt_Index,Tab_Compteur_8[[#This Row],[Index]]-E146,Tab_Compteur_8[[#This Row],[Quantité]])/Tab_Compteur_8[[#This Row],[Delta Jour]],""))</f>
        <v/>
      </c>
      <c r="H147" s="186" t="str">
        <f>IFERROR(Tab_Compteur_8[[#This Row],[Montant]]/Tab_Compteur_8[[#This Row],[Delta Jour]],"")</f>
        <v/>
      </c>
      <c r="I147" s="208" t="str">
        <f t="shared" si="6"/>
        <v/>
      </c>
      <c r="J147" s="209"/>
      <c r="K147" s="38"/>
      <c r="L147" s="38"/>
      <c r="M147" s="38"/>
    </row>
    <row r="148" spans="1:13">
      <c r="A148" s="464">
        <f t="shared" si="8"/>
        <v>1</v>
      </c>
      <c r="B148" s="87"/>
      <c r="C148" s="189"/>
      <c r="D148" s="188"/>
      <c r="F148" s="186">
        <f t="shared" si="7"/>
        <v>0</v>
      </c>
      <c r="G148" s="186" t="str">
        <f>IF(IFERROR(IF(Str_TypeDonneesCpt8=Cpt_Index,Tab_Compteur_8[[#This Row],[Index]]-E147,Tab_Compteur_8[[#This Row],[Quantité]])/Tab_Compteur_8[[#This Row],[Delta Jour]],"")&lt;0,"",IFERROR(IF(Str_TypeDonneesCpt8=Cpt_Index,Tab_Compteur_8[[#This Row],[Index]]-E147,Tab_Compteur_8[[#This Row],[Quantité]])/Tab_Compteur_8[[#This Row],[Delta Jour]],""))</f>
        <v/>
      </c>
      <c r="H148" s="186" t="str">
        <f>IFERROR(Tab_Compteur_8[[#This Row],[Montant]]/Tab_Compteur_8[[#This Row],[Delta Jour]],"")</f>
        <v/>
      </c>
      <c r="I148" s="208" t="str">
        <f t="shared" si="6"/>
        <v/>
      </c>
      <c r="J148" s="209"/>
      <c r="K148" s="38"/>
      <c r="L148" s="38"/>
      <c r="M148" s="38"/>
    </row>
    <row r="149" spans="1:13">
      <c r="A149" s="464">
        <f t="shared" si="8"/>
        <v>1</v>
      </c>
      <c r="B149" s="87"/>
      <c r="C149" s="189"/>
      <c r="D149" s="188"/>
      <c r="F149" s="186">
        <f t="shared" si="7"/>
        <v>0</v>
      </c>
      <c r="G149" s="186" t="str">
        <f>IF(IFERROR(IF(Str_TypeDonneesCpt8=Cpt_Index,Tab_Compteur_8[[#This Row],[Index]]-E148,Tab_Compteur_8[[#This Row],[Quantité]])/Tab_Compteur_8[[#This Row],[Delta Jour]],"")&lt;0,"",IFERROR(IF(Str_TypeDonneesCpt8=Cpt_Index,Tab_Compteur_8[[#This Row],[Index]]-E148,Tab_Compteur_8[[#This Row],[Quantité]])/Tab_Compteur_8[[#This Row],[Delta Jour]],""))</f>
        <v/>
      </c>
      <c r="H149" s="186" t="str">
        <f>IFERROR(Tab_Compteur_8[[#This Row],[Montant]]/Tab_Compteur_8[[#This Row],[Delta Jour]],"")</f>
        <v/>
      </c>
      <c r="I149" s="208" t="str">
        <f t="shared" si="6"/>
        <v/>
      </c>
      <c r="J149" s="209"/>
      <c r="K149" s="38"/>
      <c r="L149" s="38"/>
      <c r="M149" s="38"/>
    </row>
    <row r="150" spans="1:13">
      <c r="A150" s="464">
        <f t="shared" si="8"/>
        <v>1</v>
      </c>
      <c r="B150" s="87"/>
      <c r="C150" s="189"/>
      <c r="D150" s="188"/>
      <c r="F150" s="186">
        <f t="shared" si="7"/>
        <v>0</v>
      </c>
      <c r="G150" s="186" t="str">
        <f>IF(IFERROR(IF(Str_TypeDonneesCpt8=Cpt_Index,Tab_Compteur_8[[#This Row],[Index]]-E149,Tab_Compteur_8[[#This Row],[Quantité]])/Tab_Compteur_8[[#This Row],[Delta Jour]],"")&lt;0,"",IFERROR(IF(Str_TypeDonneesCpt8=Cpt_Index,Tab_Compteur_8[[#This Row],[Index]]-E149,Tab_Compteur_8[[#This Row],[Quantité]])/Tab_Compteur_8[[#This Row],[Delta Jour]],""))</f>
        <v/>
      </c>
      <c r="H150" s="186" t="str">
        <f>IFERROR(Tab_Compteur_8[[#This Row],[Montant]]/Tab_Compteur_8[[#This Row],[Delta Jour]],"")</f>
        <v/>
      </c>
      <c r="I150" s="208" t="str">
        <f t="shared" si="6"/>
        <v/>
      </c>
      <c r="J150" s="209"/>
      <c r="K150" s="38"/>
      <c r="L150" s="38"/>
      <c r="M150" s="38"/>
    </row>
    <row r="151" spans="1:13">
      <c r="A151" s="464">
        <f t="shared" si="8"/>
        <v>1</v>
      </c>
      <c r="B151" s="87"/>
      <c r="C151" s="189"/>
      <c r="D151" s="188"/>
      <c r="F151" s="186">
        <f t="shared" si="7"/>
        <v>0</v>
      </c>
      <c r="G151" s="186" t="str">
        <f>IF(IFERROR(IF(Str_TypeDonneesCpt8=Cpt_Index,Tab_Compteur_8[[#This Row],[Index]]-E150,Tab_Compteur_8[[#This Row],[Quantité]])/Tab_Compteur_8[[#This Row],[Delta Jour]],"")&lt;0,"",IFERROR(IF(Str_TypeDonneesCpt8=Cpt_Index,Tab_Compteur_8[[#This Row],[Index]]-E150,Tab_Compteur_8[[#This Row],[Quantité]])/Tab_Compteur_8[[#This Row],[Delta Jour]],""))</f>
        <v/>
      </c>
      <c r="H151" s="186" t="str">
        <f>IFERROR(Tab_Compteur_8[[#This Row],[Montant]]/Tab_Compteur_8[[#This Row],[Delta Jour]],"")</f>
        <v/>
      </c>
      <c r="I151" s="208" t="str">
        <f t="shared" si="6"/>
        <v/>
      </c>
      <c r="J151" s="209"/>
      <c r="K151" s="38"/>
      <c r="L151" s="38"/>
      <c r="M151" s="38"/>
    </row>
    <row r="152" spans="1:13">
      <c r="A152" s="464">
        <f t="shared" si="8"/>
        <v>1</v>
      </c>
      <c r="B152" s="87"/>
      <c r="C152" s="189"/>
      <c r="D152" s="188"/>
      <c r="F152" s="186">
        <f t="shared" si="7"/>
        <v>0</v>
      </c>
      <c r="G152" s="186" t="str">
        <f>IF(IFERROR(IF(Str_TypeDonneesCpt8=Cpt_Index,Tab_Compteur_8[[#This Row],[Index]]-E151,Tab_Compteur_8[[#This Row],[Quantité]])/Tab_Compteur_8[[#This Row],[Delta Jour]],"")&lt;0,"",IFERROR(IF(Str_TypeDonneesCpt8=Cpt_Index,Tab_Compteur_8[[#This Row],[Index]]-E151,Tab_Compteur_8[[#This Row],[Quantité]])/Tab_Compteur_8[[#This Row],[Delta Jour]],""))</f>
        <v/>
      </c>
      <c r="H152" s="186" t="str">
        <f>IFERROR(Tab_Compteur_8[[#This Row],[Montant]]/Tab_Compteur_8[[#This Row],[Delta Jour]],"")</f>
        <v/>
      </c>
      <c r="I152" s="208" t="str">
        <f t="shared" si="6"/>
        <v/>
      </c>
      <c r="J152" s="209"/>
      <c r="K152" s="38"/>
      <c r="L152" s="38"/>
      <c r="M152" s="38"/>
    </row>
    <row r="153" spans="1:13">
      <c r="A153" s="464">
        <f t="shared" si="8"/>
        <v>1</v>
      </c>
      <c r="B153" s="87"/>
      <c r="C153" s="189"/>
      <c r="D153" s="188"/>
      <c r="F153" s="186">
        <f t="shared" si="7"/>
        <v>0</v>
      </c>
      <c r="G153" s="186" t="str">
        <f>IF(IFERROR(IF(Str_TypeDonneesCpt8=Cpt_Index,Tab_Compteur_8[[#This Row],[Index]]-E152,Tab_Compteur_8[[#This Row],[Quantité]])/Tab_Compteur_8[[#This Row],[Delta Jour]],"")&lt;0,"",IFERROR(IF(Str_TypeDonneesCpt8=Cpt_Index,Tab_Compteur_8[[#This Row],[Index]]-E152,Tab_Compteur_8[[#This Row],[Quantité]])/Tab_Compteur_8[[#This Row],[Delta Jour]],""))</f>
        <v/>
      </c>
      <c r="H153" s="186" t="str">
        <f>IFERROR(Tab_Compteur_8[[#This Row],[Montant]]/Tab_Compteur_8[[#This Row],[Delta Jour]],"")</f>
        <v/>
      </c>
      <c r="I153" s="208" t="str">
        <f t="shared" si="6"/>
        <v/>
      </c>
      <c r="J153" s="209"/>
      <c r="K153" s="38"/>
      <c r="L153" s="38"/>
      <c r="M153" s="38"/>
    </row>
    <row r="154" spans="1:13">
      <c r="A154" s="464">
        <f t="shared" si="8"/>
        <v>1</v>
      </c>
      <c r="B154" s="87"/>
      <c r="C154" s="189"/>
      <c r="D154" s="188"/>
      <c r="F154" s="186">
        <f t="shared" si="7"/>
        <v>0</v>
      </c>
      <c r="G154" s="186" t="str">
        <f>IF(IFERROR(IF(Str_TypeDonneesCpt8=Cpt_Index,Tab_Compteur_8[[#This Row],[Index]]-E153,Tab_Compteur_8[[#This Row],[Quantité]])/Tab_Compteur_8[[#This Row],[Delta Jour]],"")&lt;0,"",IFERROR(IF(Str_TypeDonneesCpt8=Cpt_Index,Tab_Compteur_8[[#This Row],[Index]]-E153,Tab_Compteur_8[[#This Row],[Quantité]])/Tab_Compteur_8[[#This Row],[Delta Jour]],""))</f>
        <v/>
      </c>
      <c r="H154" s="186" t="str">
        <f>IFERROR(Tab_Compteur_8[[#This Row],[Montant]]/Tab_Compteur_8[[#This Row],[Delta Jour]],"")</f>
        <v/>
      </c>
      <c r="I154" s="208" t="str">
        <f t="shared" si="6"/>
        <v/>
      </c>
      <c r="J154" s="209"/>
      <c r="K154" s="38"/>
      <c r="L154" s="38"/>
      <c r="M154" s="38"/>
    </row>
    <row r="155" spans="1:13">
      <c r="A155" s="464">
        <f t="shared" si="8"/>
        <v>1</v>
      </c>
      <c r="B155" s="87"/>
      <c r="C155" s="189"/>
      <c r="D155" s="188"/>
      <c r="F155" s="186">
        <f t="shared" si="7"/>
        <v>0</v>
      </c>
      <c r="G155" s="186" t="str">
        <f>IF(IFERROR(IF(Str_TypeDonneesCpt8=Cpt_Index,Tab_Compteur_8[[#This Row],[Index]]-E154,Tab_Compteur_8[[#This Row],[Quantité]])/Tab_Compteur_8[[#This Row],[Delta Jour]],"")&lt;0,"",IFERROR(IF(Str_TypeDonneesCpt8=Cpt_Index,Tab_Compteur_8[[#This Row],[Index]]-E154,Tab_Compteur_8[[#This Row],[Quantité]])/Tab_Compteur_8[[#This Row],[Delta Jour]],""))</f>
        <v/>
      </c>
      <c r="H155" s="186" t="str">
        <f>IFERROR(Tab_Compteur_8[[#This Row],[Montant]]/Tab_Compteur_8[[#This Row],[Delta Jour]],"")</f>
        <v/>
      </c>
      <c r="I155" s="208" t="str">
        <f t="shared" si="6"/>
        <v/>
      </c>
      <c r="J155" s="209"/>
      <c r="K155" s="38"/>
      <c r="L155" s="38"/>
      <c r="M155" s="38"/>
    </row>
    <row r="156" spans="1:13">
      <c r="A156" s="464">
        <f t="shared" si="8"/>
        <v>1</v>
      </c>
      <c r="B156" s="87"/>
      <c r="C156" s="189"/>
      <c r="D156" s="188"/>
      <c r="F156" s="186">
        <f t="shared" si="7"/>
        <v>0</v>
      </c>
      <c r="G156" s="186" t="str">
        <f>IF(IFERROR(IF(Str_TypeDonneesCpt8=Cpt_Index,Tab_Compteur_8[[#This Row],[Index]]-E155,Tab_Compteur_8[[#This Row],[Quantité]])/Tab_Compteur_8[[#This Row],[Delta Jour]],"")&lt;0,"",IFERROR(IF(Str_TypeDonneesCpt8=Cpt_Index,Tab_Compteur_8[[#This Row],[Index]]-E155,Tab_Compteur_8[[#This Row],[Quantité]])/Tab_Compteur_8[[#This Row],[Delta Jour]],""))</f>
        <v/>
      </c>
      <c r="H156" s="186" t="str">
        <f>IFERROR(Tab_Compteur_8[[#This Row],[Montant]]/Tab_Compteur_8[[#This Row],[Delta Jour]],"")</f>
        <v/>
      </c>
      <c r="I156" s="208" t="str">
        <f t="shared" si="6"/>
        <v/>
      </c>
      <c r="J156" s="209"/>
      <c r="K156" s="38"/>
      <c r="L156" s="38"/>
      <c r="M156" s="38"/>
    </row>
    <row r="157" spans="1:13">
      <c r="A157" s="464">
        <f t="shared" si="8"/>
        <v>1</v>
      </c>
      <c r="B157" s="87"/>
      <c r="C157" s="189"/>
      <c r="D157" s="188"/>
      <c r="F157" s="186">
        <f t="shared" si="7"/>
        <v>0</v>
      </c>
      <c r="G157" s="186" t="str">
        <f>IF(IFERROR(IF(Str_TypeDonneesCpt8=Cpt_Index,Tab_Compteur_8[[#This Row],[Index]]-E156,Tab_Compteur_8[[#This Row],[Quantité]])/Tab_Compteur_8[[#This Row],[Delta Jour]],"")&lt;0,"",IFERROR(IF(Str_TypeDonneesCpt8=Cpt_Index,Tab_Compteur_8[[#This Row],[Index]]-E156,Tab_Compteur_8[[#This Row],[Quantité]])/Tab_Compteur_8[[#This Row],[Delta Jour]],""))</f>
        <v/>
      </c>
      <c r="H157" s="186" t="str">
        <f>IFERROR(Tab_Compteur_8[[#This Row],[Montant]]/Tab_Compteur_8[[#This Row],[Delta Jour]],"")</f>
        <v/>
      </c>
      <c r="I157" s="208" t="str">
        <f t="shared" si="6"/>
        <v/>
      </c>
      <c r="J157" s="209"/>
      <c r="K157" s="38"/>
      <c r="L157" s="38"/>
      <c r="M157" s="38"/>
    </row>
    <row r="158" spans="1:13">
      <c r="A158" s="464">
        <f t="shared" si="8"/>
        <v>1</v>
      </c>
      <c r="B158" s="87"/>
      <c r="C158" s="189"/>
      <c r="D158" s="188"/>
      <c r="F158" s="186">
        <f t="shared" si="7"/>
        <v>0</v>
      </c>
      <c r="G158" s="186" t="str">
        <f>IF(IFERROR(IF(Str_TypeDonneesCpt8=Cpt_Index,Tab_Compteur_8[[#This Row],[Index]]-E157,Tab_Compteur_8[[#This Row],[Quantité]])/Tab_Compteur_8[[#This Row],[Delta Jour]],"")&lt;0,"",IFERROR(IF(Str_TypeDonneesCpt8=Cpt_Index,Tab_Compteur_8[[#This Row],[Index]]-E157,Tab_Compteur_8[[#This Row],[Quantité]])/Tab_Compteur_8[[#This Row],[Delta Jour]],""))</f>
        <v/>
      </c>
      <c r="H158" s="186" t="str">
        <f>IFERROR(Tab_Compteur_8[[#This Row],[Montant]]/Tab_Compteur_8[[#This Row],[Delta Jour]],"")</f>
        <v/>
      </c>
      <c r="I158" s="208" t="str">
        <f t="shared" si="6"/>
        <v/>
      </c>
      <c r="J158" s="209"/>
      <c r="K158" s="38"/>
      <c r="L158" s="38"/>
      <c r="M158" s="38"/>
    </row>
    <row r="159" spans="1:13">
      <c r="A159" s="464">
        <f t="shared" si="8"/>
        <v>1</v>
      </c>
      <c r="B159" s="87"/>
      <c r="C159" s="189"/>
      <c r="D159" s="188"/>
      <c r="F159" s="186">
        <f t="shared" si="7"/>
        <v>0</v>
      </c>
      <c r="G159" s="186" t="str">
        <f>IF(IFERROR(IF(Str_TypeDonneesCpt8=Cpt_Index,Tab_Compteur_8[[#This Row],[Index]]-E158,Tab_Compteur_8[[#This Row],[Quantité]])/Tab_Compteur_8[[#This Row],[Delta Jour]],"")&lt;0,"",IFERROR(IF(Str_TypeDonneesCpt8=Cpt_Index,Tab_Compteur_8[[#This Row],[Index]]-E158,Tab_Compteur_8[[#This Row],[Quantité]])/Tab_Compteur_8[[#This Row],[Delta Jour]],""))</f>
        <v/>
      </c>
      <c r="H159" s="186" t="str">
        <f>IFERROR(Tab_Compteur_8[[#This Row],[Montant]]/Tab_Compteur_8[[#This Row],[Delta Jour]],"")</f>
        <v/>
      </c>
      <c r="I159" s="208" t="str">
        <f t="shared" si="6"/>
        <v/>
      </c>
      <c r="J159" s="209"/>
      <c r="K159" s="38"/>
      <c r="L159" s="38"/>
      <c r="M159" s="38"/>
    </row>
    <row r="160" spans="1:13">
      <c r="A160" s="464">
        <f t="shared" si="8"/>
        <v>1</v>
      </c>
      <c r="B160" s="87"/>
      <c r="C160" s="189"/>
      <c r="D160" s="188"/>
      <c r="F160" s="186">
        <f t="shared" si="7"/>
        <v>0</v>
      </c>
      <c r="G160" s="186" t="str">
        <f>IF(IFERROR(IF(Str_TypeDonneesCpt8=Cpt_Index,Tab_Compteur_8[[#This Row],[Index]]-E159,Tab_Compteur_8[[#This Row],[Quantité]])/Tab_Compteur_8[[#This Row],[Delta Jour]],"")&lt;0,"",IFERROR(IF(Str_TypeDonneesCpt8=Cpt_Index,Tab_Compteur_8[[#This Row],[Index]]-E159,Tab_Compteur_8[[#This Row],[Quantité]])/Tab_Compteur_8[[#This Row],[Delta Jour]],""))</f>
        <v/>
      </c>
      <c r="H160" s="186" t="str">
        <f>IFERROR(Tab_Compteur_8[[#This Row],[Montant]]/Tab_Compteur_8[[#This Row],[Delta Jour]],"")</f>
        <v/>
      </c>
      <c r="I160" s="208" t="str">
        <f t="shared" si="6"/>
        <v/>
      </c>
      <c r="J160" s="209"/>
      <c r="K160" s="38"/>
      <c r="L160" s="38"/>
      <c r="M160" s="38"/>
    </row>
    <row r="161" spans="1:13">
      <c r="A161" s="464">
        <f t="shared" si="8"/>
        <v>1</v>
      </c>
      <c r="B161" s="87"/>
      <c r="C161" s="189"/>
      <c r="D161" s="188"/>
      <c r="F161" s="186">
        <f t="shared" si="7"/>
        <v>0</v>
      </c>
      <c r="G161" s="186" t="str">
        <f>IF(IFERROR(IF(Str_TypeDonneesCpt8=Cpt_Index,Tab_Compteur_8[[#This Row],[Index]]-E160,Tab_Compteur_8[[#This Row],[Quantité]])/Tab_Compteur_8[[#This Row],[Delta Jour]],"")&lt;0,"",IFERROR(IF(Str_TypeDonneesCpt8=Cpt_Index,Tab_Compteur_8[[#This Row],[Index]]-E160,Tab_Compteur_8[[#This Row],[Quantité]])/Tab_Compteur_8[[#This Row],[Delta Jour]],""))</f>
        <v/>
      </c>
      <c r="H161" s="186" t="str">
        <f>IFERROR(Tab_Compteur_8[[#This Row],[Montant]]/Tab_Compteur_8[[#This Row],[Delta Jour]],"")</f>
        <v/>
      </c>
      <c r="I161" s="208" t="str">
        <f t="shared" si="6"/>
        <v/>
      </c>
      <c r="J161" s="209"/>
      <c r="K161" s="38"/>
      <c r="L161" s="38"/>
      <c r="M161" s="38"/>
    </row>
    <row r="162" spans="1:13">
      <c r="A162" s="464">
        <f t="shared" si="8"/>
        <v>1</v>
      </c>
      <c r="B162" s="87"/>
      <c r="C162" s="189"/>
      <c r="D162" s="188"/>
      <c r="F162" s="186">
        <f t="shared" si="7"/>
        <v>0</v>
      </c>
      <c r="G162" s="186" t="str">
        <f>IF(IFERROR(IF(Str_TypeDonneesCpt8=Cpt_Index,Tab_Compteur_8[[#This Row],[Index]]-E161,Tab_Compteur_8[[#This Row],[Quantité]])/Tab_Compteur_8[[#This Row],[Delta Jour]],"")&lt;0,"",IFERROR(IF(Str_TypeDonneesCpt8=Cpt_Index,Tab_Compteur_8[[#This Row],[Index]]-E161,Tab_Compteur_8[[#This Row],[Quantité]])/Tab_Compteur_8[[#This Row],[Delta Jour]],""))</f>
        <v/>
      </c>
      <c r="H162" s="186" t="str">
        <f>IFERROR(Tab_Compteur_8[[#This Row],[Montant]]/Tab_Compteur_8[[#This Row],[Delta Jour]],"")</f>
        <v/>
      </c>
      <c r="I162" s="208" t="str">
        <f t="shared" si="6"/>
        <v/>
      </c>
      <c r="J162" s="209"/>
      <c r="K162" s="38"/>
      <c r="L162" s="38"/>
      <c r="M162" s="38"/>
    </row>
    <row r="163" spans="1:13">
      <c r="A163" s="464">
        <f t="shared" si="8"/>
        <v>1</v>
      </c>
      <c r="B163" s="87"/>
      <c r="C163" s="189"/>
      <c r="D163" s="188"/>
      <c r="F163" s="186">
        <f t="shared" si="7"/>
        <v>0</v>
      </c>
      <c r="G163" s="186" t="str">
        <f>IF(IFERROR(IF(Str_TypeDonneesCpt8=Cpt_Index,Tab_Compteur_8[[#This Row],[Index]]-E162,Tab_Compteur_8[[#This Row],[Quantité]])/Tab_Compteur_8[[#This Row],[Delta Jour]],"")&lt;0,"",IFERROR(IF(Str_TypeDonneesCpt8=Cpt_Index,Tab_Compteur_8[[#This Row],[Index]]-E162,Tab_Compteur_8[[#This Row],[Quantité]])/Tab_Compteur_8[[#This Row],[Delta Jour]],""))</f>
        <v/>
      </c>
      <c r="H163" s="186" t="str">
        <f>IFERROR(Tab_Compteur_8[[#This Row],[Montant]]/Tab_Compteur_8[[#This Row],[Delta Jour]],"")</f>
        <v/>
      </c>
      <c r="I163" s="208" t="str">
        <f t="shared" si="6"/>
        <v/>
      </c>
      <c r="J163" s="209"/>
      <c r="K163" s="38"/>
      <c r="L163" s="38"/>
      <c r="M163" s="38"/>
    </row>
    <row r="164" spans="1:13">
      <c r="A164" s="464">
        <f t="shared" si="8"/>
        <v>1</v>
      </c>
      <c r="B164" s="87"/>
      <c r="C164" s="189"/>
      <c r="D164" s="188"/>
      <c r="F164" s="186">
        <f t="shared" si="7"/>
        <v>0</v>
      </c>
      <c r="G164" s="186" t="str">
        <f>IF(IFERROR(IF(Str_TypeDonneesCpt8=Cpt_Index,Tab_Compteur_8[[#This Row],[Index]]-E163,Tab_Compteur_8[[#This Row],[Quantité]])/Tab_Compteur_8[[#This Row],[Delta Jour]],"")&lt;0,"",IFERROR(IF(Str_TypeDonneesCpt8=Cpt_Index,Tab_Compteur_8[[#This Row],[Index]]-E163,Tab_Compteur_8[[#This Row],[Quantité]])/Tab_Compteur_8[[#This Row],[Delta Jour]],""))</f>
        <v/>
      </c>
      <c r="H164" s="186" t="str">
        <f>IFERROR(Tab_Compteur_8[[#This Row],[Montant]]/Tab_Compteur_8[[#This Row],[Delta Jour]],"")</f>
        <v/>
      </c>
      <c r="I164" s="208" t="str">
        <f t="shared" si="6"/>
        <v/>
      </c>
      <c r="J164" s="209"/>
      <c r="K164" s="38"/>
      <c r="L164" s="38"/>
      <c r="M164" s="38"/>
    </row>
    <row r="165" spans="1:13">
      <c r="A165" s="464">
        <f t="shared" si="8"/>
        <v>1</v>
      </c>
      <c r="B165" s="87"/>
      <c r="C165" s="189"/>
      <c r="D165" s="188"/>
      <c r="F165" s="186">
        <f t="shared" si="7"/>
        <v>0</v>
      </c>
      <c r="G165" s="186" t="str">
        <f>IF(IFERROR(IF(Str_TypeDonneesCpt8=Cpt_Index,Tab_Compteur_8[[#This Row],[Index]]-E164,Tab_Compteur_8[[#This Row],[Quantité]])/Tab_Compteur_8[[#This Row],[Delta Jour]],"")&lt;0,"",IFERROR(IF(Str_TypeDonneesCpt8=Cpt_Index,Tab_Compteur_8[[#This Row],[Index]]-E164,Tab_Compteur_8[[#This Row],[Quantité]])/Tab_Compteur_8[[#This Row],[Delta Jour]],""))</f>
        <v/>
      </c>
      <c r="H165" s="186" t="str">
        <f>IFERROR(Tab_Compteur_8[[#This Row],[Montant]]/Tab_Compteur_8[[#This Row],[Delta Jour]],"")</f>
        <v/>
      </c>
      <c r="I165" s="208" t="str">
        <f t="shared" si="6"/>
        <v/>
      </c>
      <c r="J165" s="209"/>
      <c r="K165" s="38"/>
      <c r="L165" s="38"/>
      <c r="M165" s="38"/>
    </row>
    <row r="166" spans="1:13">
      <c r="A166" s="464">
        <f t="shared" si="8"/>
        <v>1</v>
      </c>
      <c r="B166" s="87"/>
      <c r="C166" s="189"/>
      <c r="D166" s="188"/>
      <c r="F166" s="186">
        <f t="shared" si="7"/>
        <v>0</v>
      </c>
      <c r="G166" s="186" t="str">
        <f>IF(IFERROR(IF(Str_TypeDonneesCpt8=Cpt_Index,Tab_Compteur_8[[#This Row],[Index]]-E165,Tab_Compteur_8[[#This Row],[Quantité]])/Tab_Compteur_8[[#This Row],[Delta Jour]],"")&lt;0,"",IFERROR(IF(Str_TypeDonneesCpt8=Cpt_Index,Tab_Compteur_8[[#This Row],[Index]]-E165,Tab_Compteur_8[[#This Row],[Quantité]])/Tab_Compteur_8[[#This Row],[Delta Jour]],""))</f>
        <v/>
      </c>
      <c r="H166" s="186" t="str">
        <f>IFERROR(Tab_Compteur_8[[#This Row],[Montant]]/Tab_Compteur_8[[#This Row],[Delta Jour]],"")</f>
        <v/>
      </c>
      <c r="I166" s="208" t="str">
        <f t="shared" si="6"/>
        <v/>
      </c>
      <c r="J166" s="209"/>
      <c r="K166" s="38"/>
      <c r="L166" s="38"/>
      <c r="M166" s="38"/>
    </row>
    <row r="167" spans="1:13">
      <c r="A167" s="464">
        <f t="shared" si="8"/>
        <v>1</v>
      </c>
      <c r="B167" s="87"/>
      <c r="C167" s="189"/>
      <c r="D167" s="188"/>
      <c r="F167" s="186">
        <f t="shared" si="7"/>
        <v>0</v>
      </c>
      <c r="G167" s="186" t="str">
        <f>IF(IFERROR(IF(Str_TypeDonneesCpt8=Cpt_Index,Tab_Compteur_8[[#This Row],[Index]]-E166,Tab_Compteur_8[[#This Row],[Quantité]])/Tab_Compteur_8[[#This Row],[Delta Jour]],"")&lt;0,"",IFERROR(IF(Str_TypeDonneesCpt8=Cpt_Index,Tab_Compteur_8[[#This Row],[Index]]-E166,Tab_Compteur_8[[#This Row],[Quantité]])/Tab_Compteur_8[[#This Row],[Delta Jour]],""))</f>
        <v/>
      </c>
      <c r="H167" s="186" t="str">
        <f>IFERROR(Tab_Compteur_8[[#This Row],[Montant]]/Tab_Compteur_8[[#This Row],[Delta Jour]],"")</f>
        <v/>
      </c>
      <c r="I167" s="208" t="str">
        <f t="shared" si="6"/>
        <v/>
      </c>
      <c r="J167" s="209"/>
      <c r="K167" s="38"/>
      <c r="L167" s="38"/>
      <c r="M167" s="38"/>
    </row>
    <row r="168" spans="1:13">
      <c r="A168" s="464">
        <f t="shared" si="8"/>
        <v>1</v>
      </c>
      <c r="B168" s="87"/>
      <c r="C168" s="189"/>
      <c r="D168" s="188"/>
      <c r="F168" s="186">
        <f t="shared" si="7"/>
        <v>0</v>
      </c>
      <c r="G168" s="186" t="str">
        <f>IF(IFERROR(IF(Str_TypeDonneesCpt8=Cpt_Index,Tab_Compteur_8[[#This Row],[Index]]-E167,Tab_Compteur_8[[#This Row],[Quantité]])/Tab_Compteur_8[[#This Row],[Delta Jour]],"")&lt;0,"",IFERROR(IF(Str_TypeDonneesCpt8=Cpt_Index,Tab_Compteur_8[[#This Row],[Index]]-E167,Tab_Compteur_8[[#This Row],[Quantité]])/Tab_Compteur_8[[#This Row],[Delta Jour]],""))</f>
        <v/>
      </c>
      <c r="H168" s="186" t="str">
        <f>IFERROR(Tab_Compteur_8[[#This Row],[Montant]]/Tab_Compteur_8[[#This Row],[Delta Jour]],"")</f>
        <v/>
      </c>
      <c r="I168" s="208" t="str">
        <f t="shared" si="6"/>
        <v/>
      </c>
      <c r="J168" s="209"/>
      <c r="K168" s="38"/>
      <c r="L168" s="38"/>
      <c r="M168" s="38"/>
    </row>
    <row r="169" spans="1:13">
      <c r="A169" s="464">
        <f t="shared" si="8"/>
        <v>1</v>
      </c>
      <c r="B169" s="87"/>
      <c r="C169" s="189"/>
      <c r="D169" s="188"/>
      <c r="F169" s="186">
        <f t="shared" si="7"/>
        <v>0</v>
      </c>
      <c r="G169" s="186" t="str">
        <f>IF(IFERROR(IF(Str_TypeDonneesCpt8=Cpt_Index,Tab_Compteur_8[[#This Row],[Index]]-E168,Tab_Compteur_8[[#This Row],[Quantité]])/Tab_Compteur_8[[#This Row],[Delta Jour]],"")&lt;0,"",IFERROR(IF(Str_TypeDonneesCpt8=Cpt_Index,Tab_Compteur_8[[#This Row],[Index]]-E168,Tab_Compteur_8[[#This Row],[Quantité]])/Tab_Compteur_8[[#This Row],[Delta Jour]],""))</f>
        <v/>
      </c>
      <c r="H169" s="186" t="str">
        <f>IFERROR(Tab_Compteur_8[[#This Row],[Montant]]/Tab_Compteur_8[[#This Row],[Delta Jour]],"")</f>
        <v/>
      </c>
      <c r="I169" s="208" t="str">
        <f t="shared" si="6"/>
        <v/>
      </c>
      <c r="J169" s="209"/>
      <c r="K169" s="38"/>
      <c r="L169" s="38"/>
      <c r="M169" s="38"/>
    </row>
    <row r="170" spans="1:13">
      <c r="A170" s="464">
        <f t="shared" si="8"/>
        <v>1</v>
      </c>
      <c r="B170" s="87"/>
      <c r="C170" s="189"/>
      <c r="D170" s="188"/>
      <c r="F170" s="186">
        <f t="shared" si="7"/>
        <v>0</v>
      </c>
      <c r="G170" s="186" t="str">
        <f>IF(IFERROR(IF(Str_TypeDonneesCpt8=Cpt_Index,Tab_Compteur_8[[#This Row],[Index]]-E169,Tab_Compteur_8[[#This Row],[Quantité]])/Tab_Compteur_8[[#This Row],[Delta Jour]],"")&lt;0,"",IFERROR(IF(Str_TypeDonneesCpt8=Cpt_Index,Tab_Compteur_8[[#This Row],[Index]]-E169,Tab_Compteur_8[[#This Row],[Quantité]])/Tab_Compteur_8[[#This Row],[Delta Jour]],""))</f>
        <v/>
      </c>
      <c r="H170" s="186" t="str">
        <f>IFERROR(Tab_Compteur_8[[#This Row],[Montant]]/Tab_Compteur_8[[#This Row],[Delta Jour]],"")</f>
        <v/>
      </c>
      <c r="I170" s="208" t="str">
        <f t="shared" si="6"/>
        <v/>
      </c>
      <c r="J170" s="209"/>
      <c r="K170" s="38"/>
      <c r="L170" s="38"/>
      <c r="M170" s="38"/>
    </row>
    <row r="171" spans="1:13">
      <c r="A171" s="464">
        <f t="shared" si="8"/>
        <v>1</v>
      </c>
      <c r="B171" s="87"/>
      <c r="C171" s="189"/>
      <c r="D171" s="188"/>
      <c r="F171" s="186">
        <f t="shared" si="7"/>
        <v>0</v>
      </c>
      <c r="G171" s="186" t="str">
        <f>IF(IFERROR(IF(Str_TypeDonneesCpt8=Cpt_Index,Tab_Compteur_8[[#This Row],[Index]]-E170,Tab_Compteur_8[[#This Row],[Quantité]])/Tab_Compteur_8[[#This Row],[Delta Jour]],"")&lt;0,"",IFERROR(IF(Str_TypeDonneesCpt8=Cpt_Index,Tab_Compteur_8[[#This Row],[Index]]-E170,Tab_Compteur_8[[#This Row],[Quantité]])/Tab_Compteur_8[[#This Row],[Delta Jour]],""))</f>
        <v/>
      </c>
      <c r="H171" s="186" t="str">
        <f>IFERROR(Tab_Compteur_8[[#This Row],[Montant]]/Tab_Compteur_8[[#This Row],[Delta Jour]],"")</f>
        <v/>
      </c>
      <c r="I171" s="208" t="str">
        <f t="shared" si="6"/>
        <v/>
      </c>
      <c r="J171" s="209"/>
      <c r="K171" s="38"/>
      <c r="L171" s="38"/>
      <c r="M171" s="38"/>
    </row>
    <row r="172" spans="1:13">
      <c r="A172" s="464">
        <f t="shared" si="8"/>
        <v>1</v>
      </c>
      <c r="B172" s="87"/>
      <c r="C172" s="189"/>
      <c r="D172" s="188"/>
      <c r="F172" s="186">
        <f t="shared" si="7"/>
        <v>0</v>
      </c>
      <c r="G172" s="186" t="str">
        <f>IF(IFERROR(IF(Str_TypeDonneesCpt8=Cpt_Index,Tab_Compteur_8[[#This Row],[Index]]-E171,Tab_Compteur_8[[#This Row],[Quantité]])/Tab_Compteur_8[[#This Row],[Delta Jour]],"")&lt;0,"",IFERROR(IF(Str_TypeDonneesCpt8=Cpt_Index,Tab_Compteur_8[[#This Row],[Index]]-E171,Tab_Compteur_8[[#This Row],[Quantité]])/Tab_Compteur_8[[#This Row],[Delta Jour]],""))</f>
        <v/>
      </c>
      <c r="H172" s="186" t="str">
        <f>IFERROR(Tab_Compteur_8[[#This Row],[Montant]]/Tab_Compteur_8[[#This Row],[Delta Jour]],"")</f>
        <v/>
      </c>
      <c r="I172" s="208" t="str">
        <f t="shared" si="6"/>
        <v/>
      </c>
      <c r="J172" s="209"/>
      <c r="K172" s="38"/>
      <c r="L172" s="38"/>
      <c r="M172" s="38"/>
    </row>
    <row r="173" spans="1:13">
      <c r="A173" s="464">
        <f t="shared" si="8"/>
        <v>1</v>
      </c>
      <c r="B173" s="87"/>
      <c r="C173" s="189"/>
      <c r="D173" s="188"/>
      <c r="F173" s="186">
        <f t="shared" si="7"/>
        <v>0</v>
      </c>
      <c r="G173" s="186" t="str">
        <f>IF(IFERROR(IF(Str_TypeDonneesCpt8=Cpt_Index,Tab_Compteur_8[[#This Row],[Index]]-E172,Tab_Compteur_8[[#This Row],[Quantité]])/Tab_Compteur_8[[#This Row],[Delta Jour]],"")&lt;0,"",IFERROR(IF(Str_TypeDonneesCpt8=Cpt_Index,Tab_Compteur_8[[#This Row],[Index]]-E172,Tab_Compteur_8[[#This Row],[Quantité]])/Tab_Compteur_8[[#This Row],[Delta Jour]],""))</f>
        <v/>
      </c>
      <c r="H173" s="186" t="str">
        <f>IFERROR(Tab_Compteur_8[[#This Row],[Montant]]/Tab_Compteur_8[[#This Row],[Delta Jour]],"")</f>
        <v/>
      </c>
      <c r="I173" s="208" t="str">
        <f t="shared" si="6"/>
        <v/>
      </c>
      <c r="J173" s="209"/>
      <c r="K173" s="38"/>
      <c r="L173" s="38"/>
      <c r="M173" s="38"/>
    </row>
    <row r="174" spans="1:13">
      <c r="A174" s="464">
        <f t="shared" si="8"/>
        <v>1</v>
      </c>
      <c r="B174" s="87"/>
      <c r="C174" s="189"/>
      <c r="D174" s="188"/>
      <c r="F174" s="186">
        <f t="shared" si="7"/>
        <v>0</v>
      </c>
      <c r="G174" s="186" t="str">
        <f>IF(IFERROR(IF(Str_TypeDonneesCpt8=Cpt_Index,Tab_Compteur_8[[#This Row],[Index]]-E173,Tab_Compteur_8[[#This Row],[Quantité]])/Tab_Compteur_8[[#This Row],[Delta Jour]],"")&lt;0,"",IFERROR(IF(Str_TypeDonneesCpt8=Cpt_Index,Tab_Compteur_8[[#This Row],[Index]]-E173,Tab_Compteur_8[[#This Row],[Quantité]])/Tab_Compteur_8[[#This Row],[Delta Jour]],""))</f>
        <v/>
      </c>
      <c r="H174" s="186" t="str">
        <f>IFERROR(Tab_Compteur_8[[#This Row],[Montant]]/Tab_Compteur_8[[#This Row],[Delta Jour]],"")</f>
        <v/>
      </c>
      <c r="I174" s="208" t="str">
        <f t="shared" si="6"/>
        <v/>
      </c>
      <c r="J174" s="209"/>
      <c r="K174" s="38"/>
      <c r="L174" s="38"/>
      <c r="M174" s="38"/>
    </row>
    <row r="175" spans="1:13">
      <c r="A175" s="464">
        <f t="shared" si="8"/>
        <v>1</v>
      </c>
      <c r="B175" s="87"/>
      <c r="C175" s="189"/>
      <c r="D175" s="188"/>
      <c r="F175" s="186">
        <f t="shared" si="7"/>
        <v>0</v>
      </c>
      <c r="G175" s="186" t="str">
        <f>IF(IFERROR(IF(Str_TypeDonneesCpt8=Cpt_Index,Tab_Compteur_8[[#This Row],[Index]]-E174,Tab_Compteur_8[[#This Row],[Quantité]])/Tab_Compteur_8[[#This Row],[Delta Jour]],"")&lt;0,"",IFERROR(IF(Str_TypeDonneesCpt8=Cpt_Index,Tab_Compteur_8[[#This Row],[Index]]-E174,Tab_Compteur_8[[#This Row],[Quantité]])/Tab_Compteur_8[[#This Row],[Delta Jour]],""))</f>
        <v/>
      </c>
      <c r="H175" s="186" t="str">
        <f>IFERROR(Tab_Compteur_8[[#This Row],[Montant]]/Tab_Compteur_8[[#This Row],[Delta Jour]],"")</f>
        <v/>
      </c>
      <c r="I175" s="208" t="str">
        <f t="shared" si="6"/>
        <v/>
      </c>
      <c r="J175" s="209"/>
      <c r="K175" s="38"/>
      <c r="L175" s="38"/>
      <c r="M175" s="38"/>
    </row>
    <row r="176" spans="1:13">
      <c r="A176" s="464">
        <f t="shared" si="8"/>
        <v>1</v>
      </c>
      <c r="B176" s="87"/>
      <c r="C176" s="189"/>
      <c r="D176" s="188"/>
      <c r="F176" s="186">
        <f t="shared" si="7"/>
        <v>0</v>
      </c>
      <c r="G176" s="186" t="str">
        <f>IF(IFERROR(IF(Str_TypeDonneesCpt8=Cpt_Index,Tab_Compteur_8[[#This Row],[Index]]-E175,Tab_Compteur_8[[#This Row],[Quantité]])/Tab_Compteur_8[[#This Row],[Delta Jour]],"")&lt;0,"",IFERROR(IF(Str_TypeDonneesCpt8=Cpt_Index,Tab_Compteur_8[[#This Row],[Index]]-E175,Tab_Compteur_8[[#This Row],[Quantité]])/Tab_Compteur_8[[#This Row],[Delta Jour]],""))</f>
        <v/>
      </c>
      <c r="H176" s="186" t="str">
        <f>IFERROR(Tab_Compteur_8[[#This Row],[Montant]]/Tab_Compteur_8[[#This Row],[Delta Jour]],"")</f>
        <v/>
      </c>
      <c r="I176" s="208" t="str">
        <f t="shared" si="6"/>
        <v/>
      </c>
      <c r="J176" s="209"/>
      <c r="K176" s="38"/>
      <c r="L176" s="38"/>
      <c r="M176" s="38"/>
    </row>
    <row r="177" spans="1:13">
      <c r="A177" s="464">
        <f t="shared" si="8"/>
        <v>1</v>
      </c>
      <c r="B177" s="87"/>
      <c r="C177" s="189"/>
      <c r="D177" s="188"/>
      <c r="F177" s="186">
        <f t="shared" si="7"/>
        <v>0</v>
      </c>
      <c r="G177" s="186" t="str">
        <f>IF(IFERROR(IF(Str_TypeDonneesCpt8=Cpt_Index,Tab_Compteur_8[[#This Row],[Index]]-E176,Tab_Compteur_8[[#This Row],[Quantité]])/Tab_Compteur_8[[#This Row],[Delta Jour]],"")&lt;0,"",IFERROR(IF(Str_TypeDonneesCpt8=Cpt_Index,Tab_Compteur_8[[#This Row],[Index]]-E176,Tab_Compteur_8[[#This Row],[Quantité]])/Tab_Compteur_8[[#This Row],[Delta Jour]],""))</f>
        <v/>
      </c>
      <c r="H177" s="186" t="str">
        <f>IFERROR(Tab_Compteur_8[[#This Row],[Montant]]/Tab_Compteur_8[[#This Row],[Delta Jour]],"")</f>
        <v/>
      </c>
      <c r="I177" s="208" t="str">
        <f t="shared" si="6"/>
        <v/>
      </c>
      <c r="J177" s="209"/>
      <c r="K177" s="38"/>
      <c r="L177" s="38"/>
      <c r="M177" s="38"/>
    </row>
    <row r="178" spans="1:13">
      <c r="A178" s="464">
        <f t="shared" si="8"/>
        <v>1</v>
      </c>
      <c r="B178" s="87"/>
      <c r="C178" s="189"/>
      <c r="D178" s="188"/>
      <c r="F178" s="186">
        <f t="shared" si="7"/>
        <v>0</v>
      </c>
      <c r="G178" s="186" t="str">
        <f>IF(IFERROR(IF(Str_TypeDonneesCpt8=Cpt_Index,Tab_Compteur_8[[#This Row],[Index]]-E177,Tab_Compteur_8[[#This Row],[Quantité]])/Tab_Compteur_8[[#This Row],[Delta Jour]],"")&lt;0,"",IFERROR(IF(Str_TypeDonneesCpt8=Cpt_Index,Tab_Compteur_8[[#This Row],[Index]]-E177,Tab_Compteur_8[[#This Row],[Quantité]])/Tab_Compteur_8[[#This Row],[Delta Jour]],""))</f>
        <v/>
      </c>
      <c r="H178" s="186" t="str">
        <f>IFERROR(Tab_Compteur_8[[#This Row],[Montant]]/Tab_Compteur_8[[#This Row],[Delta Jour]],"")</f>
        <v/>
      </c>
      <c r="I178" s="208" t="str">
        <f t="shared" si="6"/>
        <v/>
      </c>
      <c r="J178" s="209"/>
      <c r="K178" s="38"/>
      <c r="L178" s="38"/>
      <c r="M178" s="38"/>
    </row>
    <row r="179" spans="1:13">
      <c r="A179" s="464">
        <f t="shared" si="8"/>
        <v>1</v>
      </c>
      <c r="B179" s="87"/>
      <c r="C179" s="189"/>
      <c r="D179" s="188"/>
      <c r="F179" s="186">
        <f t="shared" si="7"/>
        <v>0</v>
      </c>
      <c r="G179" s="186" t="str">
        <f>IF(IFERROR(IF(Str_TypeDonneesCpt8=Cpt_Index,Tab_Compteur_8[[#This Row],[Index]]-E178,Tab_Compteur_8[[#This Row],[Quantité]])/Tab_Compteur_8[[#This Row],[Delta Jour]],"")&lt;0,"",IFERROR(IF(Str_TypeDonneesCpt8=Cpt_Index,Tab_Compteur_8[[#This Row],[Index]]-E178,Tab_Compteur_8[[#This Row],[Quantité]])/Tab_Compteur_8[[#This Row],[Delta Jour]],""))</f>
        <v/>
      </c>
      <c r="H179" s="186" t="str">
        <f>IFERROR(Tab_Compteur_8[[#This Row],[Montant]]/Tab_Compteur_8[[#This Row],[Delta Jour]],"")</f>
        <v/>
      </c>
      <c r="I179" s="208" t="str">
        <f t="shared" si="6"/>
        <v/>
      </c>
      <c r="J179" s="209"/>
      <c r="K179" s="38"/>
      <c r="L179" s="38"/>
      <c r="M179" s="38"/>
    </row>
    <row r="180" spans="1:13">
      <c r="A180" s="464">
        <f t="shared" si="8"/>
        <v>1</v>
      </c>
      <c r="B180" s="87"/>
      <c r="C180" s="189"/>
      <c r="D180" s="188"/>
      <c r="F180" s="186">
        <f t="shared" si="7"/>
        <v>0</v>
      </c>
      <c r="G180" s="186" t="str">
        <f>IF(IFERROR(IF(Str_TypeDonneesCpt8=Cpt_Index,Tab_Compteur_8[[#This Row],[Index]]-E179,Tab_Compteur_8[[#This Row],[Quantité]])/Tab_Compteur_8[[#This Row],[Delta Jour]],"")&lt;0,"",IFERROR(IF(Str_TypeDonneesCpt8=Cpt_Index,Tab_Compteur_8[[#This Row],[Index]]-E179,Tab_Compteur_8[[#This Row],[Quantité]])/Tab_Compteur_8[[#This Row],[Delta Jour]],""))</f>
        <v/>
      </c>
      <c r="H180" s="186" t="str">
        <f>IFERROR(Tab_Compteur_8[[#This Row],[Montant]]/Tab_Compteur_8[[#This Row],[Delta Jour]],"")</f>
        <v/>
      </c>
      <c r="I180" s="208" t="str">
        <f t="shared" si="6"/>
        <v/>
      </c>
      <c r="J180" s="209"/>
      <c r="K180" s="38"/>
      <c r="L180" s="38"/>
      <c r="M180" s="38"/>
    </row>
    <row r="181" spans="1:13">
      <c r="A181" s="464">
        <f t="shared" si="8"/>
        <v>1</v>
      </c>
      <c r="B181" s="87"/>
      <c r="C181" s="189"/>
      <c r="D181" s="188"/>
      <c r="F181" s="186">
        <f t="shared" si="7"/>
        <v>0</v>
      </c>
      <c r="G181" s="186" t="str">
        <f>IF(IFERROR(IF(Str_TypeDonneesCpt8=Cpt_Index,Tab_Compteur_8[[#This Row],[Index]]-E180,Tab_Compteur_8[[#This Row],[Quantité]])/Tab_Compteur_8[[#This Row],[Delta Jour]],"")&lt;0,"",IFERROR(IF(Str_TypeDonneesCpt8=Cpt_Index,Tab_Compteur_8[[#This Row],[Index]]-E180,Tab_Compteur_8[[#This Row],[Quantité]])/Tab_Compteur_8[[#This Row],[Delta Jour]],""))</f>
        <v/>
      </c>
      <c r="H181" s="186" t="str">
        <f>IFERROR(Tab_Compteur_8[[#This Row],[Montant]]/Tab_Compteur_8[[#This Row],[Delta Jour]],"")</f>
        <v/>
      </c>
      <c r="I181" s="208" t="str">
        <f t="shared" si="6"/>
        <v/>
      </c>
      <c r="J181" s="209"/>
      <c r="K181" s="38"/>
      <c r="L181" s="38"/>
      <c r="M181" s="38"/>
    </row>
    <row r="182" spans="1:13">
      <c r="A182" s="464">
        <f t="shared" si="8"/>
        <v>1</v>
      </c>
      <c r="B182" s="87"/>
      <c r="C182" s="189"/>
      <c r="D182" s="188"/>
      <c r="F182" s="186">
        <f t="shared" si="7"/>
        <v>0</v>
      </c>
      <c r="G182" s="186" t="str">
        <f>IF(IFERROR(IF(Str_TypeDonneesCpt8=Cpt_Index,Tab_Compteur_8[[#This Row],[Index]]-E181,Tab_Compteur_8[[#This Row],[Quantité]])/Tab_Compteur_8[[#This Row],[Delta Jour]],"")&lt;0,"",IFERROR(IF(Str_TypeDonneesCpt8=Cpt_Index,Tab_Compteur_8[[#This Row],[Index]]-E181,Tab_Compteur_8[[#This Row],[Quantité]])/Tab_Compteur_8[[#This Row],[Delta Jour]],""))</f>
        <v/>
      </c>
      <c r="H182" s="186" t="str">
        <f>IFERROR(Tab_Compteur_8[[#This Row],[Montant]]/Tab_Compteur_8[[#This Row],[Delta Jour]],"")</f>
        <v/>
      </c>
      <c r="I182" s="208" t="str">
        <f t="shared" si="6"/>
        <v/>
      </c>
      <c r="J182" s="209"/>
      <c r="K182" s="38"/>
      <c r="L182" s="38"/>
      <c r="M182" s="38"/>
    </row>
    <row r="183" spans="1:13">
      <c r="A183" s="464">
        <f t="shared" si="8"/>
        <v>1</v>
      </c>
      <c r="B183" s="87"/>
      <c r="C183" s="189"/>
      <c r="D183" s="188"/>
      <c r="F183" s="186">
        <f t="shared" si="7"/>
        <v>0</v>
      </c>
      <c r="G183" s="186" t="str">
        <f>IF(IFERROR(IF(Str_TypeDonneesCpt8=Cpt_Index,Tab_Compteur_8[[#This Row],[Index]]-E182,Tab_Compteur_8[[#This Row],[Quantité]])/Tab_Compteur_8[[#This Row],[Delta Jour]],"")&lt;0,"",IFERROR(IF(Str_TypeDonneesCpt8=Cpt_Index,Tab_Compteur_8[[#This Row],[Index]]-E182,Tab_Compteur_8[[#This Row],[Quantité]])/Tab_Compteur_8[[#This Row],[Delta Jour]],""))</f>
        <v/>
      </c>
      <c r="H183" s="186" t="str">
        <f>IFERROR(Tab_Compteur_8[[#This Row],[Montant]]/Tab_Compteur_8[[#This Row],[Delta Jour]],"")</f>
        <v/>
      </c>
      <c r="I183" s="208" t="str">
        <f t="shared" si="6"/>
        <v/>
      </c>
      <c r="J183" s="209"/>
      <c r="K183" s="38"/>
      <c r="L183" s="38"/>
      <c r="M183" s="38"/>
    </row>
    <row r="184" spans="1:13">
      <c r="A184" s="464">
        <f t="shared" si="8"/>
        <v>1</v>
      </c>
      <c r="B184" s="87"/>
      <c r="C184" s="189"/>
      <c r="D184" s="188"/>
      <c r="F184" s="186">
        <f t="shared" si="7"/>
        <v>0</v>
      </c>
      <c r="G184" s="186" t="str">
        <f>IF(IFERROR(IF(Str_TypeDonneesCpt8=Cpt_Index,Tab_Compteur_8[[#This Row],[Index]]-E183,Tab_Compteur_8[[#This Row],[Quantité]])/Tab_Compteur_8[[#This Row],[Delta Jour]],"")&lt;0,"",IFERROR(IF(Str_TypeDonneesCpt8=Cpt_Index,Tab_Compteur_8[[#This Row],[Index]]-E183,Tab_Compteur_8[[#This Row],[Quantité]])/Tab_Compteur_8[[#This Row],[Delta Jour]],""))</f>
        <v/>
      </c>
      <c r="H184" s="186" t="str">
        <f>IFERROR(Tab_Compteur_8[[#This Row],[Montant]]/Tab_Compteur_8[[#This Row],[Delta Jour]],"")</f>
        <v/>
      </c>
      <c r="I184" s="208" t="str">
        <f t="shared" si="6"/>
        <v/>
      </c>
      <c r="J184" s="209"/>
      <c r="K184" s="38"/>
      <c r="L184" s="38"/>
      <c r="M184" s="38"/>
    </row>
    <row r="185" spans="1:13">
      <c r="A185" s="464">
        <f t="shared" si="8"/>
        <v>1</v>
      </c>
      <c r="B185" s="87"/>
      <c r="C185" s="189"/>
      <c r="D185" s="188"/>
      <c r="F185" s="186">
        <f t="shared" si="7"/>
        <v>0</v>
      </c>
      <c r="G185" s="186" t="str">
        <f>IF(IFERROR(IF(Str_TypeDonneesCpt8=Cpt_Index,Tab_Compteur_8[[#This Row],[Index]]-E184,Tab_Compteur_8[[#This Row],[Quantité]])/Tab_Compteur_8[[#This Row],[Delta Jour]],"")&lt;0,"",IFERROR(IF(Str_TypeDonneesCpt8=Cpt_Index,Tab_Compteur_8[[#This Row],[Index]]-E184,Tab_Compteur_8[[#This Row],[Quantité]])/Tab_Compteur_8[[#This Row],[Delta Jour]],""))</f>
        <v/>
      </c>
      <c r="H185" s="186" t="str">
        <f>IFERROR(Tab_Compteur_8[[#This Row],[Montant]]/Tab_Compteur_8[[#This Row],[Delta Jour]],"")</f>
        <v/>
      </c>
      <c r="I185" s="208" t="str">
        <f t="shared" si="6"/>
        <v/>
      </c>
      <c r="J185" s="209"/>
      <c r="K185" s="38"/>
      <c r="L185" s="38"/>
      <c r="M185" s="38"/>
    </row>
    <row r="186" spans="1:13">
      <c r="A186" s="464">
        <f t="shared" si="8"/>
        <v>1</v>
      </c>
      <c r="B186" s="87"/>
      <c r="C186" s="189"/>
      <c r="D186" s="188"/>
      <c r="F186" s="186">
        <f t="shared" si="7"/>
        <v>0</v>
      </c>
      <c r="G186" s="186" t="str">
        <f>IF(IFERROR(IF(Str_TypeDonneesCpt8=Cpt_Index,Tab_Compteur_8[[#This Row],[Index]]-E185,Tab_Compteur_8[[#This Row],[Quantité]])/Tab_Compteur_8[[#This Row],[Delta Jour]],"")&lt;0,"",IFERROR(IF(Str_TypeDonneesCpt8=Cpt_Index,Tab_Compteur_8[[#This Row],[Index]]-E185,Tab_Compteur_8[[#This Row],[Quantité]])/Tab_Compteur_8[[#This Row],[Delta Jour]],""))</f>
        <v/>
      </c>
      <c r="H186" s="186" t="str">
        <f>IFERROR(Tab_Compteur_8[[#This Row],[Montant]]/Tab_Compteur_8[[#This Row],[Delta Jour]],"")</f>
        <v/>
      </c>
      <c r="I186" s="208" t="str">
        <f t="shared" si="6"/>
        <v/>
      </c>
      <c r="J186" s="209"/>
      <c r="K186" s="38"/>
      <c r="L186" s="38"/>
      <c r="M186" s="38"/>
    </row>
    <row r="187" spans="1:13">
      <c r="A187" s="464">
        <f t="shared" si="8"/>
        <v>1</v>
      </c>
      <c r="B187" s="87"/>
      <c r="C187" s="189"/>
      <c r="D187" s="188"/>
      <c r="F187" s="186">
        <f t="shared" si="7"/>
        <v>0</v>
      </c>
      <c r="G187" s="186" t="str">
        <f>IF(IFERROR(IF(Str_TypeDonneesCpt8=Cpt_Index,Tab_Compteur_8[[#This Row],[Index]]-E186,Tab_Compteur_8[[#This Row],[Quantité]])/Tab_Compteur_8[[#This Row],[Delta Jour]],"")&lt;0,"",IFERROR(IF(Str_TypeDonneesCpt8=Cpt_Index,Tab_Compteur_8[[#This Row],[Index]]-E186,Tab_Compteur_8[[#This Row],[Quantité]])/Tab_Compteur_8[[#This Row],[Delta Jour]],""))</f>
        <v/>
      </c>
      <c r="H187" s="186" t="str">
        <f>IFERROR(Tab_Compteur_8[[#This Row],[Montant]]/Tab_Compteur_8[[#This Row],[Delta Jour]],"")</f>
        <v/>
      </c>
      <c r="I187" s="208" t="str">
        <f t="shared" si="6"/>
        <v/>
      </c>
      <c r="J187" s="209"/>
      <c r="K187" s="38"/>
      <c r="L187" s="38"/>
      <c r="M187" s="38"/>
    </row>
    <row r="188" spans="1:13">
      <c r="A188" s="464">
        <f t="shared" si="8"/>
        <v>1</v>
      </c>
      <c r="B188" s="87"/>
      <c r="C188" s="189"/>
      <c r="D188" s="188"/>
      <c r="F188" s="186">
        <f t="shared" si="7"/>
        <v>0</v>
      </c>
      <c r="G188" s="186" t="str">
        <f>IF(IFERROR(IF(Str_TypeDonneesCpt8=Cpt_Index,Tab_Compteur_8[[#This Row],[Index]]-E187,Tab_Compteur_8[[#This Row],[Quantité]])/Tab_Compteur_8[[#This Row],[Delta Jour]],"")&lt;0,"",IFERROR(IF(Str_TypeDonneesCpt8=Cpt_Index,Tab_Compteur_8[[#This Row],[Index]]-E187,Tab_Compteur_8[[#This Row],[Quantité]])/Tab_Compteur_8[[#This Row],[Delta Jour]],""))</f>
        <v/>
      </c>
      <c r="H188" s="186" t="str">
        <f>IFERROR(Tab_Compteur_8[[#This Row],[Montant]]/Tab_Compteur_8[[#This Row],[Delta Jour]],"")</f>
        <v/>
      </c>
      <c r="I188" s="208" t="str">
        <f t="shared" si="6"/>
        <v/>
      </c>
      <c r="J188" s="209"/>
      <c r="K188" s="38"/>
      <c r="L188" s="38"/>
      <c r="M188" s="38"/>
    </row>
    <row r="189" spans="1:13">
      <c r="A189" s="464">
        <f t="shared" si="8"/>
        <v>1</v>
      </c>
      <c r="B189" s="87"/>
      <c r="C189" s="189"/>
      <c r="D189" s="188"/>
      <c r="F189" s="186">
        <f t="shared" si="7"/>
        <v>0</v>
      </c>
      <c r="G189" s="186" t="str">
        <f>IF(IFERROR(IF(Str_TypeDonneesCpt8=Cpt_Index,Tab_Compteur_8[[#This Row],[Index]]-E188,Tab_Compteur_8[[#This Row],[Quantité]])/Tab_Compteur_8[[#This Row],[Delta Jour]],"")&lt;0,"",IFERROR(IF(Str_TypeDonneesCpt8=Cpt_Index,Tab_Compteur_8[[#This Row],[Index]]-E188,Tab_Compteur_8[[#This Row],[Quantité]])/Tab_Compteur_8[[#This Row],[Delta Jour]],""))</f>
        <v/>
      </c>
      <c r="H189" s="186" t="str">
        <f>IFERROR(Tab_Compteur_8[[#This Row],[Montant]]/Tab_Compteur_8[[#This Row],[Delta Jour]],"")</f>
        <v/>
      </c>
      <c r="I189" s="208" t="str">
        <f t="shared" si="6"/>
        <v/>
      </c>
      <c r="J189" s="209"/>
      <c r="K189" s="38"/>
      <c r="L189" s="38"/>
      <c r="M189" s="38"/>
    </row>
    <row r="190" spans="1:13">
      <c r="A190" s="464">
        <f t="shared" si="8"/>
        <v>1</v>
      </c>
      <c r="B190" s="87"/>
      <c r="C190" s="189"/>
      <c r="D190" s="188"/>
      <c r="F190" s="186">
        <f t="shared" si="7"/>
        <v>0</v>
      </c>
      <c r="G190" s="186" t="str">
        <f>IF(IFERROR(IF(Str_TypeDonneesCpt8=Cpt_Index,Tab_Compteur_8[[#This Row],[Index]]-E189,Tab_Compteur_8[[#This Row],[Quantité]])/Tab_Compteur_8[[#This Row],[Delta Jour]],"")&lt;0,"",IFERROR(IF(Str_TypeDonneesCpt8=Cpt_Index,Tab_Compteur_8[[#This Row],[Index]]-E189,Tab_Compteur_8[[#This Row],[Quantité]])/Tab_Compteur_8[[#This Row],[Delta Jour]],""))</f>
        <v/>
      </c>
      <c r="H190" s="186" t="str">
        <f>IFERROR(Tab_Compteur_8[[#This Row],[Montant]]/Tab_Compteur_8[[#This Row],[Delta Jour]],"")</f>
        <v/>
      </c>
      <c r="I190" s="208" t="str">
        <f t="shared" si="6"/>
        <v/>
      </c>
      <c r="J190" s="209"/>
      <c r="K190" s="38"/>
      <c r="L190" s="38"/>
      <c r="M190" s="38"/>
    </row>
    <row r="191" spans="1:13">
      <c r="A191" s="464">
        <f t="shared" si="8"/>
        <v>1</v>
      </c>
      <c r="B191" s="87"/>
      <c r="C191" s="189"/>
      <c r="D191" s="188"/>
      <c r="F191" s="186">
        <f t="shared" si="7"/>
        <v>0</v>
      </c>
      <c r="G191" s="186" t="str">
        <f>IF(IFERROR(IF(Str_TypeDonneesCpt8=Cpt_Index,Tab_Compteur_8[[#This Row],[Index]]-E190,Tab_Compteur_8[[#This Row],[Quantité]])/Tab_Compteur_8[[#This Row],[Delta Jour]],"")&lt;0,"",IFERROR(IF(Str_TypeDonneesCpt8=Cpt_Index,Tab_Compteur_8[[#This Row],[Index]]-E190,Tab_Compteur_8[[#This Row],[Quantité]])/Tab_Compteur_8[[#This Row],[Delta Jour]],""))</f>
        <v/>
      </c>
      <c r="H191" s="186" t="str">
        <f>IFERROR(Tab_Compteur_8[[#This Row],[Montant]]/Tab_Compteur_8[[#This Row],[Delta Jour]],"")</f>
        <v/>
      </c>
      <c r="I191" s="208" t="str">
        <f t="shared" si="6"/>
        <v/>
      </c>
      <c r="J191" s="209"/>
      <c r="K191" s="38"/>
      <c r="L191" s="38"/>
      <c r="M191" s="38"/>
    </row>
    <row r="192" spans="1:13">
      <c r="A192" s="464">
        <f t="shared" si="8"/>
        <v>1</v>
      </c>
      <c r="B192" s="87"/>
      <c r="C192" s="189"/>
      <c r="D192" s="188"/>
      <c r="F192" s="186">
        <f t="shared" si="7"/>
        <v>0</v>
      </c>
      <c r="G192" s="186" t="str">
        <f>IF(IFERROR(IF(Str_TypeDonneesCpt8=Cpt_Index,Tab_Compteur_8[[#This Row],[Index]]-E191,Tab_Compteur_8[[#This Row],[Quantité]])/Tab_Compteur_8[[#This Row],[Delta Jour]],"")&lt;0,"",IFERROR(IF(Str_TypeDonneesCpt8=Cpt_Index,Tab_Compteur_8[[#This Row],[Index]]-E191,Tab_Compteur_8[[#This Row],[Quantité]])/Tab_Compteur_8[[#This Row],[Delta Jour]],""))</f>
        <v/>
      </c>
      <c r="H192" s="186" t="str">
        <f>IFERROR(Tab_Compteur_8[[#This Row],[Montant]]/Tab_Compteur_8[[#This Row],[Delta Jour]],"")</f>
        <v/>
      </c>
      <c r="I192" s="208" t="str">
        <f t="shared" si="6"/>
        <v/>
      </c>
      <c r="J192" s="209"/>
      <c r="K192" s="38"/>
      <c r="L192" s="38"/>
      <c r="M192" s="38"/>
    </row>
    <row r="193" spans="1:13">
      <c r="A193" s="464">
        <f t="shared" si="8"/>
        <v>1</v>
      </c>
      <c r="B193" s="87"/>
      <c r="C193" s="189"/>
      <c r="D193" s="188"/>
      <c r="F193" s="186">
        <f t="shared" si="7"/>
        <v>0</v>
      </c>
      <c r="G193" s="186" t="str">
        <f>IF(IFERROR(IF(Str_TypeDonneesCpt8=Cpt_Index,Tab_Compteur_8[[#This Row],[Index]]-E192,Tab_Compteur_8[[#This Row],[Quantité]])/Tab_Compteur_8[[#This Row],[Delta Jour]],"")&lt;0,"",IFERROR(IF(Str_TypeDonneesCpt8=Cpt_Index,Tab_Compteur_8[[#This Row],[Index]]-E192,Tab_Compteur_8[[#This Row],[Quantité]])/Tab_Compteur_8[[#This Row],[Delta Jour]],""))</f>
        <v/>
      </c>
      <c r="H193" s="186" t="str">
        <f>IFERROR(Tab_Compteur_8[[#This Row],[Montant]]/Tab_Compteur_8[[#This Row],[Delta Jour]],"")</f>
        <v/>
      </c>
      <c r="I193" s="208" t="str">
        <f t="shared" si="6"/>
        <v/>
      </c>
      <c r="J193" s="209"/>
      <c r="K193" s="38"/>
      <c r="L193" s="38"/>
      <c r="M193" s="38"/>
    </row>
    <row r="194" spans="1:13">
      <c r="A194" s="464">
        <f t="shared" si="8"/>
        <v>1</v>
      </c>
      <c r="B194" s="87"/>
      <c r="C194" s="189"/>
      <c r="D194" s="188"/>
      <c r="F194" s="186">
        <f t="shared" si="7"/>
        <v>0</v>
      </c>
      <c r="G194" s="186" t="str">
        <f>IF(IFERROR(IF(Str_TypeDonneesCpt8=Cpt_Index,Tab_Compteur_8[[#This Row],[Index]]-E193,Tab_Compteur_8[[#This Row],[Quantité]])/Tab_Compteur_8[[#This Row],[Delta Jour]],"")&lt;0,"",IFERROR(IF(Str_TypeDonneesCpt8=Cpt_Index,Tab_Compteur_8[[#This Row],[Index]]-E193,Tab_Compteur_8[[#This Row],[Quantité]])/Tab_Compteur_8[[#This Row],[Delta Jour]],""))</f>
        <v/>
      </c>
      <c r="H194" s="186" t="str">
        <f>IFERROR(Tab_Compteur_8[[#This Row],[Montant]]/Tab_Compteur_8[[#This Row],[Delta Jour]],"")</f>
        <v/>
      </c>
      <c r="I194" s="208" t="str">
        <f t="shared" si="6"/>
        <v/>
      </c>
      <c r="J194" s="209"/>
      <c r="K194" s="38"/>
      <c r="L194" s="38"/>
      <c r="M194" s="38"/>
    </row>
    <row r="195" spans="1:13">
      <c r="A195" s="464">
        <f t="shared" si="8"/>
        <v>1</v>
      </c>
      <c r="B195" s="87"/>
      <c r="C195" s="189"/>
      <c r="D195" s="188"/>
      <c r="F195" s="186">
        <f t="shared" si="7"/>
        <v>0</v>
      </c>
      <c r="G195" s="186" t="str">
        <f>IF(IFERROR(IF(Str_TypeDonneesCpt8=Cpt_Index,Tab_Compteur_8[[#This Row],[Index]]-E194,Tab_Compteur_8[[#This Row],[Quantité]])/Tab_Compteur_8[[#This Row],[Delta Jour]],"")&lt;0,"",IFERROR(IF(Str_TypeDonneesCpt8=Cpt_Index,Tab_Compteur_8[[#This Row],[Index]]-E194,Tab_Compteur_8[[#This Row],[Quantité]])/Tab_Compteur_8[[#This Row],[Delta Jour]],""))</f>
        <v/>
      </c>
      <c r="H195" s="186" t="str">
        <f>IFERROR(Tab_Compteur_8[[#This Row],[Montant]]/Tab_Compteur_8[[#This Row],[Delta Jour]],"")</f>
        <v/>
      </c>
      <c r="I195" s="208" t="str">
        <f t="shared" ref="I195:I243" si="9">G195</f>
        <v/>
      </c>
      <c r="J195" s="209"/>
      <c r="K195" s="38"/>
      <c r="L195" s="38"/>
      <c r="M195" s="38"/>
    </row>
    <row r="196" spans="1:13">
      <c r="A196" s="464">
        <f t="shared" si="8"/>
        <v>1</v>
      </c>
      <c r="B196" s="87"/>
      <c r="C196" s="189"/>
      <c r="D196" s="188"/>
      <c r="F196" s="186">
        <f t="shared" si="7"/>
        <v>0</v>
      </c>
      <c r="G196" s="186" t="str">
        <f>IF(IFERROR(IF(Str_TypeDonneesCpt8=Cpt_Index,Tab_Compteur_8[[#This Row],[Index]]-E195,Tab_Compteur_8[[#This Row],[Quantité]])/Tab_Compteur_8[[#This Row],[Delta Jour]],"")&lt;0,"",IFERROR(IF(Str_TypeDonneesCpt8=Cpt_Index,Tab_Compteur_8[[#This Row],[Index]]-E195,Tab_Compteur_8[[#This Row],[Quantité]])/Tab_Compteur_8[[#This Row],[Delta Jour]],""))</f>
        <v/>
      </c>
      <c r="H196" s="186" t="str">
        <f>IFERROR(Tab_Compteur_8[[#This Row],[Montant]]/Tab_Compteur_8[[#This Row],[Delta Jour]],"")</f>
        <v/>
      </c>
      <c r="I196" s="208" t="str">
        <f t="shared" si="9"/>
        <v/>
      </c>
      <c r="J196" s="209"/>
      <c r="K196" s="38"/>
      <c r="L196" s="38"/>
      <c r="M196" s="38"/>
    </row>
    <row r="197" spans="1:13">
      <c r="A197" s="464">
        <f t="shared" si="8"/>
        <v>1</v>
      </c>
      <c r="B197" s="87"/>
      <c r="C197" s="189"/>
      <c r="D197" s="188"/>
      <c r="F197" s="186">
        <f t="shared" ref="F197:F243" si="10">IFERROR(B197-A197+1,"")</f>
        <v>0</v>
      </c>
      <c r="G197" s="186" t="str">
        <f>IF(IFERROR(IF(Str_TypeDonneesCpt8=Cpt_Index,Tab_Compteur_8[[#This Row],[Index]]-E196,Tab_Compteur_8[[#This Row],[Quantité]])/Tab_Compteur_8[[#This Row],[Delta Jour]],"")&lt;0,"",IFERROR(IF(Str_TypeDonneesCpt8=Cpt_Index,Tab_Compteur_8[[#This Row],[Index]]-E196,Tab_Compteur_8[[#This Row],[Quantité]])/Tab_Compteur_8[[#This Row],[Delta Jour]],""))</f>
        <v/>
      </c>
      <c r="H197" s="186" t="str">
        <f>IFERROR(Tab_Compteur_8[[#This Row],[Montant]]/Tab_Compteur_8[[#This Row],[Delta Jour]],"")</f>
        <v/>
      </c>
      <c r="I197" s="208" t="str">
        <f t="shared" si="9"/>
        <v/>
      </c>
      <c r="J197" s="209"/>
      <c r="K197" s="38"/>
      <c r="L197" s="38"/>
      <c r="M197" s="38"/>
    </row>
    <row r="198" spans="1:13">
      <c r="A198" s="464">
        <f t="shared" ref="A198:A243" si="11">IFERROR(B197+1,0)</f>
        <v>1</v>
      </c>
      <c r="B198" s="87"/>
      <c r="C198" s="189"/>
      <c r="D198" s="188"/>
      <c r="F198" s="186">
        <f t="shared" si="10"/>
        <v>0</v>
      </c>
      <c r="G198" s="186" t="str">
        <f>IF(IFERROR(IF(Str_TypeDonneesCpt8=Cpt_Index,Tab_Compteur_8[[#This Row],[Index]]-E197,Tab_Compteur_8[[#This Row],[Quantité]])/Tab_Compteur_8[[#This Row],[Delta Jour]],"")&lt;0,"",IFERROR(IF(Str_TypeDonneesCpt8=Cpt_Index,Tab_Compteur_8[[#This Row],[Index]]-E197,Tab_Compteur_8[[#This Row],[Quantité]])/Tab_Compteur_8[[#This Row],[Delta Jour]],""))</f>
        <v/>
      </c>
      <c r="H198" s="186" t="str">
        <f>IFERROR(Tab_Compteur_8[[#This Row],[Montant]]/Tab_Compteur_8[[#This Row],[Delta Jour]],"")</f>
        <v/>
      </c>
      <c r="I198" s="208" t="str">
        <f t="shared" si="9"/>
        <v/>
      </c>
      <c r="J198" s="209"/>
      <c r="K198" s="38"/>
      <c r="L198" s="38"/>
      <c r="M198" s="38"/>
    </row>
    <row r="199" spans="1:13">
      <c r="A199" s="464">
        <f t="shared" si="11"/>
        <v>1</v>
      </c>
      <c r="B199" s="87"/>
      <c r="C199" s="189"/>
      <c r="D199" s="188"/>
      <c r="F199" s="186">
        <f t="shared" si="10"/>
        <v>0</v>
      </c>
      <c r="G199" s="186" t="str">
        <f>IF(IFERROR(IF(Str_TypeDonneesCpt8=Cpt_Index,Tab_Compteur_8[[#This Row],[Index]]-E198,Tab_Compteur_8[[#This Row],[Quantité]])/Tab_Compteur_8[[#This Row],[Delta Jour]],"")&lt;0,"",IFERROR(IF(Str_TypeDonneesCpt8=Cpt_Index,Tab_Compteur_8[[#This Row],[Index]]-E198,Tab_Compteur_8[[#This Row],[Quantité]])/Tab_Compteur_8[[#This Row],[Delta Jour]],""))</f>
        <v/>
      </c>
      <c r="H199" s="186" t="str">
        <f>IFERROR(Tab_Compteur_8[[#This Row],[Montant]]/Tab_Compteur_8[[#This Row],[Delta Jour]],"")</f>
        <v/>
      </c>
      <c r="I199" s="208" t="str">
        <f t="shared" si="9"/>
        <v/>
      </c>
      <c r="J199" s="209"/>
      <c r="K199" s="38"/>
      <c r="L199" s="38"/>
      <c r="M199" s="38"/>
    </row>
    <row r="200" spans="1:13">
      <c r="A200" s="464">
        <f t="shared" si="11"/>
        <v>1</v>
      </c>
      <c r="B200" s="87"/>
      <c r="C200" s="189"/>
      <c r="D200" s="188"/>
      <c r="F200" s="186">
        <f t="shared" si="10"/>
        <v>0</v>
      </c>
      <c r="G200" s="186" t="str">
        <f>IF(IFERROR(IF(Str_TypeDonneesCpt8=Cpt_Index,Tab_Compteur_8[[#This Row],[Index]]-E199,Tab_Compteur_8[[#This Row],[Quantité]])/Tab_Compteur_8[[#This Row],[Delta Jour]],"")&lt;0,"",IFERROR(IF(Str_TypeDonneesCpt8=Cpt_Index,Tab_Compteur_8[[#This Row],[Index]]-E199,Tab_Compteur_8[[#This Row],[Quantité]])/Tab_Compteur_8[[#This Row],[Delta Jour]],""))</f>
        <v/>
      </c>
      <c r="H200" s="186" t="str">
        <f>IFERROR(Tab_Compteur_8[[#This Row],[Montant]]/Tab_Compteur_8[[#This Row],[Delta Jour]],"")</f>
        <v/>
      </c>
      <c r="I200" s="208" t="str">
        <f t="shared" si="9"/>
        <v/>
      </c>
      <c r="J200" s="209"/>
      <c r="K200" s="38"/>
      <c r="L200" s="38"/>
      <c r="M200" s="38"/>
    </row>
    <row r="201" spans="1:13">
      <c r="A201" s="464">
        <f t="shared" si="11"/>
        <v>1</v>
      </c>
      <c r="B201" s="87"/>
      <c r="C201" s="189"/>
      <c r="D201" s="188"/>
      <c r="F201" s="186">
        <f t="shared" si="10"/>
        <v>0</v>
      </c>
      <c r="G201" s="186" t="str">
        <f>IF(IFERROR(IF(Str_TypeDonneesCpt8=Cpt_Index,Tab_Compteur_8[[#This Row],[Index]]-E200,Tab_Compteur_8[[#This Row],[Quantité]])/Tab_Compteur_8[[#This Row],[Delta Jour]],"")&lt;0,"",IFERROR(IF(Str_TypeDonneesCpt8=Cpt_Index,Tab_Compteur_8[[#This Row],[Index]]-E200,Tab_Compteur_8[[#This Row],[Quantité]])/Tab_Compteur_8[[#This Row],[Delta Jour]],""))</f>
        <v/>
      </c>
      <c r="H201" s="186" t="str">
        <f>IFERROR(Tab_Compteur_8[[#This Row],[Montant]]/Tab_Compteur_8[[#This Row],[Delta Jour]],"")</f>
        <v/>
      </c>
      <c r="I201" s="208" t="str">
        <f t="shared" si="9"/>
        <v/>
      </c>
      <c r="J201" s="209"/>
      <c r="K201" s="38"/>
      <c r="L201" s="38"/>
      <c r="M201" s="38"/>
    </row>
    <row r="202" spans="1:13">
      <c r="A202" s="464">
        <f t="shared" si="11"/>
        <v>1</v>
      </c>
      <c r="B202" s="87"/>
      <c r="C202" s="189"/>
      <c r="D202" s="188"/>
      <c r="F202" s="186">
        <f t="shared" si="10"/>
        <v>0</v>
      </c>
      <c r="G202" s="186" t="str">
        <f>IF(IFERROR(IF(Str_TypeDonneesCpt8=Cpt_Index,Tab_Compteur_8[[#This Row],[Index]]-E201,Tab_Compteur_8[[#This Row],[Quantité]])/Tab_Compteur_8[[#This Row],[Delta Jour]],"")&lt;0,"",IFERROR(IF(Str_TypeDonneesCpt8=Cpt_Index,Tab_Compteur_8[[#This Row],[Index]]-E201,Tab_Compteur_8[[#This Row],[Quantité]])/Tab_Compteur_8[[#This Row],[Delta Jour]],""))</f>
        <v/>
      </c>
      <c r="H202" s="186" t="str">
        <f>IFERROR(Tab_Compteur_8[[#This Row],[Montant]]/Tab_Compteur_8[[#This Row],[Delta Jour]],"")</f>
        <v/>
      </c>
      <c r="I202" s="208" t="str">
        <f t="shared" si="9"/>
        <v/>
      </c>
      <c r="J202" s="209"/>
      <c r="K202" s="38"/>
      <c r="L202" s="38"/>
      <c r="M202" s="38"/>
    </row>
    <row r="203" spans="1:13">
      <c r="A203" s="464">
        <f t="shared" si="11"/>
        <v>1</v>
      </c>
      <c r="B203" s="87"/>
      <c r="C203" s="189"/>
      <c r="D203" s="188"/>
      <c r="F203" s="186">
        <f t="shared" si="10"/>
        <v>0</v>
      </c>
      <c r="G203" s="186" t="str">
        <f>IF(IFERROR(IF(Str_TypeDonneesCpt8=Cpt_Index,Tab_Compteur_8[[#This Row],[Index]]-E202,Tab_Compteur_8[[#This Row],[Quantité]])/Tab_Compteur_8[[#This Row],[Delta Jour]],"")&lt;0,"",IFERROR(IF(Str_TypeDonneesCpt8=Cpt_Index,Tab_Compteur_8[[#This Row],[Index]]-E202,Tab_Compteur_8[[#This Row],[Quantité]])/Tab_Compteur_8[[#This Row],[Delta Jour]],""))</f>
        <v/>
      </c>
      <c r="H203" s="186" t="str">
        <f>IFERROR(Tab_Compteur_8[[#This Row],[Montant]]/Tab_Compteur_8[[#This Row],[Delta Jour]],"")</f>
        <v/>
      </c>
      <c r="I203" s="208" t="str">
        <f t="shared" si="9"/>
        <v/>
      </c>
      <c r="J203" s="209"/>
      <c r="K203" s="38"/>
      <c r="L203" s="38"/>
      <c r="M203" s="38"/>
    </row>
    <row r="204" spans="1:13">
      <c r="A204" s="464">
        <f t="shared" si="11"/>
        <v>1</v>
      </c>
      <c r="B204" s="87"/>
      <c r="C204" s="189"/>
      <c r="D204" s="188"/>
      <c r="F204" s="186">
        <f t="shared" si="10"/>
        <v>0</v>
      </c>
      <c r="G204" s="186" t="str">
        <f>IF(IFERROR(IF(Str_TypeDonneesCpt8=Cpt_Index,Tab_Compteur_8[[#This Row],[Index]]-E203,Tab_Compteur_8[[#This Row],[Quantité]])/Tab_Compteur_8[[#This Row],[Delta Jour]],"")&lt;0,"",IFERROR(IF(Str_TypeDonneesCpt8=Cpt_Index,Tab_Compteur_8[[#This Row],[Index]]-E203,Tab_Compteur_8[[#This Row],[Quantité]])/Tab_Compteur_8[[#This Row],[Delta Jour]],""))</f>
        <v/>
      </c>
      <c r="H204" s="186" t="str">
        <f>IFERROR(Tab_Compteur_8[[#This Row],[Montant]]/Tab_Compteur_8[[#This Row],[Delta Jour]],"")</f>
        <v/>
      </c>
      <c r="I204" s="208" t="str">
        <f t="shared" si="9"/>
        <v/>
      </c>
      <c r="J204" s="209"/>
      <c r="K204" s="38"/>
      <c r="L204" s="38"/>
      <c r="M204" s="38"/>
    </row>
    <row r="205" spans="1:13">
      <c r="A205" s="464">
        <f t="shared" si="11"/>
        <v>1</v>
      </c>
      <c r="B205" s="87"/>
      <c r="C205" s="189"/>
      <c r="D205" s="188"/>
      <c r="F205" s="186">
        <f t="shared" si="10"/>
        <v>0</v>
      </c>
      <c r="G205" s="186" t="str">
        <f>IF(IFERROR(IF(Str_TypeDonneesCpt8=Cpt_Index,Tab_Compteur_8[[#This Row],[Index]]-E204,Tab_Compteur_8[[#This Row],[Quantité]])/Tab_Compteur_8[[#This Row],[Delta Jour]],"")&lt;0,"",IFERROR(IF(Str_TypeDonneesCpt8=Cpt_Index,Tab_Compteur_8[[#This Row],[Index]]-E204,Tab_Compteur_8[[#This Row],[Quantité]])/Tab_Compteur_8[[#This Row],[Delta Jour]],""))</f>
        <v/>
      </c>
      <c r="H205" s="186" t="str">
        <f>IFERROR(Tab_Compteur_8[[#This Row],[Montant]]/Tab_Compteur_8[[#This Row],[Delta Jour]],"")</f>
        <v/>
      </c>
      <c r="I205" s="208" t="str">
        <f t="shared" si="9"/>
        <v/>
      </c>
      <c r="J205" s="209"/>
      <c r="K205" s="38"/>
      <c r="L205" s="38"/>
      <c r="M205" s="38"/>
    </row>
    <row r="206" spans="1:13">
      <c r="A206" s="464">
        <f t="shared" si="11"/>
        <v>1</v>
      </c>
      <c r="B206" s="87"/>
      <c r="C206" s="189"/>
      <c r="D206" s="188"/>
      <c r="F206" s="186">
        <f t="shared" si="10"/>
        <v>0</v>
      </c>
      <c r="G206" s="186" t="str">
        <f>IF(IFERROR(IF(Str_TypeDonneesCpt8=Cpt_Index,Tab_Compteur_8[[#This Row],[Index]]-E205,Tab_Compteur_8[[#This Row],[Quantité]])/Tab_Compteur_8[[#This Row],[Delta Jour]],"")&lt;0,"",IFERROR(IF(Str_TypeDonneesCpt8=Cpt_Index,Tab_Compteur_8[[#This Row],[Index]]-E205,Tab_Compteur_8[[#This Row],[Quantité]])/Tab_Compteur_8[[#This Row],[Delta Jour]],""))</f>
        <v/>
      </c>
      <c r="H206" s="186" t="str">
        <f>IFERROR(Tab_Compteur_8[[#This Row],[Montant]]/Tab_Compteur_8[[#This Row],[Delta Jour]],"")</f>
        <v/>
      </c>
      <c r="I206" s="208" t="str">
        <f t="shared" si="9"/>
        <v/>
      </c>
      <c r="J206" s="209"/>
      <c r="K206" s="38"/>
      <c r="L206" s="38"/>
      <c r="M206" s="38"/>
    </row>
    <row r="207" spans="1:13">
      <c r="A207" s="464">
        <f t="shared" si="11"/>
        <v>1</v>
      </c>
      <c r="B207" s="87"/>
      <c r="C207" s="189"/>
      <c r="D207" s="188"/>
      <c r="F207" s="186">
        <f t="shared" si="10"/>
        <v>0</v>
      </c>
      <c r="G207" s="186" t="str">
        <f>IF(IFERROR(IF(Str_TypeDonneesCpt8=Cpt_Index,Tab_Compteur_8[[#This Row],[Index]]-E206,Tab_Compteur_8[[#This Row],[Quantité]])/Tab_Compteur_8[[#This Row],[Delta Jour]],"")&lt;0,"",IFERROR(IF(Str_TypeDonneesCpt8=Cpt_Index,Tab_Compteur_8[[#This Row],[Index]]-E206,Tab_Compteur_8[[#This Row],[Quantité]])/Tab_Compteur_8[[#This Row],[Delta Jour]],""))</f>
        <v/>
      </c>
      <c r="H207" s="186" t="str">
        <f>IFERROR(Tab_Compteur_8[[#This Row],[Montant]]/Tab_Compteur_8[[#This Row],[Delta Jour]],"")</f>
        <v/>
      </c>
      <c r="I207" s="208" t="str">
        <f t="shared" si="9"/>
        <v/>
      </c>
      <c r="J207" s="209"/>
      <c r="K207" s="38"/>
      <c r="L207" s="38"/>
      <c r="M207" s="38"/>
    </row>
    <row r="208" spans="1:13">
      <c r="A208" s="464">
        <f t="shared" si="11"/>
        <v>1</v>
      </c>
      <c r="B208" s="87"/>
      <c r="C208" s="189"/>
      <c r="D208" s="188"/>
      <c r="F208" s="186">
        <f t="shared" si="10"/>
        <v>0</v>
      </c>
      <c r="G208" s="186" t="str">
        <f>IF(IFERROR(IF(Str_TypeDonneesCpt8=Cpt_Index,Tab_Compteur_8[[#This Row],[Index]]-E207,Tab_Compteur_8[[#This Row],[Quantité]])/Tab_Compteur_8[[#This Row],[Delta Jour]],"")&lt;0,"",IFERROR(IF(Str_TypeDonneesCpt8=Cpt_Index,Tab_Compteur_8[[#This Row],[Index]]-E207,Tab_Compteur_8[[#This Row],[Quantité]])/Tab_Compteur_8[[#This Row],[Delta Jour]],""))</f>
        <v/>
      </c>
      <c r="H208" s="186" t="str">
        <f>IFERROR(Tab_Compteur_8[[#This Row],[Montant]]/Tab_Compteur_8[[#This Row],[Delta Jour]],"")</f>
        <v/>
      </c>
      <c r="I208" s="208" t="str">
        <f t="shared" si="9"/>
        <v/>
      </c>
      <c r="J208" s="209"/>
      <c r="K208" s="38"/>
      <c r="L208" s="38"/>
      <c r="M208" s="38"/>
    </row>
    <row r="209" spans="1:13">
      <c r="A209" s="464">
        <f t="shared" si="11"/>
        <v>1</v>
      </c>
      <c r="B209" s="87"/>
      <c r="C209" s="189"/>
      <c r="D209" s="188"/>
      <c r="F209" s="186">
        <f t="shared" si="10"/>
        <v>0</v>
      </c>
      <c r="G209" s="186" t="str">
        <f>IF(IFERROR(IF(Str_TypeDonneesCpt8=Cpt_Index,Tab_Compteur_8[[#This Row],[Index]]-E208,Tab_Compteur_8[[#This Row],[Quantité]])/Tab_Compteur_8[[#This Row],[Delta Jour]],"")&lt;0,"",IFERROR(IF(Str_TypeDonneesCpt8=Cpt_Index,Tab_Compteur_8[[#This Row],[Index]]-E208,Tab_Compteur_8[[#This Row],[Quantité]])/Tab_Compteur_8[[#This Row],[Delta Jour]],""))</f>
        <v/>
      </c>
      <c r="H209" s="186" t="str">
        <f>IFERROR(Tab_Compteur_8[[#This Row],[Montant]]/Tab_Compteur_8[[#This Row],[Delta Jour]],"")</f>
        <v/>
      </c>
      <c r="I209" s="208" t="str">
        <f t="shared" si="9"/>
        <v/>
      </c>
      <c r="J209" s="209"/>
      <c r="K209" s="38"/>
      <c r="L209" s="38"/>
      <c r="M209" s="38"/>
    </row>
    <row r="210" spans="1:13">
      <c r="A210" s="464">
        <f t="shared" si="11"/>
        <v>1</v>
      </c>
      <c r="B210" s="87"/>
      <c r="C210" s="189"/>
      <c r="D210" s="188"/>
      <c r="F210" s="186">
        <f t="shared" si="10"/>
        <v>0</v>
      </c>
      <c r="G210" s="186" t="str">
        <f>IF(IFERROR(IF(Str_TypeDonneesCpt8=Cpt_Index,Tab_Compteur_8[[#This Row],[Index]]-E209,Tab_Compteur_8[[#This Row],[Quantité]])/Tab_Compteur_8[[#This Row],[Delta Jour]],"")&lt;0,"",IFERROR(IF(Str_TypeDonneesCpt8=Cpt_Index,Tab_Compteur_8[[#This Row],[Index]]-E209,Tab_Compteur_8[[#This Row],[Quantité]])/Tab_Compteur_8[[#This Row],[Delta Jour]],""))</f>
        <v/>
      </c>
      <c r="H210" s="186" t="str">
        <f>IFERROR(Tab_Compteur_8[[#This Row],[Montant]]/Tab_Compteur_8[[#This Row],[Delta Jour]],"")</f>
        <v/>
      </c>
      <c r="I210" s="208" t="str">
        <f t="shared" si="9"/>
        <v/>
      </c>
      <c r="J210" s="209"/>
      <c r="K210" s="38"/>
      <c r="L210" s="38"/>
      <c r="M210" s="38"/>
    </row>
    <row r="211" spans="1:13">
      <c r="A211" s="464">
        <f t="shared" si="11"/>
        <v>1</v>
      </c>
      <c r="B211" s="87"/>
      <c r="C211" s="189"/>
      <c r="D211" s="188"/>
      <c r="F211" s="186">
        <f t="shared" si="10"/>
        <v>0</v>
      </c>
      <c r="G211" s="186" t="str">
        <f>IF(IFERROR(IF(Str_TypeDonneesCpt8=Cpt_Index,Tab_Compteur_8[[#This Row],[Index]]-E210,Tab_Compteur_8[[#This Row],[Quantité]])/Tab_Compteur_8[[#This Row],[Delta Jour]],"")&lt;0,"",IFERROR(IF(Str_TypeDonneesCpt8=Cpt_Index,Tab_Compteur_8[[#This Row],[Index]]-E210,Tab_Compteur_8[[#This Row],[Quantité]])/Tab_Compteur_8[[#This Row],[Delta Jour]],""))</f>
        <v/>
      </c>
      <c r="H211" s="186" t="str">
        <f>IFERROR(Tab_Compteur_8[[#This Row],[Montant]]/Tab_Compteur_8[[#This Row],[Delta Jour]],"")</f>
        <v/>
      </c>
      <c r="I211" s="208" t="str">
        <f t="shared" si="9"/>
        <v/>
      </c>
      <c r="J211" s="209"/>
      <c r="K211" s="38"/>
      <c r="L211" s="38"/>
      <c r="M211" s="38"/>
    </row>
    <row r="212" spans="1:13">
      <c r="A212" s="464">
        <f t="shared" si="11"/>
        <v>1</v>
      </c>
      <c r="B212" s="87"/>
      <c r="C212" s="189"/>
      <c r="D212" s="188"/>
      <c r="F212" s="186">
        <f t="shared" si="10"/>
        <v>0</v>
      </c>
      <c r="G212" s="186" t="str">
        <f>IF(IFERROR(IF(Str_TypeDonneesCpt8=Cpt_Index,Tab_Compteur_8[[#This Row],[Index]]-E211,Tab_Compteur_8[[#This Row],[Quantité]])/Tab_Compteur_8[[#This Row],[Delta Jour]],"")&lt;0,"",IFERROR(IF(Str_TypeDonneesCpt8=Cpt_Index,Tab_Compteur_8[[#This Row],[Index]]-E211,Tab_Compteur_8[[#This Row],[Quantité]])/Tab_Compteur_8[[#This Row],[Delta Jour]],""))</f>
        <v/>
      </c>
      <c r="H212" s="186" t="str">
        <f>IFERROR(Tab_Compteur_8[[#This Row],[Montant]]/Tab_Compteur_8[[#This Row],[Delta Jour]],"")</f>
        <v/>
      </c>
      <c r="I212" s="208" t="str">
        <f t="shared" si="9"/>
        <v/>
      </c>
      <c r="J212" s="209"/>
      <c r="K212" s="38"/>
      <c r="L212" s="38"/>
      <c r="M212" s="38"/>
    </row>
    <row r="213" spans="1:13">
      <c r="A213" s="464">
        <f t="shared" si="11"/>
        <v>1</v>
      </c>
      <c r="B213" s="87"/>
      <c r="C213" s="189"/>
      <c r="D213" s="188"/>
      <c r="F213" s="186">
        <f t="shared" si="10"/>
        <v>0</v>
      </c>
      <c r="G213" s="186" t="str">
        <f>IF(IFERROR(IF(Str_TypeDonneesCpt8=Cpt_Index,Tab_Compteur_8[[#This Row],[Index]]-E212,Tab_Compteur_8[[#This Row],[Quantité]])/Tab_Compteur_8[[#This Row],[Delta Jour]],"")&lt;0,"",IFERROR(IF(Str_TypeDonneesCpt8=Cpt_Index,Tab_Compteur_8[[#This Row],[Index]]-E212,Tab_Compteur_8[[#This Row],[Quantité]])/Tab_Compteur_8[[#This Row],[Delta Jour]],""))</f>
        <v/>
      </c>
      <c r="H213" s="186" t="str">
        <f>IFERROR(Tab_Compteur_8[[#This Row],[Montant]]/Tab_Compteur_8[[#This Row],[Delta Jour]],"")</f>
        <v/>
      </c>
      <c r="I213" s="208" t="str">
        <f t="shared" si="9"/>
        <v/>
      </c>
      <c r="J213" s="209"/>
      <c r="K213" s="38"/>
      <c r="L213" s="38"/>
      <c r="M213" s="38"/>
    </row>
    <row r="214" spans="1:13">
      <c r="A214" s="464">
        <f t="shared" si="11"/>
        <v>1</v>
      </c>
      <c r="B214" s="87"/>
      <c r="C214" s="189"/>
      <c r="D214" s="188"/>
      <c r="F214" s="186">
        <f t="shared" si="10"/>
        <v>0</v>
      </c>
      <c r="G214" s="186" t="str">
        <f>IF(IFERROR(IF(Str_TypeDonneesCpt8=Cpt_Index,Tab_Compteur_8[[#This Row],[Index]]-E213,Tab_Compteur_8[[#This Row],[Quantité]])/Tab_Compteur_8[[#This Row],[Delta Jour]],"")&lt;0,"",IFERROR(IF(Str_TypeDonneesCpt8=Cpt_Index,Tab_Compteur_8[[#This Row],[Index]]-E213,Tab_Compteur_8[[#This Row],[Quantité]])/Tab_Compteur_8[[#This Row],[Delta Jour]],""))</f>
        <v/>
      </c>
      <c r="H214" s="186" t="str">
        <f>IFERROR(Tab_Compteur_8[[#This Row],[Montant]]/Tab_Compteur_8[[#This Row],[Delta Jour]],"")</f>
        <v/>
      </c>
      <c r="I214" s="208" t="str">
        <f t="shared" si="9"/>
        <v/>
      </c>
      <c r="J214" s="209"/>
      <c r="K214" s="38"/>
      <c r="L214" s="38"/>
      <c r="M214" s="38"/>
    </row>
    <row r="215" spans="1:13">
      <c r="A215" s="464">
        <f t="shared" si="11"/>
        <v>1</v>
      </c>
      <c r="B215" s="87"/>
      <c r="C215" s="189"/>
      <c r="D215" s="188"/>
      <c r="F215" s="186">
        <f t="shared" si="10"/>
        <v>0</v>
      </c>
      <c r="G215" s="186" t="str">
        <f>IF(IFERROR(IF(Str_TypeDonneesCpt8=Cpt_Index,Tab_Compteur_8[[#This Row],[Index]]-E214,Tab_Compteur_8[[#This Row],[Quantité]])/Tab_Compteur_8[[#This Row],[Delta Jour]],"")&lt;0,"",IFERROR(IF(Str_TypeDonneesCpt8=Cpt_Index,Tab_Compteur_8[[#This Row],[Index]]-E214,Tab_Compteur_8[[#This Row],[Quantité]])/Tab_Compteur_8[[#This Row],[Delta Jour]],""))</f>
        <v/>
      </c>
      <c r="H215" s="186" t="str">
        <f>IFERROR(Tab_Compteur_8[[#This Row],[Montant]]/Tab_Compteur_8[[#This Row],[Delta Jour]],"")</f>
        <v/>
      </c>
      <c r="I215" s="208" t="str">
        <f t="shared" si="9"/>
        <v/>
      </c>
      <c r="J215" s="209"/>
      <c r="K215" s="38"/>
      <c r="L215" s="38"/>
      <c r="M215" s="38"/>
    </row>
    <row r="216" spans="1:13">
      <c r="A216" s="464">
        <f t="shared" si="11"/>
        <v>1</v>
      </c>
      <c r="B216" s="87"/>
      <c r="C216" s="189"/>
      <c r="D216" s="188"/>
      <c r="F216" s="186">
        <f t="shared" si="10"/>
        <v>0</v>
      </c>
      <c r="G216" s="186" t="str">
        <f>IF(IFERROR(IF(Str_TypeDonneesCpt8=Cpt_Index,Tab_Compteur_8[[#This Row],[Index]]-E215,Tab_Compteur_8[[#This Row],[Quantité]])/Tab_Compteur_8[[#This Row],[Delta Jour]],"")&lt;0,"",IFERROR(IF(Str_TypeDonneesCpt8=Cpt_Index,Tab_Compteur_8[[#This Row],[Index]]-E215,Tab_Compteur_8[[#This Row],[Quantité]])/Tab_Compteur_8[[#This Row],[Delta Jour]],""))</f>
        <v/>
      </c>
      <c r="H216" s="186" t="str">
        <f>IFERROR(Tab_Compteur_8[[#This Row],[Montant]]/Tab_Compteur_8[[#This Row],[Delta Jour]],"")</f>
        <v/>
      </c>
      <c r="I216" s="208" t="str">
        <f t="shared" si="9"/>
        <v/>
      </c>
      <c r="J216" s="209"/>
      <c r="K216" s="38"/>
      <c r="L216" s="38"/>
      <c r="M216" s="38"/>
    </row>
    <row r="217" spans="1:13">
      <c r="A217" s="464">
        <f t="shared" si="11"/>
        <v>1</v>
      </c>
      <c r="B217" s="87"/>
      <c r="C217" s="189"/>
      <c r="D217" s="188"/>
      <c r="F217" s="186">
        <f t="shared" si="10"/>
        <v>0</v>
      </c>
      <c r="G217" s="186" t="str">
        <f>IF(IFERROR(IF(Str_TypeDonneesCpt8=Cpt_Index,Tab_Compteur_8[[#This Row],[Index]]-E216,Tab_Compteur_8[[#This Row],[Quantité]])/Tab_Compteur_8[[#This Row],[Delta Jour]],"")&lt;0,"",IFERROR(IF(Str_TypeDonneesCpt8=Cpt_Index,Tab_Compteur_8[[#This Row],[Index]]-E216,Tab_Compteur_8[[#This Row],[Quantité]])/Tab_Compteur_8[[#This Row],[Delta Jour]],""))</f>
        <v/>
      </c>
      <c r="H217" s="186" t="str">
        <f>IFERROR(Tab_Compteur_8[[#This Row],[Montant]]/Tab_Compteur_8[[#This Row],[Delta Jour]],"")</f>
        <v/>
      </c>
      <c r="I217" s="208" t="str">
        <f t="shared" si="9"/>
        <v/>
      </c>
      <c r="J217" s="209"/>
      <c r="K217" s="38"/>
      <c r="L217" s="38"/>
      <c r="M217" s="38"/>
    </row>
    <row r="218" spans="1:13">
      <c r="A218" s="464">
        <f t="shared" si="11"/>
        <v>1</v>
      </c>
      <c r="B218" s="87"/>
      <c r="C218" s="189"/>
      <c r="D218" s="188"/>
      <c r="F218" s="186">
        <f t="shared" si="10"/>
        <v>0</v>
      </c>
      <c r="G218" s="186" t="str">
        <f>IF(IFERROR(IF(Str_TypeDonneesCpt8=Cpt_Index,Tab_Compteur_8[[#This Row],[Index]]-E217,Tab_Compteur_8[[#This Row],[Quantité]])/Tab_Compteur_8[[#This Row],[Delta Jour]],"")&lt;0,"",IFERROR(IF(Str_TypeDonneesCpt8=Cpt_Index,Tab_Compteur_8[[#This Row],[Index]]-E217,Tab_Compteur_8[[#This Row],[Quantité]])/Tab_Compteur_8[[#This Row],[Delta Jour]],""))</f>
        <v/>
      </c>
      <c r="H218" s="186" t="str">
        <f>IFERROR(Tab_Compteur_8[[#This Row],[Montant]]/Tab_Compteur_8[[#This Row],[Delta Jour]],"")</f>
        <v/>
      </c>
      <c r="I218" s="208" t="str">
        <f t="shared" si="9"/>
        <v/>
      </c>
      <c r="J218" s="209"/>
      <c r="K218" s="38"/>
      <c r="L218" s="38"/>
      <c r="M218" s="38"/>
    </row>
    <row r="219" spans="1:13">
      <c r="A219" s="464">
        <f t="shared" si="11"/>
        <v>1</v>
      </c>
      <c r="B219" s="87"/>
      <c r="C219" s="189"/>
      <c r="D219" s="188"/>
      <c r="F219" s="186">
        <f t="shared" si="10"/>
        <v>0</v>
      </c>
      <c r="G219" s="186" t="str">
        <f>IF(IFERROR(IF(Str_TypeDonneesCpt8=Cpt_Index,Tab_Compteur_8[[#This Row],[Index]]-E218,Tab_Compteur_8[[#This Row],[Quantité]])/Tab_Compteur_8[[#This Row],[Delta Jour]],"")&lt;0,"",IFERROR(IF(Str_TypeDonneesCpt8=Cpt_Index,Tab_Compteur_8[[#This Row],[Index]]-E218,Tab_Compteur_8[[#This Row],[Quantité]])/Tab_Compteur_8[[#This Row],[Delta Jour]],""))</f>
        <v/>
      </c>
      <c r="H219" s="186" t="str">
        <f>IFERROR(Tab_Compteur_8[[#This Row],[Montant]]/Tab_Compteur_8[[#This Row],[Delta Jour]],"")</f>
        <v/>
      </c>
      <c r="I219" s="208" t="str">
        <f t="shared" si="9"/>
        <v/>
      </c>
      <c r="J219" s="209"/>
      <c r="K219" s="38"/>
      <c r="L219" s="38"/>
      <c r="M219" s="38"/>
    </row>
    <row r="220" spans="1:13">
      <c r="A220" s="464">
        <f t="shared" si="11"/>
        <v>1</v>
      </c>
      <c r="B220" s="87"/>
      <c r="C220" s="189"/>
      <c r="D220" s="188"/>
      <c r="F220" s="186">
        <f t="shared" si="10"/>
        <v>0</v>
      </c>
      <c r="G220" s="186" t="str">
        <f>IF(IFERROR(IF(Str_TypeDonneesCpt8=Cpt_Index,Tab_Compteur_8[[#This Row],[Index]]-E219,Tab_Compteur_8[[#This Row],[Quantité]])/Tab_Compteur_8[[#This Row],[Delta Jour]],"")&lt;0,"",IFERROR(IF(Str_TypeDonneesCpt8=Cpt_Index,Tab_Compteur_8[[#This Row],[Index]]-E219,Tab_Compteur_8[[#This Row],[Quantité]])/Tab_Compteur_8[[#This Row],[Delta Jour]],""))</f>
        <v/>
      </c>
      <c r="H220" s="186" t="str">
        <f>IFERROR(Tab_Compteur_8[[#This Row],[Montant]]/Tab_Compteur_8[[#This Row],[Delta Jour]],"")</f>
        <v/>
      </c>
      <c r="I220" s="208" t="str">
        <f t="shared" si="9"/>
        <v/>
      </c>
      <c r="J220" s="209"/>
      <c r="K220" s="38"/>
      <c r="L220" s="38"/>
      <c r="M220" s="38"/>
    </row>
    <row r="221" spans="1:13">
      <c r="A221" s="464">
        <f t="shared" si="11"/>
        <v>1</v>
      </c>
      <c r="B221" s="87"/>
      <c r="C221" s="189"/>
      <c r="D221" s="188"/>
      <c r="F221" s="186">
        <f t="shared" si="10"/>
        <v>0</v>
      </c>
      <c r="G221" s="186" t="str">
        <f>IF(IFERROR(IF(Str_TypeDonneesCpt8=Cpt_Index,Tab_Compteur_8[[#This Row],[Index]]-E220,Tab_Compteur_8[[#This Row],[Quantité]])/Tab_Compteur_8[[#This Row],[Delta Jour]],"")&lt;0,"",IFERROR(IF(Str_TypeDonneesCpt8=Cpt_Index,Tab_Compteur_8[[#This Row],[Index]]-E220,Tab_Compteur_8[[#This Row],[Quantité]])/Tab_Compteur_8[[#This Row],[Delta Jour]],""))</f>
        <v/>
      </c>
      <c r="H221" s="186" t="str">
        <f>IFERROR(Tab_Compteur_8[[#This Row],[Montant]]/Tab_Compteur_8[[#This Row],[Delta Jour]],"")</f>
        <v/>
      </c>
      <c r="I221" s="208" t="str">
        <f t="shared" si="9"/>
        <v/>
      </c>
      <c r="J221" s="209"/>
      <c r="K221" s="38"/>
      <c r="L221" s="38"/>
      <c r="M221" s="38"/>
    </row>
    <row r="222" spans="1:13">
      <c r="A222" s="464">
        <f t="shared" si="11"/>
        <v>1</v>
      </c>
      <c r="B222" s="87"/>
      <c r="C222" s="189"/>
      <c r="D222" s="188"/>
      <c r="F222" s="186">
        <f t="shared" si="10"/>
        <v>0</v>
      </c>
      <c r="G222" s="186" t="str">
        <f>IF(IFERROR(IF(Str_TypeDonneesCpt8=Cpt_Index,Tab_Compteur_8[[#This Row],[Index]]-E221,Tab_Compteur_8[[#This Row],[Quantité]])/Tab_Compteur_8[[#This Row],[Delta Jour]],"")&lt;0,"",IFERROR(IF(Str_TypeDonneesCpt8=Cpt_Index,Tab_Compteur_8[[#This Row],[Index]]-E221,Tab_Compteur_8[[#This Row],[Quantité]])/Tab_Compteur_8[[#This Row],[Delta Jour]],""))</f>
        <v/>
      </c>
      <c r="H222" s="186" t="str">
        <f>IFERROR(Tab_Compteur_8[[#This Row],[Montant]]/Tab_Compteur_8[[#This Row],[Delta Jour]],"")</f>
        <v/>
      </c>
      <c r="I222" s="208" t="str">
        <f t="shared" si="9"/>
        <v/>
      </c>
      <c r="J222" s="209"/>
      <c r="K222" s="38"/>
      <c r="L222" s="38"/>
      <c r="M222" s="38"/>
    </row>
    <row r="223" spans="1:13">
      <c r="A223" s="464">
        <f t="shared" si="11"/>
        <v>1</v>
      </c>
      <c r="B223" s="87"/>
      <c r="C223" s="189"/>
      <c r="D223" s="188"/>
      <c r="F223" s="186">
        <f t="shared" si="10"/>
        <v>0</v>
      </c>
      <c r="G223" s="186" t="str">
        <f>IF(IFERROR(IF(Str_TypeDonneesCpt8=Cpt_Index,Tab_Compteur_8[[#This Row],[Index]]-E222,Tab_Compteur_8[[#This Row],[Quantité]])/Tab_Compteur_8[[#This Row],[Delta Jour]],"")&lt;0,"",IFERROR(IF(Str_TypeDonneesCpt8=Cpt_Index,Tab_Compteur_8[[#This Row],[Index]]-E222,Tab_Compteur_8[[#This Row],[Quantité]])/Tab_Compteur_8[[#This Row],[Delta Jour]],""))</f>
        <v/>
      </c>
      <c r="H223" s="186" t="str">
        <f>IFERROR(Tab_Compteur_8[[#This Row],[Montant]]/Tab_Compteur_8[[#This Row],[Delta Jour]],"")</f>
        <v/>
      </c>
      <c r="I223" s="208" t="str">
        <f t="shared" si="9"/>
        <v/>
      </c>
      <c r="J223" s="209"/>
      <c r="K223" s="38"/>
      <c r="L223" s="38"/>
      <c r="M223" s="38"/>
    </row>
    <row r="224" spans="1:13">
      <c r="A224" s="464">
        <f t="shared" si="11"/>
        <v>1</v>
      </c>
      <c r="B224" s="87"/>
      <c r="C224" s="189"/>
      <c r="D224" s="188"/>
      <c r="F224" s="186">
        <f t="shared" si="10"/>
        <v>0</v>
      </c>
      <c r="G224" s="186" t="str">
        <f>IF(IFERROR(IF(Str_TypeDonneesCpt8=Cpt_Index,Tab_Compteur_8[[#This Row],[Index]]-E223,Tab_Compteur_8[[#This Row],[Quantité]])/Tab_Compteur_8[[#This Row],[Delta Jour]],"")&lt;0,"",IFERROR(IF(Str_TypeDonneesCpt8=Cpt_Index,Tab_Compteur_8[[#This Row],[Index]]-E223,Tab_Compteur_8[[#This Row],[Quantité]])/Tab_Compteur_8[[#This Row],[Delta Jour]],""))</f>
        <v/>
      </c>
      <c r="H224" s="186" t="str">
        <f>IFERROR(Tab_Compteur_8[[#This Row],[Montant]]/Tab_Compteur_8[[#This Row],[Delta Jour]],"")</f>
        <v/>
      </c>
      <c r="I224" s="208" t="str">
        <f t="shared" si="9"/>
        <v/>
      </c>
      <c r="J224" s="209"/>
      <c r="K224" s="38"/>
      <c r="L224" s="38"/>
      <c r="M224" s="38"/>
    </row>
    <row r="225" spans="1:13">
      <c r="A225" s="464">
        <f t="shared" si="11"/>
        <v>1</v>
      </c>
      <c r="B225" s="87"/>
      <c r="C225" s="189"/>
      <c r="D225" s="188"/>
      <c r="F225" s="186">
        <f t="shared" si="10"/>
        <v>0</v>
      </c>
      <c r="G225" s="186" t="str">
        <f>IF(IFERROR(IF(Str_TypeDonneesCpt8=Cpt_Index,Tab_Compteur_8[[#This Row],[Index]]-E224,Tab_Compteur_8[[#This Row],[Quantité]])/Tab_Compteur_8[[#This Row],[Delta Jour]],"")&lt;0,"",IFERROR(IF(Str_TypeDonneesCpt8=Cpt_Index,Tab_Compteur_8[[#This Row],[Index]]-E224,Tab_Compteur_8[[#This Row],[Quantité]])/Tab_Compteur_8[[#This Row],[Delta Jour]],""))</f>
        <v/>
      </c>
      <c r="H225" s="186" t="str">
        <f>IFERROR(Tab_Compteur_8[[#This Row],[Montant]]/Tab_Compteur_8[[#This Row],[Delta Jour]],"")</f>
        <v/>
      </c>
      <c r="I225" s="208" t="str">
        <f t="shared" si="9"/>
        <v/>
      </c>
      <c r="J225" s="209"/>
      <c r="K225" s="38"/>
      <c r="L225" s="38"/>
      <c r="M225" s="38"/>
    </row>
    <row r="226" spans="1:13">
      <c r="A226" s="464">
        <f t="shared" si="11"/>
        <v>1</v>
      </c>
      <c r="B226" s="87"/>
      <c r="C226" s="189"/>
      <c r="D226" s="188"/>
      <c r="F226" s="186">
        <f t="shared" si="10"/>
        <v>0</v>
      </c>
      <c r="G226" s="186" t="str">
        <f>IF(IFERROR(IF(Str_TypeDonneesCpt8=Cpt_Index,Tab_Compteur_8[[#This Row],[Index]]-E225,Tab_Compteur_8[[#This Row],[Quantité]])/Tab_Compteur_8[[#This Row],[Delta Jour]],"")&lt;0,"",IFERROR(IF(Str_TypeDonneesCpt8=Cpt_Index,Tab_Compteur_8[[#This Row],[Index]]-E225,Tab_Compteur_8[[#This Row],[Quantité]])/Tab_Compteur_8[[#This Row],[Delta Jour]],""))</f>
        <v/>
      </c>
      <c r="H226" s="186" t="str">
        <f>IFERROR(Tab_Compteur_8[[#This Row],[Montant]]/Tab_Compteur_8[[#This Row],[Delta Jour]],"")</f>
        <v/>
      </c>
      <c r="I226" s="208" t="str">
        <f t="shared" si="9"/>
        <v/>
      </c>
      <c r="J226" s="209"/>
      <c r="K226" s="38"/>
      <c r="L226" s="38"/>
      <c r="M226" s="38"/>
    </row>
    <row r="227" spans="1:13">
      <c r="A227" s="464">
        <f t="shared" si="11"/>
        <v>1</v>
      </c>
      <c r="B227" s="87"/>
      <c r="C227" s="189"/>
      <c r="D227" s="188"/>
      <c r="F227" s="186">
        <f t="shared" si="10"/>
        <v>0</v>
      </c>
      <c r="G227" s="186" t="str">
        <f>IF(IFERROR(IF(Str_TypeDonneesCpt8=Cpt_Index,Tab_Compteur_8[[#This Row],[Index]]-E226,Tab_Compteur_8[[#This Row],[Quantité]])/Tab_Compteur_8[[#This Row],[Delta Jour]],"")&lt;0,"",IFERROR(IF(Str_TypeDonneesCpt8=Cpt_Index,Tab_Compteur_8[[#This Row],[Index]]-E226,Tab_Compteur_8[[#This Row],[Quantité]])/Tab_Compteur_8[[#This Row],[Delta Jour]],""))</f>
        <v/>
      </c>
      <c r="H227" s="186" t="str">
        <f>IFERROR(Tab_Compteur_8[[#This Row],[Montant]]/Tab_Compteur_8[[#This Row],[Delta Jour]],"")</f>
        <v/>
      </c>
      <c r="I227" s="208" t="str">
        <f t="shared" si="9"/>
        <v/>
      </c>
      <c r="J227" s="209"/>
      <c r="K227" s="38"/>
      <c r="L227" s="38"/>
      <c r="M227" s="38"/>
    </row>
    <row r="228" spans="1:13">
      <c r="A228" s="464">
        <f t="shared" si="11"/>
        <v>1</v>
      </c>
      <c r="B228" s="87"/>
      <c r="C228" s="189"/>
      <c r="D228" s="188"/>
      <c r="F228" s="186">
        <f t="shared" si="10"/>
        <v>0</v>
      </c>
      <c r="G228" s="186" t="str">
        <f>IF(IFERROR(IF(Str_TypeDonneesCpt8=Cpt_Index,Tab_Compteur_8[[#This Row],[Index]]-E227,Tab_Compteur_8[[#This Row],[Quantité]])/Tab_Compteur_8[[#This Row],[Delta Jour]],"")&lt;0,"",IFERROR(IF(Str_TypeDonneesCpt8=Cpt_Index,Tab_Compteur_8[[#This Row],[Index]]-E227,Tab_Compteur_8[[#This Row],[Quantité]])/Tab_Compteur_8[[#This Row],[Delta Jour]],""))</f>
        <v/>
      </c>
      <c r="H228" s="186" t="str">
        <f>IFERROR(Tab_Compteur_8[[#This Row],[Montant]]/Tab_Compteur_8[[#This Row],[Delta Jour]],"")</f>
        <v/>
      </c>
      <c r="I228" s="208" t="str">
        <f t="shared" si="9"/>
        <v/>
      </c>
      <c r="J228" s="209"/>
      <c r="K228" s="38"/>
      <c r="L228" s="38"/>
      <c r="M228" s="38"/>
    </row>
    <row r="229" spans="1:13">
      <c r="A229" s="464">
        <f t="shared" si="11"/>
        <v>1</v>
      </c>
      <c r="B229" s="87"/>
      <c r="C229" s="189"/>
      <c r="D229" s="188"/>
      <c r="F229" s="186">
        <f t="shared" si="10"/>
        <v>0</v>
      </c>
      <c r="G229" s="186" t="str">
        <f>IF(IFERROR(IF(Str_TypeDonneesCpt8=Cpt_Index,Tab_Compteur_8[[#This Row],[Index]]-E228,Tab_Compteur_8[[#This Row],[Quantité]])/Tab_Compteur_8[[#This Row],[Delta Jour]],"")&lt;0,"",IFERROR(IF(Str_TypeDonneesCpt8=Cpt_Index,Tab_Compteur_8[[#This Row],[Index]]-E228,Tab_Compteur_8[[#This Row],[Quantité]])/Tab_Compteur_8[[#This Row],[Delta Jour]],""))</f>
        <v/>
      </c>
      <c r="H229" s="186" t="str">
        <f>IFERROR(Tab_Compteur_8[[#This Row],[Montant]]/Tab_Compteur_8[[#This Row],[Delta Jour]],"")</f>
        <v/>
      </c>
      <c r="I229" s="208" t="str">
        <f t="shared" si="9"/>
        <v/>
      </c>
      <c r="J229" s="209"/>
      <c r="K229" s="38"/>
      <c r="L229" s="38"/>
      <c r="M229" s="38"/>
    </row>
    <row r="230" spans="1:13">
      <c r="A230" s="464">
        <f t="shared" si="11"/>
        <v>1</v>
      </c>
      <c r="B230" s="87"/>
      <c r="C230" s="189"/>
      <c r="D230" s="188"/>
      <c r="F230" s="186">
        <f t="shared" si="10"/>
        <v>0</v>
      </c>
      <c r="G230" s="186" t="str">
        <f>IF(IFERROR(IF(Str_TypeDonneesCpt8=Cpt_Index,Tab_Compteur_8[[#This Row],[Index]]-E229,Tab_Compteur_8[[#This Row],[Quantité]])/Tab_Compteur_8[[#This Row],[Delta Jour]],"")&lt;0,"",IFERROR(IF(Str_TypeDonneesCpt8=Cpt_Index,Tab_Compteur_8[[#This Row],[Index]]-E229,Tab_Compteur_8[[#This Row],[Quantité]])/Tab_Compteur_8[[#This Row],[Delta Jour]],""))</f>
        <v/>
      </c>
      <c r="H230" s="186" t="str">
        <f>IFERROR(Tab_Compteur_8[[#This Row],[Montant]]/Tab_Compteur_8[[#This Row],[Delta Jour]],"")</f>
        <v/>
      </c>
      <c r="I230" s="208" t="str">
        <f t="shared" si="9"/>
        <v/>
      </c>
      <c r="J230" s="209"/>
      <c r="K230" s="38"/>
      <c r="L230" s="38"/>
      <c r="M230" s="38"/>
    </row>
    <row r="231" spans="1:13">
      <c r="A231" s="464">
        <f t="shared" si="11"/>
        <v>1</v>
      </c>
      <c r="B231" s="87"/>
      <c r="C231" s="189"/>
      <c r="D231" s="188"/>
      <c r="F231" s="186">
        <f t="shared" si="10"/>
        <v>0</v>
      </c>
      <c r="G231" s="186" t="str">
        <f>IF(IFERROR(IF(Str_TypeDonneesCpt8=Cpt_Index,Tab_Compteur_8[[#This Row],[Index]]-E230,Tab_Compteur_8[[#This Row],[Quantité]])/Tab_Compteur_8[[#This Row],[Delta Jour]],"")&lt;0,"",IFERROR(IF(Str_TypeDonneesCpt8=Cpt_Index,Tab_Compteur_8[[#This Row],[Index]]-E230,Tab_Compteur_8[[#This Row],[Quantité]])/Tab_Compteur_8[[#This Row],[Delta Jour]],""))</f>
        <v/>
      </c>
      <c r="H231" s="186" t="str">
        <f>IFERROR(Tab_Compteur_8[[#This Row],[Montant]]/Tab_Compteur_8[[#This Row],[Delta Jour]],"")</f>
        <v/>
      </c>
      <c r="I231" s="208" t="str">
        <f t="shared" si="9"/>
        <v/>
      </c>
      <c r="J231" s="209"/>
      <c r="K231" s="38"/>
      <c r="L231" s="38"/>
      <c r="M231" s="38"/>
    </row>
    <row r="232" spans="1:13">
      <c r="A232" s="464">
        <f t="shared" si="11"/>
        <v>1</v>
      </c>
      <c r="B232" s="87"/>
      <c r="C232" s="189"/>
      <c r="D232" s="188"/>
      <c r="F232" s="186">
        <f t="shared" si="10"/>
        <v>0</v>
      </c>
      <c r="G232" s="186" t="str">
        <f>IF(IFERROR(IF(Str_TypeDonneesCpt8=Cpt_Index,Tab_Compteur_8[[#This Row],[Index]]-E231,Tab_Compteur_8[[#This Row],[Quantité]])/Tab_Compteur_8[[#This Row],[Delta Jour]],"")&lt;0,"",IFERROR(IF(Str_TypeDonneesCpt8=Cpt_Index,Tab_Compteur_8[[#This Row],[Index]]-E231,Tab_Compteur_8[[#This Row],[Quantité]])/Tab_Compteur_8[[#This Row],[Delta Jour]],""))</f>
        <v/>
      </c>
      <c r="H232" s="186" t="str">
        <f>IFERROR(Tab_Compteur_8[[#This Row],[Montant]]/Tab_Compteur_8[[#This Row],[Delta Jour]],"")</f>
        <v/>
      </c>
      <c r="I232" s="208" t="str">
        <f t="shared" si="9"/>
        <v/>
      </c>
      <c r="J232" s="209"/>
      <c r="K232" s="38"/>
      <c r="L232" s="38"/>
      <c r="M232" s="38"/>
    </row>
    <row r="233" spans="1:13">
      <c r="A233" s="464">
        <f t="shared" si="11"/>
        <v>1</v>
      </c>
      <c r="B233" s="87"/>
      <c r="C233" s="189"/>
      <c r="D233" s="188"/>
      <c r="F233" s="186">
        <f t="shared" si="10"/>
        <v>0</v>
      </c>
      <c r="G233" s="186" t="str">
        <f>IF(IFERROR(IF(Str_TypeDonneesCpt8=Cpt_Index,Tab_Compteur_8[[#This Row],[Index]]-E232,Tab_Compteur_8[[#This Row],[Quantité]])/Tab_Compteur_8[[#This Row],[Delta Jour]],"")&lt;0,"",IFERROR(IF(Str_TypeDonneesCpt8=Cpt_Index,Tab_Compteur_8[[#This Row],[Index]]-E232,Tab_Compteur_8[[#This Row],[Quantité]])/Tab_Compteur_8[[#This Row],[Delta Jour]],""))</f>
        <v/>
      </c>
      <c r="H233" s="186" t="str">
        <f>IFERROR(Tab_Compteur_8[[#This Row],[Montant]]/Tab_Compteur_8[[#This Row],[Delta Jour]],"")</f>
        <v/>
      </c>
      <c r="I233" s="208" t="str">
        <f t="shared" si="9"/>
        <v/>
      </c>
      <c r="J233" s="209"/>
      <c r="K233" s="38"/>
      <c r="L233" s="38"/>
      <c r="M233" s="38"/>
    </row>
    <row r="234" spans="1:13">
      <c r="A234" s="464">
        <f t="shared" si="11"/>
        <v>1</v>
      </c>
      <c r="B234" s="87"/>
      <c r="C234" s="189"/>
      <c r="D234" s="188"/>
      <c r="F234" s="186">
        <f t="shared" si="10"/>
        <v>0</v>
      </c>
      <c r="G234" s="186" t="str">
        <f>IF(IFERROR(IF(Str_TypeDonneesCpt8=Cpt_Index,Tab_Compteur_8[[#This Row],[Index]]-E233,Tab_Compteur_8[[#This Row],[Quantité]])/Tab_Compteur_8[[#This Row],[Delta Jour]],"")&lt;0,"",IFERROR(IF(Str_TypeDonneesCpt8=Cpt_Index,Tab_Compteur_8[[#This Row],[Index]]-E233,Tab_Compteur_8[[#This Row],[Quantité]])/Tab_Compteur_8[[#This Row],[Delta Jour]],""))</f>
        <v/>
      </c>
      <c r="H234" s="186" t="str">
        <f>IFERROR(Tab_Compteur_8[[#This Row],[Montant]]/Tab_Compteur_8[[#This Row],[Delta Jour]],"")</f>
        <v/>
      </c>
      <c r="I234" s="208" t="str">
        <f t="shared" si="9"/>
        <v/>
      </c>
      <c r="J234" s="209"/>
      <c r="K234" s="38"/>
      <c r="L234" s="38"/>
      <c r="M234" s="38"/>
    </row>
    <row r="235" spans="1:13">
      <c r="A235" s="464">
        <f t="shared" si="11"/>
        <v>1</v>
      </c>
      <c r="B235" s="87"/>
      <c r="C235" s="189"/>
      <c r="D235" s="188"/>
      <c r="F235" s="186">
        <f t="shared" si="10"/>
        <v>0</v>
      </c>
      <c r="G235" s="186" t="str">
        <f>IF(IFERROR(IF(Str_TypeDonneesCpt8=Cpt_Index,Tab_Compteur_8[[#This Row],[Index]]-E234,Tab_Compteur_8[[#This Row],[Quantité]])/Tab_Compteur_8[[#This Row],[Delta Jour]],"")&lt;0,"",IFERROR(IF(Str_TypeDonneesCpt8=Cpt_Index,Tab_Compteur_8[[#This Row],[Index]]-E234,Tab_Compteur_8[[#This Row],[Quantité]])/Tab_Compteur_8[[#This Row],[Delta Jour]],""))</f>
        <v/>
      </c>
      <c r="H235" s="186" t="str">
        <f>IFERROR(Tab_Compteur_8[[#This Row],[Montant]]/Tab_Compteur_8[[#This Row],[Delta Jour]],"")</f>
        <v/>
      </c>
      <c r="I235" s="208" t="str">
        <f t="shared" si="9"/>
        <v/>
      </c>
      <c r="J235" s="209"/>
      <c r="K235" s="38"/>
      <c r="L235" s="38"/>
      <c r="M235" s="38"/>
    </row>
    <row r="236" spans="1:13">
      <c r="A236" s="464">
        <f t="shared" si="11"/>
        <v>1</v>
      </c>
      <c r="B236" s="87"/>
      <c r="C236" s="189"/>
      <c r="D236" s="188"/>
      <c r="F236" s="186">
        <f t="shared" si="10"/>
        <v>0</v>
      </c>
      <c r="G236" s="186" t="str">
        <f>IF(IFERROR(IF(Str_TypeDonneesCpt8=Cpt_Index,Tab_Compteur_8[[#This Row],[Index]]-E235,Tab_Compteur_8[[#This Row],[Quantité]])/Tab_Compteur_8[[#This Row],[Delta Jour]],"")&lt;0,"",IFERROR(IF(Str_TypeDonneesCpt8=Cpt_Index,Tab_Compteur_8[[#This Row],[Index]]-E235,Tab_Compteur_8[[#This Row],[Quantité]])/Tab_Compteur_8[[#This Row],[Delta Jour]],""))</f>
        <v/>
      </c>
      <c r="H236" s="186" t="str">
        <f>IFERROR(Tab_Compteur_8[[#This Row],[Montant]]/Tab_Compteur_8[[#This Row],[Delta Jour]],"")</f>
        <v/>
      </c>
      <c r="I236" s="208" t="str">
        <f t="shared" si="9"/>
        <v/>
      </c>
      <c r="J236" s="209"/>
      <c r="K236" s="38"/>
      <c r="L236" s="38"/>
      <c r="M236" s="38"/>
    </row>
    <row r="237" spans="1:13">
      <c r="A237" s="464">
        <f t="shared" si="11"/>
        <v>1</v>
      </c>
      <c r="B237" s="87"/>
      <c r="C237" s="189"/>
      <c r="D237" s="188"/>
      <c r="F237" s="186">
        <f t="shared" si="10"/>
        <v>0</v>
      </c>
      <c r="G237" s="186" t="str">
        <f>IF(IFERROR(IF(Str_TypeDonneesCpt8=Cpt_Index,Tab_Compteur_8[[#This Row],[Index]]-E236,Tab_Compteur_8[[#This Row],[Quantité]])/Tab_Compteur_8[[#This Row],[Delta Jour]],"")&lt;0,"",IFERROR(IF(Str_TypeDonneesCpt8=Cpt_Index,Tab_Compteur_8[[#This Row],[Index]]-E236,Tab_Compteur_8[[#This Row],[Quantité]])/Tab_Compteur_8[[#This Row],[Delta Jour]],""))</f>
        <v/>
      </c>
      <c r="H237" s="186" t="str">
        <f>IFERROR(Tab_Compteur_8[[#This Row],[Montant]]/Tab_Compteur_8[[#This Row],[Delta Jour]],"")</f>
        <v/>
      </c>
      <c r="I237" s="208" t="str">
        <f t="shared" si="9"/>
        <v/>
      </c>
      <c r="J237" s="209"/>
      <c r="K237" s="38"/>
      <c r="L237" s="38"/>
      <c r="M237" s="38"/>
    </row>
    <row r="238" spans="1:13">
      <c r="A238" s="464">
        <f t="shared" si="11"/>
        <v>1</v>
      </c>
      <c r="B238" s="87"/>
      <c r="C238" s="189"/>
      <c r="D238" s="188"/>
      <c r="F238" s="186">
        <f t="shared" si="10"/>
        <v>0</v>
      </c>
      <c r="G238" s="186" t="str">
        <f>IF(IFERROR(IF(Str_TypeDonneesCpt8=Cpt_Index,Tab_Compteur_8[[#This Row],[Index]]-E237,Tab_Compteur_8[[#This Row],[Quantité]])/Tab_Compteur_8[[#This Row],[Delta Jour]],"")&lt;0,"",IFERROR(IF(Str_TypeDonneesCpt8=Cpt_Index,Tab_Compteur_8[[#This Row],[Index]]-E237,Tab_Compteur_8[[#This Row],[Quantité]])/Tab_Compteur_8[[#This Row],[Delta Jour]],""))</f>
        <v/>
      </c>
      <c r="H238" s="186" t="str">
        <f>IFERROR(Tab_Compteur_8[[#This Row],[Montant]]/Tab_Compteur_8[[#This Row],[Delta Jour]],"")</f>
        <v/>
      </c>
      <c r="I238" s="208" t="str">
        <f t="shared" si="9"/>
        <v/>
      </c>
      <c r="J238" s="209"/>
      <c r="K238" s="38"/>
      <c r="L238" s="38"/>
      <c r="M238" s="38"/>
    </row>
    <row r="239" spans="1:13">
      <c r="A239" s="464">
        <f t="shared" si="11"/>
        <v>1</v>
      </c>
      <c r="B239" s="87"/>
      <c r="C239" s="189"/>
      <c r="D239" s="188"/>
      <c r="F239" s="186">
        <f t="shared" si="10"/>
        <v>0</v>
      </c>
      <c r="G239" s="186" t="str">
        <f>IF(IFERROR(IF(Str_TypeDonneesCpt8=Cpt_Index,Tab_Compteur_8[[#This Row],[Index]]-E238,Tab_Compteur_8[[#This Row],[Quantité]])/Tab_Compteur_8[[#This Row],[Delta Jour]],"")&lt;0,"",IFERROR(IF(Str_TypeDonneesCpt8=Cpt_Index,Tab_Compteur_8[[#This Row],[Index]]-E238,Tab_Compteur_8[[#This Row],[Quantité]])/Tab_Compteur_8[[#This Row],[Delta Jour]],""))</f>
        <v/>
      </c>
      <c r="H239" s="186" t="str">
        <f>IFERROR(Tab_Compteur_8[[#This Row],[Montant]]/Tab_Compteur_8[[#This Row],[Delta Jour]],"")</f>
        <v/>
      </c>
      <c r="I239" s="208" t="str">
        <f t="shared" si="9"/>
        <v/>
      </c>
      <c r="J239" s="209"/>
      <c r="K239" s="38"/>
      <c r="L239" s="38"/>
      <c r="M239" s="38"/>
    </row>
    <row r="240" spans="1:13">
      <c r="A240" s="464">
        <f t="shared" si="11"/>
        <v>1</v>
      </c>
      <c r="B240" s="87"/>
      <c r="C240" s="189"/>
      <c r="D240" s="188"/>
      <c r="F240" s="186">
        <f t="shared" si="10"/>
        <v>0</v>
      </c>
      <c r="G240" s="186" t="str">
        <f>IF(IFERROR(IF(Str_TypeDonneesCpt8=Cpt_Index,Tab_Compteur_8[[#This Row],[Index]]-E239,Tab_Compteur_8[[#This Row],[Quantité]])/Tab_Compteur_8[[#This Row],[Delta Jour]],"")&lt;0,"",IFERROR(IF(Str_TypeDonneesCpt8=Cpt_Index,Tab_Compteur_8[[#This Row],[Index]]-E239,Tab_Compteur_8[[#This Row],[Quantité]])/Tab_Compteur_8[[#This Row],[Delta Jour]],""))</f>
        <v/>
      </c>
      <c r="H240" s="186" t="str">
        <f>IFERROR(Tab_Compteur_8[[#This Row],[Montant]]/Tab_Compteur_8[[#This Row],[Delta Jour]],"")</f>
        <v/>
      </c>
      <c r="I240" s="208" t="str">
        <f t="shared" si="9"/>
        <v/>
      </c>
      <c r="J240" s="209"/>
      <c r="K240" s="38"/>
      <c r="L240" s="38"/>
      <c r="M240" s="38"/>
    </row>
    <row r="241" spans="1:13">
      <c r="A241" s="464">
        <f t="shared" si="11"/>
        <v>1</v>
      </c>
      <c r="B241" s="87"/>
      <c r="C241" s="189"/>
      <c r="D241" s="188"/>
      <c r="F241" s="186">
        <f t="shared" si="10"/>
        <v>0</v>
      </c>
      <c r="G241" s="186" t="str">
        <f>IF(IFERROR(IF(Str_TypeDonneesCpt8=Cpt_Index,Tab_Compteur_8[[#This Row],[Index]]-E240,Tab_Compteur_8[[#This Row],[Quantité]])/Tab_Compteur_8[[#This Row],[Delta Jour]],"")&lt;0,"",IFERROR(IF(Str_TypeDonneesCpt8=Cpt_Index,Tab_Compteur_8[[#This Row],[Index]]-E240,Tab_Compteur_8[[#This Row],[Quantité]])/Tab_Compteur_8[[#This Row],[Delta Jour]],""))</f>
        <v/>
      </c>
      <c r="H241" s="186" t="str">
        <f>IFERROR(Tab_Compteur_8[[#This Row],[Montant]]/Tab_Compteur_8[[#This Row],[Delta Jour]],"")</f>
        <v/>
      </c>
      <c r="I241" s="208" t="str">
        <f t="shared" si="9"/>
        <v/>
      </c>
      <c r="J241" s="209"/>
      <c r="K241" s="38"/>
      <c r="L241" s="38"/>
      <c r="M241" s="38"/>
    </row>
    <row r="242" spans="1:13">
      <c r="A242" s="464">
        <f t="shared" si="11"/>
        <v>1</v>
      </c>
      <c r="B242" s="87"/>
      <c r="C242" s="189"/>
      <c r="D242" s="188"/>
      <c r="F242" s="186">
        <f t="shared" si="10"/>
        <v>0</v>
      </c>
      <c r="G242" s="186" t="str">
        <f>IF(IFERROR(IF(Str_TypeDonneesCpt8=Cpt_Index,Tab_Compteur_8[[#This Row],[Index]]-E241,Tab_Compteur_8[[#This Row],[Quantité]])/Tab_Compteur_8[[#This Row],[Delta Jour]],"")&lt;0,"",IFERROR(IF(Str_TypeDonneesCpt8=Cpt_Index,Tab_Compteur_8[[#This Row],[Index]]-E241,Tab_Compteur_8[[#This Row],[Quantité]])/Tab_Compteur_8[[#This Row],[Delta Jour]],""))</f>
        <v/>
      </c>
      <c r="H242" s="186" t="str">
        <f>IFERROR(Tab_Compteur_8[[#This Row],[Montant]]/Tab_Compteur_8[[#This Row],[Delta Jour]],"")</f>
        <v/>
      </c>
      <c r="I242" s="208" t="str">
        <f t="shared" si="9"/>
        <v/>
      </c>
      <c r="J242" s="209"/>
      <c r="K242" s="38"/>
      <c r="L242" s="38"/>
      <c r="M242" s="38"/>
    </row>
    <row r="243" spans="1:13">
      <c r="A243" s="464">
        <f t="shared" si="11"/>
        <v>1</v>
      </c>
      <c r="B243" s="87"/>
      <c r="C243" s="189"/>
      <c r="D243" s="188"/>
      <c r="F243" s="186">
        <f t="shared" si="10"/>
        <v>0</v>
      </c>
      <c r="G243" s="186" t="str">
        <f>IF(IFERROR(IF(Str_TypeDonneesCpt8=Cpt_Index,Tab_Compteur_8[[#This Row],[Index]]-E242,Tab_Compteur_8[[#This Row],[Quantité]])/Tab_Compteur_8[[#This Row],[Delta Jour]],"")&lt;0,"",IFERROR(IF(Str_TypeDonneesCpt8=Cpt_Index,Tab_Compteur_8[[#This Row],[Index]]-E242,Tab_Compteur_8[[#This Row],[Quantité]])/Tab_Compteur_8[[#This Row],[Delta Jour]],""))</f>
        <v/>
      </c>
      <c r="H243" s="186" t="str">
        <f>IFERROR(Tab_Compteur_8[[#This Row],[Montant]]/Tab_Compteur_8[[#This Row],[Delta Jour]],"")</f>
        <v/>
      </c>
      <c r="I243" s="208" t="str">
        <f t="shared" si="9"/>
        <v/>
      </c>
      <c r="J243" s="209"/>
      <c r="K243" s="38"/>
      <c r="L243" s="38"/>
      <c r="M243" s="38"/>
    </row>
  </sheetData>
  <sheetProtection sheet="1" selectLockedCells="1"/>
  <protectedRanges>
    <protectedRange sqref="J2:J10 J34:J243 K244:K1048576" name="Plage3"/>
    <protectedRange sqref="C4:D59" name="Donnée_compteur1"/>
    <protectedRange sqref="C60:D243 A4:B243" name="Données_compteur"/>
    <protectedRange sqref="L2:M2" name="Données_compteur7"/>
    <protectedRange sqref="J11:M33" name="Données_compteur3_3_1"/>
    <protectedRange sqref="E2" name="Compteur_1_1"/>
    <protectedRange sqref="I2" name="Compteur_1_1_1"/>
    <protectedRange sqref="K4:L4" name="Compteur_1"/>
    <protectedRange sqref="L1 E1 I1" name="Compteur_1_2"/>
  </protectedRanges>
  <mergeCells count="2">
    <mergeCell ref="L2:M2"/>
    <mergeCell ref="K11:M33"/>
  </mergeCells>
  <conditionalFormatting sqref="B4:B243">
    <cfRule type="expression" dxfId="5"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6"/>
  <dimension ref="A1:Q239"/>
  <sheetViews>
    <sheetView zoomScale="70" zoomScaleNormal="70" workbookViewId="0">
      <pane ySplit="1" topLeftCell="A2" activePane="bottomLeft" state="frozen"/>
      <selection pane="bottomLeft" activeCell="N15" sqref="N15"/>
    </sheetView>
  </sheetViews>
  <sheetFormatPr baseColWidth="10" defaultRowHeight="15"/>
  <cols>
    <col min="1" max="1" width="16.140625" style="186" customWidth="1"/>
    <col min="2" max="2" width="28.42578125" customWidth="1"/>
    <col min="3" max="3" width="17.28515625" customWidth="1"/>
    <col min="4" max="4" width="22.28515625" style="235" customWidth="1"/>
    <col min="5" max="5" width="14.85546875" style="256" customWidth="1"/>
    <col min="6" max="6" width="13.7109375" style="235" customWidth="1"/>
    <col min="7" max="7" width="18.85546875" style="235" customWidth="1"/>
    <col min="8" max="8" width="18.85546875" style="279" customWidth="1"/>
    <col min="9" max="9" width="32.140625" style="186" customWidth="1"/>
    <col min="10" max="10" width="22.28515625" hidden="1" customWidth="1"/>
    <col min="11" max="11" width="9.28515625" style="186" customWidth="1"/>
    <col min="12" max="12" width="44.5703125" style="186" customWidth="1"/>
    <col min="13" max="13" width="11.42578125" customWidth="1"/>
    <col min="16" max="16" width="21" hidden="1" customWidth="1"/>
    <col min="17" max="17" width="21" bestFit="1" customWidth="1"/>
  </cols>
  <sheetData>
    <row r="1" spans="1:17" ht="51" customHeight="1">
      <c r="A1" s="250" t="s">
        <v>467</v>
      </c>
      <c r="B1" s="251" t="s">
        <v>468</v>
      </c>
      <c r="C1" s="251" t="s">
        <v>451</v>
      </c>
      <c r="D1" s="251" t="s">
        <v>450</v>
      </c>
      <c r="E1" s="248" t="s">
        <v>466</v>
      </c>
      <c r="F1" s="248" t="s">
        <v>398</v>
      </c>
      <c r="G1" s="246" t="s">
        <v>399</v>
      </c>
      <c r="H1" s="248" t="s">
        <v>521</v>
      </c>
      <c r="I1" s="252" t="s">
        <v>449</v>
      </c>
      <c r="J1" t="s">
        <v>452</v>
      </c>
      <c r="L1" s="241" t="s">
        <v>455</v>
      </c>
      <c r="M1" s="390"/>
      <c r="N1" s="390"/>
      <c r="O1" s="390"/>
      <c r="P1" s="390"/>
      <c r="Q1" s="390"/>
    </row>
    <row r="2" spans="1:17">
      <c r="A2" s="282"/>
      <c r="B2" s="283"/>
      <c r="C2" s="285"/>
      <c r="D2" s="506" t="str">
        <f>IF(Tableau12[[#This Row],[Quantité restante dans la cuve
(si remplissage, valeur 
avant le plein)]]&lt;=0,"",Tableau12[[#This Row],[Quantité restante dans la cuve
(si remplissage, valeur 
avant le plein)]]+Tableau12[[#This Row],[Remplissage / 
Quantité remise]])</f>
        <v/>
      </c>
      <c r="E2" s="249"/>
      <c r="F2" s="245"/>
      <c r="G2" s="240"/>
      <c r="H2" s="240"/>
      <c r="I2" s="242"/>
      <c r="J2" s="237"/>
      <c r="L2" s="391" t="s">
        <v>453</v>
      </c>
      <c r="M2" s="186"/>
      <c r="N2" s="390"/>
      <c r="O2" s="390"/>
      <c r="P2" s="390" t="s">
        <v>460</v>
      </c>
      <c r="Q2" s="390"/>
    </row>
    <row r="3" spans="1:17">
      <c r="A3" s="284"/>
      <c r="B3" s="285"/>
      <c r="C3" s="285"/>
      <c r="D3" s="506" t="str">
        <f>IF(Tableau12[[#This Row],[Quantité restante dans la cuve
(si remplissage, valeur 
avant le plein)]]&lt;=0,"",Tableau12[[#This Row],[Quantité restante dans la cuve
(si remplissage, valeur 
avant le plein)]]+Tableau12[[#This Row],[Remplissage / 
Quantité remise]])</f>
        <v/>
      </c>
      <c r="E3" s="236" t="str">
        <f>IFERROR(G3/(A3-A2),"")</f>
        <v/>
      </c>
      <c r="F3" s="289" t="str">
        <f>IF(A3="","",A3)</f>
        <v/>
      </c>
      <c r="G3" s="290" t="str">
        <f>IF(B3&lt;=0,"",D2-B3)</f>
        <v/>
      </c>
      <c r="H3" s="290"/>
      <c r="I3" s="243"/>
      <c r="J3" s="238" t="str">
        <f>IF(C2&lt;=0,IF(B3&gt;B2,"Erreur saisie","Saisie ok"),"Saisie ok, plein fait")</f>
        <v>Saisie ok</v>
      </c>
      <c r="L3" s="293" t="s">
        <v>469</v>
      </c>
      <c r="M3" s="186"/>
      <c r="N3" s="390"/>
      <c r="O3" s="390"/>
      <c r="P3" s="390" t="s">
        <v>461</v>
      </c>
      <c r="Q3" s="239"/>
    </row>
    <row r="4" spans="1:17">
      <c r="A4" s="284"/>
      <c r="B4" s="285"/>
      <c r="C4" s="285"/>
      <c r="D4" s="506" t="str">
        <f>IF(Tableau12[[#This Row],[Quantité restante dans la cuve
(si remplissage, valeur 
avant le plein)]]&lt;=0,"",Tableau12[[#This Row],[Quantité restante dans la cuve
(si remplissage, valeur 
avant le plein)]]+Tableau12[[#This Row],[Remplissage / 
Quantité remise]])</f>
        <v/>
      </c>
      <c r="E4" s="236" t="str">
        <f t="shared" ref="E4:E67" si="0">IFERROR(G4/(A4-A3),"")</f>
        <v/>
      </c>
      <c r="F4" s="289" t="str">
        <f t="shared" ref="F4:F67" si="1">IF(A4="","",A4)</f>
        <v/>
      </c>
      <c r="G4" s="290" t="str">
        <f t="shared" ref="G4:G67" si="2">IF(B4&lt;=0,"",D3-B4)</f>
        <v/>
      </c>
      <c r="H4" s="290"/>
      <c r="I4" s="243"/>
      <c r="J4" s="238" t="str">
        <f t="shared" ref="J4:J67" si="3">IF(C3&lt;=0,IF(B4&gt;B3,"Erreur saisie","Saisie ok"),"Saisie ok, plein fait")</f>
        <v>Saisie ok</v>
      </c>
      <c r="L4" s="392" t="s">
        <v>454</v>
      </c>
      <c r="M4" s="186"/>
      <c r="N4" s="390"/>
      <c r="O4" s="390"/>
      <c r="P4" s="390" t="s">
        <v>462</v>
      </c>
      <c r="Q4" s="239"/>
    </row>
    <row r="5" spans="1:17">
      <c r="A5" s="284"/>
      <c r="B5" s="285"/>
      <c r="C5" s="285"/>
      <c r="D5" s="506" t="str">
        <f>IF(Tableau12[[#This Row],[Quantité restante dans la cuve
(si remplissage, valeur 
avant le plein)]]&lt;=0,"",Tableau12[[#This Row],[Quantité restante dans la cuve
(si remplissage, valeur 
avant le plein)]]+Tableau12[[#This Row],[Remplissage / 
Quantité remise]])</f>
        <v/>
      </c>
      <c r="E5" s="236" t="str">
        <f t="shared" si="0"/>
        <v/>
      </c>
      <c r="F5" s="289" t="str">
        <f t="shared" si="1"/>
        <v/>
      </c>
      <c r="G5" s="290" t="str">
        <f t="shared" si="2"/>
        <v/>
      </c>
      <c r="H5" s="290"/>
      <c r="I5" s="243"/>
      <c r="J5" s="238" t="str">
        <f t="shared" si="3"/>
        <v>Saisie ok</v>
      </c>
      <c r="L5" s="294" t="s">
        <v>470</v>
      </c>
      <c r="M5" s="186"/>
      <c r="N5" s="390"/>
      <c r="O5" s="390"/>
      <c r="P5" s="390" t="s">
        <v>465</v>
      </c>
      <c r="Q5" s="239"/>
    </row>
    <row r="6" spans="1:17">
      <c r="A6" s="284"/>
      <c r="B6" s="285"/>
      <c r="C6" s="285"/>
      <c r="D6" s="506" t="str">
        <f>IF(Tableau12[[#This Row],[Quantité restante dans la cuve
(si remplissage, valeur 
avant le plein)]]&lt;=0,"",Tableau12[[#This Row],[Quantité restante dans la cuve
(si remplissage, valeur 
avant le plein)]]+Tableau12[[#This Row],[Remplissage / 
Quantité remise]])</f>
        <v/>
      </c>
      <c r="E6" s="236" t="str">
        <f t="shared" si="0"/>
        <v/>
      </c>
      <c r="F6" s="289" t="str">
        <f t="shared" si="1"/>
        <v/>
      </c>
      <c r="G6" s="290" t="str">
        <f t="shared" si="2"/>
        <v/>
      </c>
      <c r="H6" s="290"/>
      <c r="I6" s="243"/>
      <c r="J6" s="238" t="str">
        <f t="shared" si="3"/>
        <v>Saisie ok</v>
      </c>
      <c r="L6" s="392" t="s">
        <v>458</v>
      </c>
      <c r="M6" s="186"/>
      <c r="N6" s="390"/>
      <c r="O6" s="390"/>
      <c r="P6" s="390"/>
      <c r="Q6" s="239"/>
    </row>
    <row r="7" spans="1:17">
      <c r="A7" s="286"/>
      <c r="B7" s="287"/>
      <c r="C7" s="287"/>
      <c r="D7" s="506" t="str">
        <f>IF(Tableau12[[#This Row],[Quantité restante dans la cuve
(si remplissage, valeur 
avant le plein)]]&lt;=0,"",Tableau12[[#This Row],[Quantité restante dans la cuve
(si remplissage, valeur 
avant le plein)]]+Tableau12[[#This Row],[Remplissage / 
Quantité remise]])</f>
        <v/>
      </c>
      <c r="E7" s="236" t="str">
        <f t="shared" si="0"/>
        <v/>
      </c>
      <c r="F7" s="289" t="str">
        <f t="shared" si="1"/>
        <v/>
      </c>
      <c r="G7" s="290" t="str">
        <f t="shared" si="2"/>
        <v/>
      </c>
      <c r="H7" s="292"/>
      <c r="I7" s="244"/>
      <c r="J7" s="238" t="str">
        <f t="shared" si="3"/>
        <v>Saisie ok</v>
      </c>
      <c r="L7" s="294" t="s">
        <v>461</v>
      </c>
      <c r="M7" s="186"/>
      <c r="N7" s="390"/>
      <c r="O7" s="390"/>
      <c r="P7" s="390"/>
      <c r="Q7" s="239"/>
    </row>
    <row r="8" spans="1:17">
      <c r="A8" s="286"/>
      <c r="B8" s="287"/>
      <c r="C8" s="287"/>
      <c r="D8" s="506" t="str">
        <f>IF(Tableau12[[#This Row],[Quantité restante dans la cuve
(si remplissage, valeur 
avant le plein)]]&lt;=0,"",Tableau12[[#This Row],[Quantité restante dans la cuve
(si remplissage, valeur 
avant le plein)]]+Tableau12[[#This Row],[Remplissage / 
Quantité remise]])</f>
        <v/>
      </c>
      <c r="E8" s="236" t="str">
        <f t="shared" si="0"/>
        <v/>
      </c>
      <c r="F8" s="289" t="str">
        <f t="shared" si="1"/>
        <v/>
      </c>
      <c r="G8" s="290" t="str">
        <f t="shared" si="2"/>
        <v/>
      </c>
      <c r="H8" s="292"/>
      <c r="I8" s="244"/>
      <c r="J8" s="238" t="str">
        <f t="shared" si="3"/>
        <v>Saisie ok</v>
      </c>
      <c r="L8" s="392" t="s">
        <v>464</v>
      </c>
      <c r="M8" s="186"/>
      <c r="N8" s="390"/>
      <c r="O8" s="390"/>
      <c r="P8" s="390"/>
      <c r="Q8" s="239"/>
    </row>
    <row r="9" spans="1:17">
      <c r="A9" s="286"/>
      <c r="B9" s="287"/>
      <c r="C9" s="287"/>
      <c r="D9" s="506" t="str">
        <f>IF(Tableau12[[#This Row],[Quantité restante dans la cuve
(si remplissage, valeur 
avant le plein)]]&lt;=0,"",Tableau12[[#This Row],[Quantité restante dans la cuve
(si remplissage, valeur 
avant le plein)]]+Tableau12[[#This Row],[Remplissage / 
Quantité remise]])</f>
        <v/>
      </c>
      <c r="E9" s="236" t="str">
        <f t="shared" si="0"/>
        <v/>
      </c>
      <c r="F9" s="289" t="str">
        <f t="shared" si="1"/>
        <v/>
      </c>
      <c r="G9" s="290" t="str">
        <f t="shared" si="2"/>
        <v/>
      </c>
      <c r="H9" s="292"/>
      <c r="I9" s="244"/>
      <c r="J9" s="238" t="str">
        <f t="shared" si="3"/>
        <v>Saisie ok</v>
      </c>
      <c r="L9" s="295"/>
      <c r="M9" s="186"/>
      <c r="N9" s="390"/>
      <c r="O9" s="390"/>
      <c r="P9" s="390"/>
      <c r="Q9" s="239"/>
    </row>
    <row r="10" spans="1:17">
      <c r="A10" s="286"/>
      <c r="B10" s="287"/>
      <c r="C10" s="287"/>
      <c r="D10" s="506" t="str">
        <f>IF(Tableau12[[#This Row],[Quantité restante dans la cuve
(si remplissage, valeur 
avant le plein)]]&lt;=0,"",Tableau12[[#This Row],[Quantité restante dans la cuve
(si remplissage, valeur 
avant le plein)]]+Tableau12[[#This Row],[Remplissage / 
Quantité remise]])</f>
        <v/>
      </c>
      <c r="E10" s="236" t="str">
        <f t="shared" si="0"/>
        <v/>
      </c>
      <c r="F10" s="289" t="str">
        <f t="shared" si="1"/>
        <v/>
      </c>
      <c r="G10" s="290" t="str">
        <f t="shared" si="2"/>
        <v/>
      </c>
      <c r="H10" s="292"/>
      <c r="I10" s="244"/>
      <c r="J10" s="238" t="str">
        <f t="shared" si="3"/>
        <v>Saisie ok</v>
      </c>
      <c r="L10" s="392" t="s">
        <v>459</v>
      </c>
      <c r="M10" s="186"/>
      <c r="N10" s="390"/>
      <c r="O10" s="390"/>
      <c r="P10" s="390"/>
      <c r="Q10" s="390"/>
    </row>
    <row r="11" spans="1:17">
      <c r="A11" s="284"/>
      <c r="B11" s="285"/>
      <c r="C11" s="285"/>
      <c r="D11" s="506" t="str">
        <f>IF(Tableau12[[#This Row],[Quantité restante dans la cuve
(si remplissage, valeur 
avant le plein)]]&lt;=0,"",Tableau12[[#This Row],[Quantité restante dans la cuve
(si remplissage, valeur 
avant le plein)]]+Tableau12[[#This Row],[Remplissage / 
Quantité remise]])</f>
        <v/>
      </c>
      <c r="E11" s="236" t="str">
        <f t="shared" si="0"/>
        <v/>
      </c>
      <c r="F11" s="289" t="str">
        <f t="shared" si="1"/>
        <v/>
      </c>
      <c r="G11" s="290" t="str">
        <f t="shared" si="2"/>
        <v/>
      </c>
      <c r="H11" s="290"/>
      <c r="I11" s="243"/>
      <c r="J11" s="238" t="str">
        <f t="shared" si="3"/>
        <v>Saisie ok</v>
      </c>
      <c r="L11" s="296"/>
      <c r="M11" s="186"/>
      <c r="N11" s="390"/>
      <c r="O11" s="390"/>
      <c r="P11" s="390"/>
      <c r="Q11" s="390"/>
    </row>
    <row r="12" spans="1:17">
      <c r="A12" s="284"/>
      <c r="B12" s="285"/>
      <c r="C12" s="285"/>
      <c r="D12" s="506" t="str">
        <f>IF(Tableau12[[#This Row],[Quantité restante dans la cuve
(si remplissage, valeur 
avant le plein)]]&lt;=0,"",Tableau12[[#This Row],[Quantité restante dans la cuve
(si remplissage, valeur 
avant le plein)]]+Tableau12[[#This Row],[Remplissage / 
Quantité remise]])</f>
        <v/>
      </c>
      <c r="E12" s="236" t="str">
        <f t="shared" si="0"/>
        <v/>
      </c>
      <c r="F12" s="289" t="str">
        <f t="shared" si="1"/>
        <v/>
      </c>
      <c r="G12" s="290" t="str">
        <f t="shared" si="2"/>
        <v/>
      </c>
      <c r="H12" s="290"/>
      <c r="I12" s="243"/>
      <c r="J12" s="238" t="str">
        <f t="shared" si="3"/>
        <v>Saisie ok</v>
      </c>
      <c r="L12" s="392" t="s">
        <v>463</v>
      </c>
      <c r="M12" s="186"/>
      <c r="N12" s="390"/>
      <c r="O12" s="390"/>
      <c r="P12" s="390"/>
      <c r="Q12" s="390"/>
    </row>
    <row r="13" spans="1:17">
      <c r="A13" s="284"/>
      <c r="B13" s="285"/>
      <c r="C13" s="285"/>
      <c r="D13" s="506" t="str">
        <f>IF(Tableau12[[#This Row],[Quantité restante dans la cuve
(si remplissage, valeur 
avant le plein)]]&lt;=0,"",Tableau12[[#This Row],[Quantité restante dans la cuve
(si remplissage, valeur 
avant le plein)]]+Tableau12[[#This Row],[Remplissage / 
Quantité remise]])</f>
        <v/>
      </c>
      <c r="E13" s="236" t="str">
        <f t="shared" si="0"/>
        <v/>
      </c>
      <c r="F13" s="289" t="str">
        <f t="shared" si="1"/>
        <v/>
      </c>
      <c r="G13" s="290" t="str">
        <f t="shared" si="2"/>
        <v/>
      </c>
      <c r="H13" s="290"/>
      <c r="I13" s="243"/>
      <c r="J13" s="238" t="str">
        <f t="shared" si="3"/>
        <v>Saisie ok</v>
      </c>
      <c r="L13" s="312">
        <f>IF(L7=P3,L9*L11,)</f>
        <v>0</v>
      </c>
      <c r="M13" s="186"/>
      <c r="N13" s="390"/>
      <c r="O13" s="390"/>
      <c r="P13" s="390"/>
      <c r="Q13" s="390"/>
    </row>
    <row r="14" spans="1:17">
      <c r="A14" s="284"/>
      <c r="B14" s="285"/>
      <c r="C14" s="285"/>
      <c r="D14" s="506" t="str">
        <f>IF(Tableau12[[#This Row],[Quantité restante dans la cuve
(si remplissage, valeur 
avant le plein)]]&lt;=0,"",Tableau12[[#This Row],[Quantité restante dans la cuve
(si remplissage, valeur 
avant le plein)]]+Tableau12[[#This Row],[Remplissage / 
Quantité remise]])</f>
        <v/>
      </c>
      <c r="E14" s="236" t="str">
        <f t="shared" si="0"/>
        <v/>
      </c>
      <c r="F14" s="289" t="str">
        <f t="shared" si="1"/>
        <v/>
      </c>
      <c r="G14" s="290" t="str">
        <f t="shared" si="2"/>
        <v/>
      </c>
      <c r="H14" s="290"/>
      <c r="I14" s="243"/>
      <c r="J14" s="238" t="str">
        <f t="shared" si="3"/>
        <v>Saisie ok</v>
      </c>
      <c r="M14" s="390"/>
      <c r="N14" s="390"/>
      <c r="O14" s="390"/>
      <c r="P14" s="390"/>
      <c r="Q14" s="390"/>
    </row>
    <row r="15" spans="1:17">
      <c r="A15" s="284"/>
      <c r="B15" s="285"/>
      <c r="C15" s="285"/>
      <c r="D15" s="506" t="str">
        <f>IF(Tableau12[[#This Row],[Quantité restante dans la cuve
(si remplissage, valeur 
avant le plein)]]&lt;=0,"",Tableau12[[#This Row],[Quantité restante dans la cuve
(si remplissage, valeur 
avant le plein)]]+Tableau12[[#This Row],[Remplissage / 
Quantité remise]])</f>
        <v/>
      </c>
      <c r="E15" s="236" t="str">
        <f t="shared" si="0"/>
        <v/>
      </c>
      <c r="F15" s="289" t="str">
        <f t="shared" si="1"/>
        <v/>
      </c>
      <c r="G15" s="290" t="str">
        <f t="shared" si="2"/>
        <v/>
      </c>
      <c r="H15" s="290"/>
      <c r="I15" s="243"/>
      <c r="J15" s="238" t="str">
        <f t="shared" si="3"/>
        <v>Saisie ok</v>
      </c>
      <c r="M15" s="390"/>
      <c r="N15" s="390"/>
      <c r="O15" s="390"/>
      <c r="P15" s="390"/>
      <c r="Q15" s="390"/>
    </row>
    <row r="16" spans="1:17">
      <c r="A16" s="284"/>
      <c r="B16" s="285"/>
      <c r="C16" s="285"/>
      <c r="D16" s="506" t="str">
        <f>IF(Tableau12[[#This Row],[Quantité restante dans la cuve
(si remplissage, valeur 
avant le plein)]]&lt;=0,"",Tableau12[[#This Row],[Quantité restante dans la cuve
(si remplissage, valeur 
avant le plein)]]+Tableau12[[#This Row],[Remplissage / 
Quantité remise]])</f>
        <v/>
      </c>
      <c r="E16" s="236" t="str">
        <f t="shared" si="0"/>
        <v/>
      </c>
      <c r="F16" s="289" t="str">
        <f t="shared" si="1"/>
        <v/>
      </c>
      <c r="G16" s="290" t="str">
        <f t="shared" si="2"/>
        <v/>
      </c>
      <c r="H16" s="290"/>
      <c r="I16" s="243"/>
      <c r="J16" s="238" t="str">
        <f t="shared" si="3"/>
        <v>Saisie ok</v>
      </c>
      <c r="M16" s="390"/>
      <c r="N16" s="390"/>
      <c r="O16" s="390"/>
      <c r="P16" s="390"/>
      <c r="Q16" s="390"/>
    </row>
    <row r="17" spans="1:17">
      <c r="A17" s="284"/>
      <c r="B17" s="285"/>
      <c r="C17" s="285"/>
      <c r="D17" s="506" t="str">
        <f>IF(Tableau12[[#This Row],[Quantité restante dans la cuve
(si remplissage, valeur 
avant le plein)]]&lt;=0,"",Tableau12[[#This Row],[Quantité restante dans la cuve
(si remplissage, valeur 
avant le plein)]]+Tableau12[[#This Row],[Remplissage / 
Quantité remise]])</f>
        <v/>
      </c>
      <c r="E17" s="236" t="str">
        <f t="shared" si="0"/>
        <v/>
      </c>
      <c r="F17" s="289" t="str">
        <f t="shared" si="1"/>
        <v/>
      </c>
      <c r="G17" s="290" t="str">
        <f t="shared" si="2"/>
        <v/>
      </c>
      <c r="H17" s="290"/>
      <c r="I17" s="243"/>
      <c r="J17" s="238" t="str">
        <f t="shared" si="3"/>
        <v>Saisie ok</v>
      </c>
      <c r="L17" s="393" t="s">
        <v>516</v>
      </c>
      <c r="M17" s="394"/>
      <c r="N17" s="395"/>
      <c r="O17" s="390"/>
      <c r="P17" s="390"/>
      <c r="Q17" s="390"/>
    </row>
    <row r="18" spans="1:17">
      <c r="A18" s="284"/>
      <c r="B18" s="285"/>
      <c r="C18" s="285"/>
      <c r="D18" s="506" t="str">
        <f>IF(Tableau12[[#This Row],[Quantité restante dans la cuve
(si remplissage, valeur 
avant le plein)]]&lt;=0,"",Tableau12[[#This Row],[Quantité restante dans la cuve
(si remplissage, valeur 
avant le plein)]]+Tableau12[[#This Row],[Remplissage / 
Quantité remise]])</f>
        <v/>
      </c>
      <c r="E18" s="236" t="str">
        <f t="shared" si="0"/>
        <v/>
      </c>
      <c r="F18" s="289" t="str">
        <f t="shared" si="1"/>
        <v/>
      </c>
      <c r="G18" s="290" t="str">
        <f t="shared" si="2"/>
        <v/>
      </c>
      <c r="H18" s="290"/>
      <c r="I18" s="243"/>
      <c r="J18" s="238" t="str">
        <f t="shared" si="3"/>
        <v>Saisie ok</v>
      </c>
      <c r="M18" s="390"/>
      <c r="N18" s="390"/>
      <c r="O18" s="390"/>
      <c r="P18" s="390"/>
      <c r="Q18" s="390"/>
    </row>
    <row r="19" spans="1:17">
      <c r="A19" s="284"/>
      <c r="B19" s="285"/>
      <c r="C19" s="285"/>
      <c r="D19" s="506" t="str">
        <f>IF(Tableau12[[#This Row],[Quantité restante dans la cuve
(si remplissage, valeur 
avant le plein)]]&lt;=0,"",Tableau12[[#This Row],[Quantité restante dans la cuve
(si remplissage, valeur 
avant le plein)]]+Tableau12[[#This Row],[Remplissage / 
Quantité remise]])</f>
        <v/>
      </c>
      <c r="E19" s="236" t="str">
        <f t="shared" si="0"/>
        <v/>
      </c>
      <c r="F19" s="289" t="str">
        <f t="shared" si="1"/>
        <v/>
      </c>
      <c r="G19" s="290" t="str">
        <f t="shared" si="2"/>
        <v/>
      </c>
      <c r="H19" s="290"/>
      <c r="I19" s="243"/>
      <c r="J19" s="238" t="str">
        <f t="shared" si="3"/>
        <v>Saisie ok</v>
      </c>
      <c r="L19" s="291" t="s">
        <v>517</v>
      </c>
      <c r="M19" s="390"/>
      <c r="N19" s="390"/>
      <c r="O19" s="390"/>
      <c r="P19" s="390"/>
      <c r="Q19" s="390"/>
    </row>
    <row r="20" spans="1:17">
      <c r="A20" s="284"/>
      <c r="B20" s="285"/>
      <c r="C20" s="285"/>
      <c r="D20" s="506" t="str">
        <f>IF(Tableau12[[#This Row],[Quantité restante dans la cuve
(si remplissage, valeur 
avant le plein)]]&lt;=0,"",Tableau12[[#This Row],[Quantité restante dans la cuve
(si remplissage, valeur 
avant le plein)]]+Tableau12[[#This Row],[Remplissage / 
Quantité remise]])</f>
        <v/>
      </c>
      <c r="E20" s="236" t="str">
        <f t="shared" si="0"/>
        <v/>
      </c>
      <c r="F20" s="289" t="str">
        <f t="shared" si="1"/>
        <v/>
      </c>
      <c r="G20" s="290" t="str">
        <f t="shared" si="2"/>
        <v/>
      </c>
      <c r="H20" s="290"/>
      <c r="I20" s="243"/>
      <c r="J20" s="238" t="str">
        <f t="shared" si="3"/>
        <v>Saisie ok</v>
      </c>
      <c r="L20" s="288" t="s">
        <v>830</v>
      </c>
      <c r="M20" s="390"/>
      <c r="N20" s="390"/>
      <c r="O20" s="390"/>
      <c r="P20" s="390"/>
      <c r="Q20" s="390"/>
    </row>
    <row r="21" spans="1:17">
      <c r="A21" s="284"/>
      <c r="B21" s="285"/>
      <c r="C21" s="285"/>
      <c r="D21" s="506" t="str">
        <f>IF(Tableau12[[#This Row],[Quantité restante dans la cuve
(si remplissage, valeur 
avant le plein)]]&lt;=0,"",Tableau12[[#This Row],[Quantité restante dans la cuve
(si remplissage, valeur 
avant le plein)]]+Tableau12[[#This Row],[Remplissage / 
Quantité remise]])</f>
        <v/>
      </c>
      <c r="E21" s="236" t="str">
        <f t="shared" si="0"/>
        <v/>
      </c>
      <c r="F21" s="289" t="str">
        <f t="shared" si="1"/>
        <v/>
      </c>
      <c r="G21" s="290" t="str">
        <f t="shared" si="2"/>
        <v/>
      </c>
      <c r="H21" s="290"/>
      <c r="I21" s="243"/>
      <c r="J21" s="238" t="str">
        <f t="shared" si="3"/>
        <v>Saisie ok</v>
      </c>
      <c r="L21" s="288" t="s">
        <v>831</v>
      </c>
      <c r="M21" s="390"/>
      <c r="N21" s="390"/>
      <c r="O21" s="390"/>
      <c r="P21" s="390"/>
      <c r="Q21" s="390"/>
    </row>
    <row r="22" spans="1:17">
      <c r="A22" s="284"/>
      <c r="B22" s="285"/>
      <c r="C22" s="285"/>
      <c r="D22" s="506" t="str">
        <f>IF(Tableau12[[#This Row],[Quantité restante dans la cuve
(si remplissage, valeur 
avant le plein)]]&lt;=0,"",Tableau12[[#This Row],[Quantité restante dans la cuve
(si remplissage, valeur 
avant le plein)]]+Tableau12[[#This Row],[Remplissage / 
Quantité remise]])</f>
        <v/>
      </c>
      <c r="E22" s="236" t="str">
        <f t="shared" si="0"/>
        <v/>
      </c>
      <c r="F22" s="289" t="str">
        <f t="shared" si="1"/>
        <v/>
      </c>
      <c r="G22" s="290" t="str">
        <f t="shared" si="2"/>
        <v/>
      </c>
      <c r="H22" s="290"/>
      <c r="I22" s="243"/>
      <c r="J22" s="238" t="str">
        <f t="shared" si="3"/>
        <v>Saisie ok</v>
      </c>
      <c r="L22" s="288" t="s">
        <v>519</v>
      </c>
      <c r="M22" s="390"/>
      <c r="N22" s="390"/>
      <c r="O22" s="390"/>
      <c r="P22" s="390"/>
      <c r="Q22" s="390"/>
    </row>
    <row r="23" spans="1:17">
      <c r="A23" s="284"/>
      <c r="B23" s="285"/>
      <c r="C23" s="285"/>
      <c r="D23" s="506" t="str">
        <f>IF(Tableau12[[#This Row],[Quantité restante dans la cuve
(si remplissage, valeur 
avant le plein)]]&lt;=0,"",Tableau12[[#This Row],[Quantité restante dans la cuve
(si remplissage, valeur 
avant le plein)]]+Tableau12[[#This Row],[Remplissage / 
Quantité remise]])</f>
        <v/>
      </c>
      <c r="E23" s="236" t="str">
        <f t="shared" si="0"/>
        <v/>
      </c>
      <c r="F23" s="289" t="str">
        <f t="shared" si="1"/>
        <v/>
      </c>
      <c r="G23" s="290" t="str">
        <f t="shared" si="2"/>
        <v/>
      </c>
      <c r="H23" s="290"/>
      <c r="I23" s="243"/>
      <c r="J23" s="238" t="str">
        <f t="shared" si="3"/>
        <v>Saisie ok</v>
      </c>
      <c r="M23" s="390"/>
      <c r="N23" s="390"/>
      <c r="O23" s="390"/>
      <c r="P23" s="390"/>
      <c r="Q23" s="390"/>
    </row>
    <row r="24" spans="1:17">
      <c r="A24" s="284"/>
      <c r="B24" s="285"/>
      <c r="C24" s="285"/>
      <c r="D24" s="506" t="str">
        <f>IF(Tableau12[[#This Row],[Quantité restante dans la cuve
(si remplissage, valeur 
avant le plein)]]&lt;=0,"",Tableau12[[#This Row],[Quantité restante dans la cuve
(si remplissage, valeur 
avant le plein)]]+Tableau12[[#This Row],[Remplissage / 
Quantité remise]])</f>
        <v/>
      </c>
      <c r="E24" s="236" t="str">
        <f t="shared" si="0"/>
        <v/>
      </c>
      <c r="F24" s="289" t="str">
        <f t="shared" si="1"/>
        <v/>
      </c>
      <c r="G24" s="290" t="str">
        <f t="shared" si="2"/>
        <v/>
      </c>
      <c r="H24" s="290"/>
      <c r="I24" s="243"/>
      <c r="J24" s="238" t="str">
        <f t="shared" si="3"/>
        <v>Saisie ok</v>
      </c>
      <c r="L24" s="288" t="s">
        <v>520</v>
      </c>
      <c r="M24" s="390"/>
      <c r="N24" s="390"/>
      <c r="O24" s="390"/>
      <c r="P24" s="390"/>
      <c r="Q24" s="390"/>
    </row>
    <row r="25" spans="1:17">
      <c r="A25" s="284"/>
      <c r="B25" s="285"/>
      <c r="C25" s="285"/>
      <c r="D25" s="506" t="str">
        <f>IF(Tableau12[[#This Row],[Quantité restante dans la cuve
(si remplissage, valeur 
avant le plein)]]&lt;=0,"",Tableau12[[#This Row],[Quantité restante dans la cuve
(si remplissage, valeur 
avant le plein)]]+Tableau12[[#This Row],[Remplissage / 
Quantité remise]])</f>
        <v/>
      </c>
      <c r="E25" s="236" t="str">
        <f t="shared" si="0"/>
        <v/>
      </c>
      <c r="F25" s="289" t="str">
        <f t="shared" si="1"/>
        <v/>
      </c>
      <c r="G25" s="290" t="str">
        <f t="shared" si="2"/>
        <v/>
      </c>
      <c r="H25" s="290"/>
      <c r="I25" s="243"/>
      <c r="J25" s="238" t="str">
        <f t="shared" si="3"/>
        <v>Saisie ok</v>
      </c>
      <c r="L25" s="288" t="s">
        <v>518</v>
      </c>
      <c r="M25" s="390"/>
      <c r="N25" s="390"/>
      <c r="O25" s="390"/>
      <c r="P25" s="390"/>
      <c r="Q25" s="390"/>
    </row>
    <row r="26" spans="1:17">
      <c r="A26" s="284"/>
      <c r="B26" s="285"/>
      <c r="C26" s="285"/>
      <c r="D26" s="506" t="str">
        <f>IF(Tableau12[[#This Row],[Quantité restante dans la cuve
(si remplissage, valeur 
avant le plein)]]&lt;=0,"",Tableau12[[#This Row],[Quantité restante dans la cuve
(si remplissage, valeur 
avant le plein)]]+Tableau12[[#This Row],[Remplissage / 
Quantité remise]])</f>
        <v/>
      </c>
      <c r="E26" s="236" t="str">
        <f t="shared" si="0"/>
        <v/>
      </c>
      <c r="F26" s="289" t="str">
        <f t="shared" si="1"/>
        <v/>
      </c>
      <c r="G26" s="290" t="str">
        <f t="shared" si="2"/>
        <v/>
      </c>
      <c r="H26" s="290"/>
      <c r="I26" s="243"/>
      <c r="J26" s="238" t="str">
        <f t="shared" si="3"/>
        <v>Saisie ok</v>
      </c>
      <c r="L26" s="288" t="s">
        <v>522</v>
      </c>
      <c r="M26" s="390"/>
      <c r="N26" s="390"/>
      <c r="O26" s="390"/>
      <c r="P26" s="390"/>
      <c r="Q26" s="390"/>
    </row>
    <row r="27" spans="1:17">
      <c r="A27" s="284"/>
      <c r="B27" s="285"/>
      <c r="C27" s="285"/>
      <c r="D27" s="506" t="str">
        <f>IF(Tableau12[[#This Row],[Quantité restante dans la cuve
(si remplissage, valeur 
avant le plein)]]&lt;=0,"",Tableau12[[#This Row],[Quantité restante dans la cuve
(si remplissage, valeur 
avant le plein)]]+Tableau12[[#This Row],[Remplissage / 
Quantité remise]])</f>
        <v/>
      </c>
      <c r="E27" s="236" t="str">
        <f t="shared" si="0"/>
        <v/>
      </c>
      <c r="F27" s="289" t="str">
        <f t="shared" si="1"/>
        <v/>
      </c>
      <c r="G27" s="290" t="str">
        <f t="shared" si="2"/>
        <v/>
      </c>
      <c r="H27" s="290"/>
      <c r="I27" s="243"/>
      <c r="J27" s="238" t="str">
        <f t="shared" si="3"/>
        <v>Saisie ok</v>
      </c>
      <c r="L27" s="288" t="s">
        <v>832</v>
      </c>
      <c r="M27" s="390"/>
      <c r="N27" s="390"/>
      <c r="O27" s="390"/>
      <c r="P27" s="390"/>
      <c r="Q27" s="390"/>
    </row>
    <row r="28" spans="1:17">
      <c r="A28" s="284"/>
      <c r="B28" s="285"/>
      <c r="C28" s="285"/>
      <c r="D28" s="506" t="str">
        <f>IF(Tableau12[[#This Row],[Quantité restante dans la cuve
(si remplissage, valeur 
avant le plein)]]&lt;=0,"",Tableau12[[#This Row],[Quantité restante dans la cuve
(si remplissage, valeur 
avant le plein)]]+Tableau12[[#This Row],[Remplissage / 
Quantité remise]])</f>
        <v/>
      </c>
      <c r="E28" s="236" t="str">
        <f t="shared" si="0"/>
        <v/>
      </c>
      <c r="F28" s="289" t="str">
        <f t="shared" si="1"/>
        <v/>
      </c>
      <c r="G28" s="290" t="str">
        <f t="shared" si="2"/>
        <v/>
      </c>
      <c r="H28" s="290"/>
      <c r="I28" s="243"/>
      <c r="J28" s="238" t="str">
        <f t="shared" si="3"/>
        <v>Saisie ok</v>
      </c>
      <c r="M28" s="390"/>
      <c r="N28" s="390"/>
      <c r="O28" s="390"/>
      <c r="P28" s="390"/>
      <c r="Q28" s="390"/>
    </row>
    <row r="29" spans="1:17">
      <c r="A29" s="284"/>
      <c r="B29" s="285"/>
      <c r="C29" s="285"/>
      <c r="D29" s="506" t="str">
        <f>IF(Tableau12[[#This Row],[Quantité restante dans la cuve
(si remplissage, valeur 
avant le plein)]]&lt;=0,"",Tableau12[[#This Row],[Quantité restante dans la cuve
(si remplissage, valeur 
avant le plein)]]+Tableau12[[#This Row],[Remplissage / 
Quantité remise]])</f>
        <v/>
      </c>
      <c r="E29" s="236" t="str">
        <f t="shared" si="0"/>
        <v/>
      </c>
      <c r="F29" s="289" t="str">
        <f t="shared" si="1"/>
        <v/>
      </c>
      <c r="G29" s="290" t="str">
        <f t="shared" si="2"/>
        <v/>
      </c>
      <c r="H29" s="290"/>
      <c r="I29" s="243"/>
      <c r="J29" s="238" t="str">
        <f t="shared" si="3"/>
        <v>Saisie ok</v>
      </c>
    </row>
    <row r="30" spans="1:17">
      <c r="A30" s="284"/>
      <c r="B30" s="285"/>
      <c r="C30" s="285"/>
      <c r="D30" s="506" t="str">
        <f>IF(Tableau12[[#This Row],[Quantité restante dans la cuve
(si remplissage, valeur 
avant le plein)]]&lt;=0,"",Tableau12[[#This Row],[Quantité restante dans la cuve
(si remplissage, valeur 
avant le plein)]]+Tableau12[[#This Row],[Remplissage / 
Quantité remise]])</f>
        <v/>
      </c>
      <c r="E30" s="236" t="str">
        <f t="shared" si="0"/>
        <v/>
      </c>
      <c r="F30" s="289" t="str">
        <f t="shared" si="1"/>
        <v/>
      </c>
      <c r="G30" s="290" t="str">
        <f t="shared" si="2"/>
        <v/>
      </c>
      <c r="H30" s="290"/>
      <c r="I30" s="243"/>
      <c r="J30" s="238" t="str">
        <f t="shared" si="3"/>
        <v>Saisie ok</v>
      </c>
    </row>
    <row r="31" spans="1:17">
      <c r="A31" s="284"/>
      <c r="B31" s="285"/>
      <c r="C31" s="285"/>
      <c r="D31" s="506" t="str">
        <f>IF(Tableau12[[#This Row],[Quantité restante dans la cuve
(si remplissage, valeur 
avant le plein)]]&lt;=0,"",Tableau12[[#This Row],[Quantité restante dans la cuve
(si remplissage, valeur 
avant le plein)]]+Tableau12[[#This Row],[Remplissage / 
Quantité remise]])</f>
        <v/>
      </c>
      <c r="E31" s="236" t="str">
        <f t="shared" si="0"/>
        <v/>
      </c>
      <c r="F31" s="289" t="str">
        <f t="shared" si="1"/>
        <v/>
      </c>
      <c r="G31" s="290" t="str">
        <f t="shared" si="2"/>
        <v/>
      </c>
      <c r="H31" s="290"/>
      <c r="I31" s="243"/>
      <c r="J31" s="238" t="str">
        <f t="shared" si="3"/>
        <v>Saisie ok</v>
      </c>
    </row>
    <row r="32" spans="1:17">
      <c r="A32" s="284"/>
      <c r="B32" s="285"/>
      <c r="C32" s="285"/>
      <c r="D32" s="506" t="str">
        <f>IF(Tableau12[[#This Row],[Quantité restante dans la cuve
(si remplissage, valeur 
avant le plein)]]&lt;=0,"",Tableau12[[#This Row],[Quantité restante dans la cuve
(si remplissage, valeur 
avant le plein)]]+Tableau12[[#This Row],[Remplissage / 
Quantité remise]])</f>
        <v/>
      </c>
      <c r="E32" s="236" t="str">
        <f t="shared" si="0"/>
        <v/>
      </c>
      <c r="F32" s="289" t="str">
        <f t="shared" si="1"/>
        <v/>
      </c>
      <c r="G32" s="290" t="str">
        <f t="shared" si="2"/>
        <v/>
      </c>
      <c r="H32" s="290"/>
      <c r="I32" s="243"/>
      <c r="J32" s="238" t="str">
        <f t="shared" si="3"/>
        <v>Saisie ok</v>
      </c>
    </row>
    <row r="33" spans="1:10">
      <c r="A33" s="284"/>
      <c r="B33" s="285"/>
      <c r="C33" s="285"/>
      <c r="D33" s="506" t="str">
        <f>IF(Tableau12[[#This Row],[Quantité restante dans la cuve
(si remplissage, valeur 
avant le plein)]]&lt;=0,"",Tableau12[[#This Row],[Quantité restante dans la cuve
(si remplissage, valeur 
avant le plein)]]+Tableau12[[#This Row],[Remplissage / 
Quantité remise]])</f>
        <v/>
      </c>
      <c r="E33" s="236" t="str">
        <f t="shared" si="0"/>
        <v/>
      </c>
      <c r="F33" s="289" t="str">
        <f t="shared" si="1"/>
        <v/>
      </c>
      <c r="G33" s="290" t="str">
        <f t="shared" si="2"/>
        <v/>
      </c>
      <c r="H33" s="290"/>
      <c r="I33" s="243"/>
      <c r="J33" s="238" t="str">
        <f t="shared" si="3"/>
        <v>Saisie ok</v>
      </c>
    </row>
    <row r="34" spans="1:10">
      <c r="A34" s="284"/>
      <c r="B34" s="285"/>
      <c r="C34" s="285"/>
      <c r="D34" s="506" t="str">
        <f>IF(Tableau12[[#This Row],[Quantité restante dans la cuve
(si remplissage, valeur 
avant le plein)]]&lt;=0,"",Tableau12[[#This Row],[Quantité restante dans la cuve
(si remplissage, valeur 
avant le plein)]]+Tableau12[[#This Row],[Remplissage / 
Quantité remise]])</f>
        <v/>
      </c>
      <c r="E34" s="236" t="str">
        <f t="shared" si="0"/>
        <v/>
      </c>
      <c r="F34" s="289" t="str">
        <f t="shared" si="1"/>
        <v/>
      </c>
      <c r="G34" s="290" t="str">
        <f t="shared" si="2"/>
        <v/>
      </c>
      <c r="H34" s="290"/>
      <c r="I34" s="243"/>
      <c r="J34" s="238" t="str">
        <f t="shared" si="3"/>
        <v>Saisie ok</v>
      </c>
    </row>
    <row r="35" spans="1:10">
      <c r="A35" s="284"/>
      <c r="B35" s="285"/>
      <c r="C35" s="285"/>
      <c r="D35" s="506" t="str">
        <f>IF(Tableau12[[#This Row],[Quantité restante dans la cuve
(si remplissage, valeur 
avant le plein)]]&lt;=0,"",Tableau12[[#This Row],[Quantité restante dans la cuve
(si remplissage, valeur 
avant le plein)]]+Tableau12[[#This Row],[Remplissage / 
Quantité remise]])</f>
        <v/>
      </c>
      <c r="E35" s="236" t="str">
        <f t="shared" si="0"/>
        <v/>
      </c>
      <c r="F35" s="289" t="str">
        <f t="shared" si="1"/>
        <v/>
      </c>
      <c r="G35" s="290" t="str">
        <f t="shared" si="2"/>
        <v/>
      </c>
      <c r="H35" s="290"/>
      <c r="I35" s="243"/>
      <c r="J35" s="238" t="str">
        <f t="shared" si="3"/>
        <v>Saisie ok</v>
      </c>
    </row>
    <row r="36" spans="1:10">
      <c r="A36" s="284"/>
      <c r="B36" s="285"/>
      <c r="C36" s="285"/>
      <c r="D36" s="506" t="str">
        <f>IF(Tableau12[[#This Row],[Quantité restante dans la cuve
(si remplissage, valeur 
avant le plein)]]&lt;=0,"",Tableau12[[#This Row],[Quantité restante dans la cuve
(si remplissage, valeur 
avant le plein)]]+Tableau12[[#This Row],[Remplissage / 
Quantité remise]])</f>
        <v/>
      </c>
      <c r="E36" s="236" t="str">
        <f t="shared" si="0"/>
        <v/>
      </c>
      <c r="F36" s="289" t="str">
        <f t="shared" si="1"/>
        <v/>
      </c>
      <c r="G36" s="290" t="str">
        <f t="shared" si="2"/>
        <v/>
      </c>
      <c r="H36" s="290"/>
      <c r="I36" s="243"/>
      <c r="J36" s="238" t="str">
        <f t="shared" si="3"/>
        <v>Saisie ok</v>
      </c>
    </row>
    <row r="37" spans="1:10">
      <c r="A37" s="284"/>
      <c r="B37" s="285"/>
      <c r="C37" s="285"/>
      <c r="D37" s="506" t="str">
        <f>IF(Tableau12[[#This Row],[Quantité restante dans la cuve
(si remplissage, valeur 
avant le plein)]]&lt;=0,"",Tableau12[[#This Row],[Quantité restante dans la cuve
(si remplissage, valeur 
avant le plein)]]+Tableau12[[#This Row],[Remplissage / 
Quantité remise]])</f>
        <v/>
      </c>
      <c r="E37" s="236" t="str">
        <f t="shared" si="0"/>
        <v/>
      </c>
      <c r="F37" s="289" t="str">
        <f t="shared" si="1"/>
        <v/>
      </c>
      <c r="G37" s="290" t="str">
        <f t="shared" si="2"/>
        <v/>
      </c>
      <c r="H37" s="290"/>
      <c r="I37" s="243"/>
      <c r="J37" s="238" t="str">
        <f t="shared" si="3"/>
        <v>Saisie ok</v>
      </c>
    </row>
    <row r="38" spans="1:10">
      <c r="A38" s="284"/>
      <c r="B38" s="285"/>
      <c r="C38" s="285"/>
      <c r="D38" s="506" t="str">
        <f>IF(Tableau12[[#This Row],[Quantité restante dans la cuve
(si remplissage, valeur 
avant le plein)]]&lt;=0,"",Tableau12[[#This Row],[Quantité restante dans la cuve
(si remplissage, valeur 
avant le plein)]]+Tableau12[[#This Row],[Remplissage / 
Quantité remise]])</f>
        <v/>
      </c>
      <c r="E38" s="236" t="str">
        <f t="shared" si="0"/>
        <v/>
      </c>
      <c r="F38" s="289" t="str">
        <f t="shared" si="1"/>
        <v/>
      </c>
      <c r="G38" s="290" t="str">
        <f t="shared" si="2"/>
        <v/>
      </c>
      <c r="H38" s="290"/>
      <c r="I38" s="243"/>
      <c r="J38" s="238" t="str">
        <f t="shared" si="3"/>
        <v>Saisie ok</v>
      </c>
    </row>
    <row r="39" spans="1:10">
      <c r="A39" s="284"/>
      <c r="B39" s="285"/>
      <c r="C39" s="285"/>
      <c r="D39" s="506" t="str">
        <f>IF(Tableau12[[#This Row],[Quantité restante dans la cuve
(si remplissage, valeur 
avant le plein)]]&lt;=0,"",Tableau12[[#This Row],[Quantité restante dans la cuve
(si remplissage, valeur 
avant le plein)]]+Tableau12[[#This Row],[Remplissage / 
Quantité remise]])</f>
        <v/>
      </c>
      <c r="E39" s="236" t="str">
        <f t="shared" si="0"/>
        <v/>
      </c>
      <c r="F39" s="289" t="str">
        <f t="shared" si="1"/>
        <v/>
      </c>
      <c r="G39" s="290" t="str">
        <f t="shared" si="2"/>
        <v/>
      </c>
      <c r="H39" s="290"/>
      <c r="I39" s="243"/>
      <c r="J39" s="238" t="str">
        <f t="shared" si="3"/>
        <v>Saisie ok</v>
      </c>
    </row>
    <row r="40" spans="1:10">
      <c r="A40" s="284"/>
      <c r="B40" s="285"/>
      <c r="C40" s="285"/>
      <c r="D40" s="506" t="str">
        <f>IF(Tableau12[[#This Row],[Quantité restante dans la cuve
(si remplissage, valeur 
avant le plein)]]&lt;=0,"",Tableau12[[#This Row],[Quantité restante dans la cuve
(si remplissage, valeur 
avant le plein)]]+Tableau12[[#This Row],[Remplissage / 
Quantité remise]])</f>
        <v/>
      </c>
      <c r="E40" s="236" t="str">
        <f t="shared" si="0"/>
        <v/>
      </c>
      <c r="F40" s="289" t="str">
        <f t="shared" si="1"/>
        <v/>
      </c>
      <c r="G40" s="290" t="str">
        <f t="shared" si="2"/>
        <v/>
      </c>
      <c r="H40" s="290"/>
      <c r="I40" s="243"/>
      <c r="J40" s="238" t="str">
        <f t="shared" si="3"/>
        <v>Saisie ok</v>
      </c>
    </row>
    <row r="41" spans="1:10">
      <c r="A41" s="284"/>
      <c r="B41" s="285"/>
      <c r="C41" s="285"/>
      <c r="D41" s="506" t="str">
        <f>IF(Tableau12[[#This Row],[Quantité restante dans la cuve
(si remplissage, valeur 
avant le plein)]]&lt;=0,"",Tableau12[[#This Row],[Quantité restante dans la cuve
(si remplissage, valeur 
avant le plein)]]+Tableau12[[#This Row],[Remplissage / 
Quantité remise]])</f>
        <v/>
      </c>
      <c r="E41" s="236" t="str">
        <f t="shared" si="0"/>
        <v/>
      </c>
      <c r="F41" s="289" t="str">
        <f t="shared" si="1"/>
        <v/>
      </c>
      <c r="G41" s="290" t="str">
        <f t="shared" si="2"/>
        <v/>
      </c>
      <c r="H41" s="290"/>
      <c r="I41" s="243"/>
      <c r="J41" s="238" t="str">
        <f t="shared" si="3"/>
        <v>Saisie ok</v>
      </c>
    </row>
    <row r="42" spans="1:10">
      <c r="A42" s="284"/>
      <c r="B42" s="285"/>
      <c r="C42" s="285"/>
      <c r="D42" s="506" t="str">
        <f>IF(Tableau12[[#This Row],[Quantité restante dans la cuve
(si remplissage, valeur 
avant le plein)]]&lt;=0,"",Tableau12[[#This Row],[Quantité restante dans la cuve
(si remplissage, valeur 
avant le plein)]]+Tableau12[[#This Row],[Remplissage / 
Quantité remise]])</f>
        <v/>
      </c>
      <c r="E42" s="236" t="str">
        <f t="shared" si="0"/>
        <v/>
      </c>
      <c r="F42" s="289" t="str">
        <f t="shared" si="1"/>
        <v/>
      </c>
      <c r="G42" s="290" t="str">
        <f t="shared" si="2"/>
        <v/>
      </c>
      <c r="H42" s="290"/>
      <c r="I42" s="243"/>
      <c r="J42" s="238" t="str">
        <f t="shared" si="3"/>
        <v>Saisie ok</v>
      </c>
    </row>
    <row r="43" spans="1:10">
      <c r="A43" s="284"/>
      <c r="B43" s="285"/>
      <c r="C43" s="285"/>
      <c r="D43" s="506" t="str">
        <f>IF(Tableau12[[#This Row],[Quantité restante dans la cuve
(si remplissage, valeur 
avant le plein)]]&lt;=0,"",Tableau12[[#This Row],[Quantité restante dans la cuve
(si remplissage, valeur 
avant le plein)]]+Tableau12[[#This Row],[Remplissage / 
Quantité remise]])</f>
        <v/>
      </c>
      <c r="E43" s="236" t="str">
        <f t="shared" si="0"/>
        <v/>
      </c>
      <c r="F43" s="289" t="str">
        <f t="shared" si="1"/>
        <v/>
      </c>
      <c r="G43" s="290" t="str">
        <f t="shared" si="2"/>
        <v/>
      </c>
      <c r="H43" s="290"/>
      <c r="I43" s="243"/>
      <c r="J43" s="238" t="str">
        <f t="shared" si="3"/>
        <v>Saisie ok</v>
      </c>
    </row>
    <row r="44" spans="1:10">
      <c r="A44" s="284"/>
      <c r="B44" s="285"/>
      <c r="C44" s="285"/>
      <c r="D44" s="506" t="str">
        <f>IF(Tableau12[[#This Row],[Quantité restante dans la cuve
(si remplissage, valeur 
avant le plein)]]&lt;=0,"",Tableau12[[#This Row],[Quantité restante dans la cuve
(si remplissage, valeur 
avant le plein)]]+Tableau12[[#This Row],[Remplissage / 
Quantité remise]])</f>
        <v/>
      </c>
      <c r="E44" s="236" t="str">
        <f t="shared" si="0"/>
        <v/>
      </c>
      <c r="F44" s="289" t="str">
        <f t="shared" si="1"/>
        <v/>
      </c>
      <c r="G44" s="290" t="str">
        <f t="shared" si="2"/>
        <v/>
      </c>
      <c r="H44" s="290"/>
      <c r="I44" s="243"/>
      <c r="J44" s="238" t="str">
        <f t="shared" si="3"/>
        <v>Saisie ok</v>
      </c>
    </row>
    <row r="45" spans="1:10">
      <c r="A45" s="284"/>
      <c r="B45" s="285"/>
      <c r="C45" s="285"/>
      <c r="D45" s="506" t="str">
        <f>IF(Tableau12[[#This Row],[Quantité restante dans la cuve
(si remplissage, valeur 
avant le plein)]]&lt;=0,"",Tableau12[[#This Row],[Quantité restante dans la cuve
(si remplissage, valeur 
avant le plein)]]+Tableau12[[#This Row],[Remplissage / 
Quantité remise]])</f>
        <v/>
      </c>
      <c r="E45" s="236" t="str">
        <f t="shared" si="0"/>
        <v/>
      </c>
      <c r="F45" s="289" t="str">
        <f t="shared" si="1"/>
        <v/>
      </c>
      <c r="G45" s="290" t="str">
        <f t="shared" si="2"/>
        <v/>
      </c>
      <c r="H45" s="290"/>
      <c r="I45" s="243"/>
      <c r="J45" s="238" t="str">
        <f t="shared" si="3"/>
        <v>Saisie ok</v>
      </c>
    </row>
    <row r="46" spans="1:10">
      <c r="A46" s="284"/>
      <c r="B46" s="285"/>
      <c r="C46" s="285"/>
      <c r="D46" s="506" t="str">
        <f>IF(Tableau12[[#This Row],[Quantité restante dans la cuve
(si remplissage, valeur 
avant le plein)]]&lt;=0,"",Tableau12[[#This Row],[Quantité restante dans la cuve
(si remplissage, valeur 
avant le plein)]]+Tableau12[[#This Row],[Remplissage / 
Quantité remise]])</f>
        <v/>
      </c>
      <c r="E46" s="236" t="str">
        <f t="shared" si="0"/>
        <v/>
      </c>
      <c r="F46" s="289" t="str">
        <f t="shared" si="1"/>
        <v/>
      </c>
      <c r="G46" s="290" t="str">
        <f t="shared" si="2"/>
        <v/>
      </c>
      <c r="H46" s="290"/>
      <c r="I46" s="243"/>
      <c r="J46" s="238" t="str">
        <f t="shared" si="3"/>
        <v>Saisie ok</v>
      </c>
    </row>
    <row r="47" spans="1:10">
      <c r="A47" s="284"/>
      <c r="B47" s="285"/>
      <c r="C47" s="285"/>
      <c r="D47" s="506" t="str">
        <f>IF(Tableau12[[#This Row],[Quantité restante dans la cuve
(si remplissage, valeur 
avant le plein)]]&lt;=0,"",Tableau12[[#This Row],[Quantité restante dans la cuve
(si remplissage, valeur 
avant le plein)]]+Tableau12[[#This Row],[Remplissage / 
Quantité remise]])</f>
        <v/>
      </c>
      <c r="E47" s="236" t="str">
        <f t="shared" si="0"/>
        <v/>
      </c>
      <c r="F47" s="289" t="str">
        <f t="shared" si="1"/>
        <v/>
      </c>
      <c r="G47" s="290" t="str">
        <f t="shared" si="2"/>
        <v/>
      </c>
      <c r="H47" s="290"/>
      <c r="I47" s="243"/>
      <c r="J47" s="238" t="str">
        <f t="shared" si="3"/>
        <v>Saisie ok</v>
      </c>
    </row>
    <row r="48" spans="1:10">
      <c r="A48" s="284"/>
      <c r="B48" s="285"/>
      <c r="C48" s="285"/>
      <c r="D48" s="506" t="str">
        <f>IF(Tableau12[[#This Row],[Quantité restante dans la cuve
(si remplissage, valeur 
avant le plein)]]&lt;=0,"",Tableau12[[#This Row],[Quantité restante dans la cuve
(si remplissage, valeur 
avant le plein)]]+Tableau12[[#This Row],[Remplissage / 
Quantité remise]])</f>
        <v/>
      </c>
      <c r="E48" s="236" t="str">
        <f t="shared" si="0"/>
        <v/>
      </c>
      <c r="F48" s="289" t="str">
        <f t="shared" si="1"/>
        <v/>
      </c>
      <c r="G48" s="290" t="str">
        <f t="shared" si="2"/>
        <v/>
      </c>
      <c r="H48" s="290"/>
      <c r="I48" s="243"/>
      <c r="J48" s="238" t="str">
        <f t="shared" si="3"/>
        <v>Saisie ok</v>
      </c>
    </row>
    <row r="49" spans="1:10">
      <c r="A49" s="284"/>
      <c r="B49" s="285"/>
      <c r="C49" s="285"/>
      <c r="D49" s="506" t="str">
        <f>IF(Tableau12[[#This Row],[Quantité restante dans la cuve
(si remplissage, valeur 
avant le plein)]]&lt;=0,"",Tableau12[[#This Row],[Quantité restante dans la cuve
(si remplissage, valeur 
avant le plein)]]+Tableau12[[#This Row],[Remplissage / 
Quantité remise]])</f>
        <v/>
      </c>
      <c r="E49" s="236" t="str">
        <f t="shared" si="0"/>
        <v/>
      </c>
      <c r="F49" s="289" t="str">
        <f t="shared" si="1"/>
        <v/>
      </c>
      <c r="G49" s="290" t="str">
        <f t="shared" si="2"/>
        <v/>
      </c>
      <c r="H49" s="290"/>
      <c r="I49" s="243"/>
      <c r="J49" s="238" t="str">
        <f t="shared" si="3"/>
        <v>Saisie ok</v>
      </c>
    </row>
    <row r="50" spans="1:10">
      <c r="A50" s="284"/>
      <c r="B50" s="285"/>
      <c r="C50" s="285"/>
      <c r="D50" s="506" t="str">
        <f>IF(Tableau12[[#This Row],[Quantité restante dans la cuve
(si remplissage, valeur 
avant le plein)]]&lt;=0,"",Tableau12[[#This Row],[Quantité restante dans la cuve
(si remplissage, valeur 
avant le plein)]]+Tableau12[[#This Row],[Remplissage / 
Quantité remise]])</f>
        <v/>
      </c>
      <c r="E50" s="236" t="str">
        <f t="shared" si="0"/>
        <v/>
      </c>
      <c r="F50" s="289" t="str">
        <f t="shared" si="1"/>
        <v/>
      </c>
      <c r="G50" s="290" t="str">
        <f t="shared" si="2"/>
        <v/>
      </c>
      <c r="H50" s="290"/>
      <c r="I50" s="243"/>
      <c r="J50" s="238" t="str">
        <f t="shared" si="3"/>
        <v>Saisie ok</v>
      </c>
    </row>
    <row r="51" spans="1:10">
      <c r="A51" s="284"/>
      <c r="B51" s="285"/>
      <c r="C51" s="285"/>
      <c r="D51" s="506" t="str">
        <f>IF(Tableau12[[#This Row],[Quantité restante dans la cuve
(si remplissage, valeur 
avant le plein)]]&lt;=0,"",Tableau12[[#This Row],[Quantité restante dans la cuve
(si remplissage, valeur 
avant le plein)]]+Tableau12[[#This Row],[Remplissage / 
Quantité remise]])</f>
        <v/>
      </c>
      <c r="E51" s="236" t="str">
        <f t="shared" si="0"/>
        <v/>
      </c>
      <c r="F51" s="289" t="str">
        <f t="shared" si="1"/>
        <v/>
      </c>
      <c r="G51" s="290" t="str">
        <f t="shared" si="2"/>
        <v/>
      </c>
      <c r="H51" s="290"/>
      <c r="I51" s="243"/>
      <c r="J51" s="238" t="str">
        <f t="shared" si="3"/>
        <v>Saisie ok</v>
      </c>
    </row>
    <row r="52" spans="1:10">
      <c r="A52" s="284"/>
      <c r="B52" s="285"/>
      <c r="C52" s="285"/>
      <c r="D52" s="506" t="str">
        <f>IF(Tableau12[[#This Row],[Quantité restante dans la cuve
(si remplissage, valeur 
avant le plein)]]&lt;=0,"",Tableau12[[#This Row],[Quantité restante dans la cuve
(si remplissage, valeur 
avant le plein)]]+Tableau12[[#This Row],[Remplissage / 
Quantité remise]])</f>
        <v/>
      </c>
      <c r="E52" s="236" t="str">
        <f t="shared" si="0"/>
        <v/>
      </c>
      <c r="F52" s="289" t="str">
        <f t="shared" si="1"/>
        <v/>
      </c>
      <c r="G52" s="290" t="str">
        <f t="shared" si="2"/>
        <v/>
      </c>
      <c r="H52" s="290"/>
      <c r="I52" s="243"/>
      <c r="J52" s="238" t="str">
        <f t="shared" si="3"/>
        <v>Saisie ok</v>
      </c>
    </row>
    <row r="53" spans="1:10">
      <c r="A53" s="284"/>
      <c r="B53" s="285"/>
      <c r="C53" s="285"/>
      <c r="D53" s="506" t="str">
        <f>IF(Tableau12[[#This Row],[Quantité restante dans la cuve
(si remplissage, valeur 
avant le plein)]]&lt;=0,"",Tableau12[[#This Row],[Quantité restante dans la cuve
(si remplissage, valeur 
avant le plein)]]+Tableau12[[#This Row],[Remplissage / 
Quantité remise]])</f>
        <v/>
      </c>
      <c r="E53" s="236" t="str">
        <f t="shared" si="0"/>
        <v/>
      </c>
      <c r="F53" s="289" t="str">
        <f t="shared" si="1"/>
        <v/>
      </c>
      <c r="G53" s="290" t="str">
        <f t="shared" si="2"/>
        <v/>
      </c>
      <c r="H53" s="290"/>
      <c r="I53" s="243"/>
      <c r="J53" s="238" t="str">
        <f t="shared" si="3"/>
        <v>Saisie ok</v>
      </c>
    </row>
    <row r="54" spans="1:10">
      <c r="A54" s="284"/>
      <c r="B54" s="285"/>
      <c r="C54" s="285"/>
      <c r="D54" s="506" t="str">
        <f>IF(Tableau12[[#This Row],[Quantité restante dans la cuve
(si remplissage, valeur 
avant le plein)]]&lt;=0,"",Tableau12[[#This Row],[Quantité restante dans la cuve
(si remplissage, valeur 
avant le plein)]]+Tableau12[[#This Row],[Remplissage / 
Quantité remise]])</f>
        <v/>
      </c>
      <c r="E54" s="236" t="str">
        <f t="shared" si="0"/>
        <v/>
      </c>
      <c r="F54" s="289" t="str">
        <f t="shared" si="1"/>
        <v/>
      </c>
      <c r="G54" s="290" t="str">
        <f t="shared" si="2"/>
        <v/>
      </c>
      <c r="H54" s="290"/>
      <c r="I54" s="243"/>
      <c r="J54" s="238" t="str">
        <f t="shared" si="3"/>
        <v>Saisie ok</v>
      </c>
    </row>
    <row r="55" spans="1:10">
      <c r="A55" s="284"/>
      <c r="B55" s="285"/>
      <c r="C55" s="285"/>
      <c r="D55" s="506" t="str">
        <f>IF(Tableau12[[#This Row],[Quantité restante dans la cuve
(si remplissage, valeur 
avant le plein)]]&lt;=0,"",Tableau12[[#This Row],[Quantité restante dans la cuve
(si remplissage, valeur 
avant le plein)]]+Tableau12[[#This Row],[Remplissage / 
Quantité remise]])</f>
        <v/>
      </c>
      <c r="E55" s="236" t="str">
        <f t="shared" si="0"/>
        <v/>
      </c>
      <c r="F55" s="289" t="str">
        <f t="shared" si="1"/>
        <v/>
      </c>
      <c r="G55" s="290" t="str">
        <f t="shared" si="2"/>
        <v/>
      </c>
      <c r="H55" s="290"/>
      <c r="I55" s="243"/>
      <c r="J55" s="238" t="str">
        <f t="shared" si="3"/>
        <v>Saisie ok</v>
      </c>
    </row>
    <row r="56" spans="1:10">
      <c r="A56" s="284"/>
      <c r="B56" s="285"/>
      <c r="C56" s="285"/>
      <c r="D56" s="506" t="str">
        <f>IF(Tableau12[[#This Row],[Quantité restante dans la cuve
(si remplissage, valeur 
avant le plein)]]&lt;=0,"",Tableau12[[#This Row],[Quantité restante dans la cuve
(si remplissage, valeur 
avant le plein)]]+Tableau12[[#This Row],[Remplissage / 
Quantité remise]])</f>
        <v/>
      </c>
      <c r="E56" s="236" t="str">
        <f t="shared" si="0"/>
        <v/>
      </c>
      <c r="F56" s="289" t="str">
        <f t="shared" si="1"/>
        <v/>
      </c>
      <c r="G56" s="290" t="str">
        <f t="shared" si="2"/>
        <v/>
      </c>
      <c r="H56" s="290"/>
      <c r="I56" s="243"/>
      <c r="J56" s="238" t="str">
        <f t="shared" si="3"/>
        <v>Saisie ok</v>
      </c>
    </row>
    <row r="57" spans="1:10">
      <c r="A57" s="284"/>
      <c r="B57" s="285"/>
      <c r="C57" s="285"/>
      <c r="D57" s="506" t="str">
        <f>IF(Tableau12[[#This Row],[Quantité restante dans la cuve
(si remplissage, valeur 
avant le plein)]]&lt;=0,"",Tableau12[[#This Row],[Quantité restante dans la cuve
(si remplissage, valeur 
avant le plein)]]+Tableau12[[#This Row],[Remplissage / 
Quantité remise]])</f>
        <v/>
      </c>
      <c r="E57" s="236" t="str">
        <f t="shared" si="0"/>
        <v/>
      </c>
      <c r="F57" s="289" t="str">
        <f t="shared" si="1"/>
        <v/>
      </c>
      <c r="G57" s="290" t="str">
        <f t="shared" si="2"/>
        <v/>
      </c>
      <c r="H57" s="290"/>
      <c r="I57" s="243"/>
      <c r="J57" s="238" t="str">
        <f t="shared" si="3"/>
        <v>Saisie ok</v>
      </c>
    </row>
    <row r="58" spans="1:10">
      <c r="A58" s="284"/>
      <c r="B58" s="285"/>
      <c r="C58" s="285"/>
      <c r="D58" s="506" t="str">
        <f>IF(Tableau12[[#This Row],[Quantité restante dans la cuve
(si remplissage, valeur 
avant le plein)]]&lt;=0,"",Tableau12[[#This Row],[Quantité restante dans la cuve
(si remplissage, valeur 
avant le plein)]]+Tableau12[[#This Row],[Remplissage / 
Quantité remise]])</f>
        <v/>
      </c>
      <c r="E58" s="236" t="str">
        <f t="shared" si="0"/>
        <v/>
      </c>
      <c r="F58" s="289" t="str">
        <f t="shared" si="1"/>
        <v/>
      </c>
      <c r="G58" s="290" t="str">
        <f t="shared" si="2"/>
        <v/>
      </c>
      <c r="H58" s="290"/>
      <c r="I58" s="243"/>
      <c r="J58" s="238" t="str">
        <f t="shared" si="3"/>
        <v>Saisie ok</v>
      </c>
    </row>
    <row r="59" spans="1:10">
      <c r="A59" s="284"/>
      <c r="B59" s="285"/>
      <c r="C59" s="285"/>
      <c r="D59" s="506" t="str">
        <f>IF(Tableau12[[#This Row],[Quantité restante dans la cuve
(si remplissage, valeur 
avant le plein)]]&lt;=0,"",Tableau12[[#This Row],[Quantité restante dans la cuve
(si remplissage, valeur 
avant le plein)]]+Tableau12[[#This Row],[Remplissage / 
Quantité remise]])</f>
        <v/>
      </c>
      <c r="E59" s="236" t="str">
        <f t="shared" si="0"/>
        <v/>
      </c>
      <c r="F59" s="289" t="str">
        <f t="shared" si="1"/>
        <v/>
      </c>
      <c r="G59" s="290" t="str">
        <f t="shared" si="2"/>
        <v/>
      </c>
      <c r="H59" s="290"/>
      <c r="I59" s="243"/>
      <c r="J59" s="238" t="str">
        <f t="shared" si="3"/>
        <v>Saisie ok</v>
      </c>
    </row>
    <row r="60" spans="1:10">
      <c r="A60" s="284"/>
      <c r="B60" s="285"/>
      <c r="C60" s="285"/>
      <c r="D60" s="506" t="str">
        <f>IF(Tableau12[[#This Row],[Quantité restante dans la cuve
(si remplissage, valeur 
avant le plein)]]&lt;=0,"",Tableau12[[#This Row],[Quantité restante dans la cuve
(si remplissage, valeur 
avant le plein)]]+Tableau12[[#This Row],[Remplissage / 
Quantité remise]])</f>
        <v/>
      </c>
      <c r="E60" s="236" t="str">
        <f t="shared" si="0"/>
        <v/>
      </c>
      <c r="F60" s="289" t="str">
        <f t="shared" si="1"/>
        <v/>
      </c>
      <c r="G60" s="290" t="str">
        <f t="shared" si="2"/>
        <v/>
      </c>
      <c r="H60" s="290"/>
      <c r="I60" s="243"/>
      <c r="J60" s="238" t="str">
        <f t="shared" si="3"/>
        <v>Saisie ok</v>
      </c>
    </row>
    <row r="61" spans="1:10">
      <c r="A61" s="284"/>
      <c r="B61" s="285"/>
      <c r="C61" s="285"/>
      <c r="D61" s="506" t="str">
        <f>IF(Tableau12[[#This Row],[Quantité restante dans la cuve
(si remplissage, valeur 
avant le plein)]]&lt;=0,"",Tableau12[[#This Row],[Quantité restante dans la cuve
(si remplissage, valeur 
avant le plein)]]+Tableau12[[#This Row],[Remplissage / 
Quantité remise]])</f>
        <v/>
      </c>
      <c r="E61" s="236" t="str">
        <f t="shared" si="0"/>
        <v/>
      </c>
      <c r="F61" s="289" t="str">
        <f t="shared" si="1"/>
        <v/>
      </c>
      <c r="G61" s="290" t="str">
        <f t="shared" si="2"/>
        <v/>
      </c>
      <c r="H61" s="290"/>
      <c r="I61" s="243"/>
      <c r="J61" s="238" t="str">
        <f t="shared" si="3"/>
        <v>Saisie ok</v>
      </c>
    </row>
    <row r="62" spans="1:10">
      <c r="A62" s="284"/>
      <c r="B62" s="285"/>
      <c r="C62" s="285"/>
      <c r="D62" s="506" t="str">
        <f>IF(Tableau12[[#This Row],[Quantité restante dans la cuve
(si remplissage, valeur 
avant le plein)]]&lt;=0,"",Tableau12[[#This Row],[Quantité restante dans la cuve
(si remplissage, valeur 
avant le plein)]]+Tableau12[[#This Row],[Remplissage / 
Quantité remise]])</f>
        <v/>
      </c>
      <c r="E62" s="236" t="str">
        <f t="shared" si="0"/>
        <v/>
      </c>
      <c r="F62" s="289" t="str">
        <f t="shared" si="1"/>
        <v/>
      </c>
      <c r="G62" s="290" t="str">
        <f t="shared" si="2"/>
        <v/>
      </c>
      <c r="H62" s="290"/>
      <c r="I62" s="243"/>
      <c r="J62" s="238" t="str">
        <f t="shared" si="3"/>
        <v>Saisie ok</v>
      </c>
    </row>
    <row r="63" spans="1:10">
      <c r="A63" s="284"/>
      <c r="B63" s="285"/>
      <c r="C63" s="285"/>
      <c r="D63" s="506" t="str">
        <f>IF(Tableau12[[#This Row],[Quantité restante dans la cuve
(si remplissage, valeur 
avant le plein)]]&lt;=0,"",Tableau12[[#This Row],[Quantité restante dans la cuve
(si remplissage, valeur 
avant le plein)]]+Tableau12[[#This Row],[Remplissage / 
Quantité remise]])</f>
        <v/>
      </c>
      <c r="E63" s="236" t="str">
        <f t="shared" si="0"/>
        <v/>
      </c>
      <c r="F63" s="289" t="str">
        <f t="shared" si="1"/>
        <v/>
      </c>
      <c r="G63" s="290" t="str">
        <f t="shared" si="2"/>
        <v/>
      </c>
      <c r="H63" s="290"/>
      <c r="I63" s="243"/>
      <c r="J63" s="238" t="str">
        <f t="shared" si="3"/>
        <v>Saisie ok</v>
      </c>
    </row>
    <row r="64" spans="1:10">
      <c r="A64" s="284"/>
      <c r="B64" s="285"/>
      <c r="C64" s="285"/>
      <c r="D64" s="506" t="str">
        <f>IF(Tableau12[[#This Row],[Quantité restante dans la cuve
(si remplissage, valeur 
avant le plein)]]&lt;=0,"",Tableau12[[#This Row],[Quantité restante dans la cuve
(si remplissage, valeur 
avant le plein)]]+Tableau12[[#This Row],[Remplissage / 
Quantité remise]])</f>
        <v/>
      </c>
      <c r="E64" s="236" t="str">
        <f t="shared" si="0"/>
        <v/>
      </c>
      <c r="F64" s="289" t="str">
        <f t="shared" si="1"/>
        <v/>
      </c>
      <c r="G64" s="290" t="str">
        <f t="shared" si="2"/>
        <v/>
      </c>
      <c r="H64" s="290"/>
      <c r="I64" s="243"/>
      <c r="J64" s="238" t="str">
        <f t="shared" si="3"/>
        <v>Saisie ok</v>
      </c>
    </row>
    <row r="65" spans="1:10">
      <c r="A65" s="284"/>
      <c r="B65" s="285"/>
      <c r="C65" s="285"/>
      <c r="D65" s="506" t="str">
        <f>IF(Tableau12[[#This Row],[Quantité restante dans la cuve
(si remplissage, valeur 
avant le plein)]]&lt;=0,"",Tableau12[[#This Row],[Quantité restante dans la cuve
(si remplissage, valeur 
avant le plein)]]+Tableau12[[#This Row],[Remplissage / 
Quantité remise]])</f>
        <v/>
      </c>
      <c r="E65" s="236" t="str">
        <f t="shared" si="0"/>
        <v/>
      </c>
      <c r="F65" s="289" t="str">
        <f t="shared" si="1"/>
        <v/>
      </c>
      <c r="G65" s="290" t="str">
        <f t="shared" si="2"/>
        <v/>
      </c>
      <c r="H65" s="290"/>
      <c r="I65" s="243"/>
      <c r="J65" s="238" t="str">
        <f t="shared" si="3"/>
        <v>Saisie ok</v>
      </c>
    </row>
    <row r="66" spans="1:10">
      <c r="A66" s="284"/>
      <c r="B66" s="285"/>
      <c r="C66" s="285"/>
      <c r="D66" s="506" t="str">
        <f>IF(Tableau12[[#This Row],[Quantité restante dans la cuve
(si remplissage, valeur 
avant le plein)]]&lt;=0,"",Tableau12[[#This Row],[Quantité restante dans la cuve
(si remplissage, valeur 
avant le plein)]]+Tableau12[[#This Row],[Remplissage / 
Quantité remise]])</f>
        <v/>
      </c>
      <c r="E66" s="236" t="str">
        <f t="shared" si="0"/>
        <v/>
      </c>
      <c r="F66" s="289" t="str">
        <f t="shared" si="1"/>
        <v/>
      </c>
      <c r="G66" s="290" t="str">
        <f t="shared" si="2"/>
        <v/>
      </c>
      <c r="H66" s="290"/>
      <c r="I66" s="243"/>
      <c r="J66" s="238" t="str">
        <f t="shared" si="3"/>
        <v>Saisie ok</v>
      </c>
    </row>
    <row r="67" spans="1:10">
      <c r="A67" s="284"/>
      <c r="B67" s="285"/>
      <c r="C67" s="285"/>
      <c r="D67" s="506" t="str">
        <f>IF(Tableau12[[#This Row],[Quantité restante dans la cuve
(si remplissage, valeur 
avant le plein)]]&lt;=0,"",Tableau12[[#This Row],[Quantité restante dans la cuve
(si remplissage, valeur 
avant le plein)]]+Tableau12[[#This Row],[Remplissage / 
Quantité remise]])</f>
        <v/>
      </c>
      <c r="E67" s="236" t="str">
        <f t="shared" si="0"/>
        <v/>
      </c>
      <c r="F67" s="289" t="str">
        <f t="shared" si="1"/>
        <v/>
      </c>
      <c r="G67" s="290" t="str">
        <f t="shared" si="2"/>
        <v/>
      </c>
      <c r="H67" s="290"/>
      <c r="I67" s="243"/>
      <c r="J67" s="238" t="str">
        <f t="shared" si="3"/>
        <v>Saisie ok</v>
      </c>
    </row>
    <row r="68" spans="1:10">
      <c r="A68" s="284"/>
      <c r="B68" s="285"/>
      <c r="C68" s="285"/>
      <c r="D68" s="506" t="str">
        <f>IF(Tableau12[[#This Row],[Quantité restante dans la cuve
(si remplissage, valeur 
avant le plein)]]&lt;=0,"",Tableau12[[#This Row],[Quantité restante dans la cuve
(si remplissage, valeur 
avant le plein)]]+Tableau12[[#This Row],[Remplissage / 
Quantité remise]])</f>
        <v/>
      </c>
      <c r="E68" s="236" t="str">
        <f t="shared" ref="E68:E131" si="4">IFERROR(G68/(A68-A67),"")</f>
        <v/>
      </c>
      <c r="F68" s="289" t="str">
        <f t="shared" ref="F68:F131" si="5">IF(A68="","",A68)</f>
        <v/>
      </c>
      <c r="G68" s="290" t="str">
        <f t="shared" ref="G68:G131" si="6">IF(B68&lt;=0,"",D67-B68)</f>
        <v/>
      </c>
      <c r="H68" s="290"/>
      <c r="I68" s="243"/>
      <c r="J68" s="238" t="str">
        <f t="shared" ref="J68:J131" si="7">IF(C67&lt;=0,IF(B68&gt;B67,"Erreur saisie","Saisie ok"),"Saisie ok, plein fait")</f>
        <v>Saisie ok</v>
      </c>
    </row>
    <row r="69" spans="1:10">
      <c r="A69" s="284"/>
      <c r="B69" s="285"/>
      <c r="C69" s="285"/>
      <c r="D69" s="506" t="str">
        <f>IF(Tableau12[[#This Row],[Quantité restante dans la cuve
(si remplissage, valeur 
avant le plein)]]&lt;=0,"",Tableau12[[#This Row],[Quantité restante dans la cuve
(si remplissage, valeur 
avant le plein)]]+Tableau12[[#This Row],[Remplissage / 
Quantité remise]])</f>
        <v/>
      </c>
      <c r="E69" s="236" t="str">
        <f t="shared" si="4"/>
        <v/>
      </c>
      <c r="F69" s="289" t="str">
        <f t="shared" si="5"/>
        <v/>
      </c>
      <c r="G69" s="290" t="str">
        <f t="shared" si="6"/>
        <v/>
      </c>
      <c r="H69" s="290"/>
      <c r="I69" s="243"/>
      <c r="J69" s="238" t="str">
        <f t="shared" si="7"/>
        <v>Saisie ok</v>
      </c>
    </row>
    <row r="70" spans="1:10">
      <c r="A70" s="284"/>
      <c r="B70" s="285"/>
      <c r="C70" s="285"/>
      <c r="D70" s="506" t="str">
        <f>IF(Tableau12[[#This Row],[Quantité restante dans la cuve
(si remplissage, valeur 
avant le plein)]]&lt;=0,"",Tableau12[[#This Row],[Quantité restante dans la cuve
(si remplissage, valeur 
avant le plein)]]+Tableau12[[#This Row],[Remplissage / 
Quantité remise]])</f>
        <v/>
      </c>
      <c r="E70" s="236" t="str">
        <f t="shared" si="4"/>
        <v/>
      </c>
      <c r="F70" s="289" t="str">
        <f t="shared" si="5"/>
        <v/>
      </c>
      <c r="G70" s="290" t="str">
        <f t="shared" si="6"/>
        <v/>
      </c>
      <c r="H70" s="290"/>
      <c r="I70" s="243"/>
      <c r="J70" s="238" t="str">
        <f t="shared" si="7"/>
        <v>Saisie ok</v>
      </c>
    </row>
    <row r="71" spans="1:10">
      <c r="A71" s="284"/>
      <c r="B71" s="285"/>
      <c r="C71" s="285"/>
      <c r="D71" s="506" t="str">
        <f>IF(Tableau12[[#This Row],[Quantité restante dans la cuve
(si remplissage, valeur 
avant le plein)]]&lt;=0,"",Tableau12[[#This Row],[Quantité restante dans la cuve
(si remplissage, valeur 
avant le plein)]]+Tableau12[[#This Row],[Remplissage / 
Quantité remise]])</f>
        <v/>
      </c>
      <c r="E71" s="236" t="str">
        <f t="shared" si="4"/>
        <v/>
      </c>
      <c r="F71" s="289" t="str">
        <f t="shared" si="5"/>
        <v/>
      </c>
      <c r="G71" s="290" t="str">
        <f t="shared" si="6"/>
        <v/>
      </c>
      <c r="H71" s="290"/>
      <c r="I71" s="243"/>
      <c r="J71" s="238" t="str">
        <f t="shared" si="7"/>
        <v>Saisie ok</v>
      </c>
    </row>
    <row r="72" spans="1:10">
      <c r="A72" s="284"/>
      <c r="B72" s="285"/>
      <c r="C72" s="285"/>
      <c r="D72" s="506" t="str">
        <f>IF(Tableau12[[#This Row],[Quantité restante dans la cuve
(si remplissage, valeur 
avant le plein)]]&lt;=0,"",Tableau12[[#This Row],[Quantité restante dans la cuve
(si remplissage, valeur 
avant le plein)]]+Tableau12[[#This Row],[Remplissage / 
Quantité remise]])</f>
        <v/>
      </c>
      <c r="E72" s="236" t="str">
        <f t="shared" si="4"/>
        <v/>
      </c>
      <c r="F72" s="289" t="str">
        <f t="shared" si="5"/>
        <v/>
      </c>
      <c r="G72" s="290" t="str">
        <f t="shared" si="6"/>
        <v/>
      </c>
      <c r="H72" s="290"/>
      <c r="I72" s="243"/>
      <c r="J72" s="238" t="str">
        <f t="shared" si="7"/>
        <v>Saisie ok</v>
      </c>
    </row>
    <row r="73" spans="1:10">
      <c r="A73" s="284"/>
      <c r="B73" s="285"/>
      <c r="C73" s="285"/>
      <c r="D73" s="506" t="str">
        <f>IF(Tableau12[[#This Row],[Quantité restante dans la cuve
(si remplissage, valeur 
avant le plein)]]&lt;=0,"",Tableau12[[#This Row],[Quantité restante dans la cuve
(si remplissage, valeur 
avant le plein)]]+Tableau12[[#This Row],[Remplissage / 
Quantité remise]])</f>
        <v/>
      </c>
      <c r="E73" s="236" t="str">
        <f t="shared" si="4"/>
        <v/>
      </c>
      <c r="F73" s="289" t="str">
        <f t="shared" si="5"/>
        <v/>
      </c>
      <c r="G73" s="290" t="str">
        <f t="shared" si="6"/>
        <v/>
      </c>
      <c r="H73" s="290"/>
      <c r="I73" s="243"/>
      <c r="J73" s="238" t="str">
        <f t="shared" si="7"/>
        <v>Saisie ok</v>
      </c>
    </row>
    <row r="74" spans="1:10">
      <c r="A74" s="284"/>
      <c r="B74" s="285"/>
      <c r="C74" s="285"/>
      <c r="D74" s="506" t="str">
        <f>IF(Tableau12[[#This Row],[Quantité restante dans la cuve
(si remplissage, valeur 
avant le plein)]]&lt;=0,"",Tableau12[[#This Row],[Quantité restante dans la cuve
(si remplissage, valeur 
avant le plein)]]+Tableau12[[#This Row],[Remplissage / 
Quantité remise]])</f>
        <v/>
      </c>
      <c r="E74" s="236" t="str">
        <f t="shared" si="4"/>
        <v/>
      </c>
      <c r="F74" s="289" t="str">
        <f t="shared" si="5"/>
        <v/>
      </c>
      <c r="G74" s="290" t="str">
        <f t="shared" si="6"/>
        <v/>
      </c>
      <c r="H74" s="290"/>
      <c r="I74" s="243"/>
      <c r="J74" s="238" t="str">
        <f t="shared" si="7"/>
        <v>Saisie ok</v>
      </c>
    </row>
    <row r="75" spans="1:10">
      <c r="A75" s="284"/>
      <c r="B75" s="285"/>
      <c r="C75" s="285"/>
      <c r="D75" s="506" t="str">
        <f>IF(Tableau12[[#This Row],[Quantité restante dans la cuve
(si remplissage, valeur 
avant le plein)]]&lt;=0,"",Tableau12[[#This Row],[Quantité restante dans la cuve
(si remplissage, valeur 
avant le plein)]]+Tableau12[[#This Row],[Remplissage / 
Quantité remise]])</f>
        <v/>
      </c>
      <c r="E75" s="236" t="str">
        <f t="shared" si="4"/>
        <v/>
      </c>
      <c r="F75" s="289" t="str">
        <f t="shared" si="5"/>
        <v/>
      </c>
      <c r="G75" s="290" t="str">
        <f t="shared" si="6"/>
        <v/>
      </c>
      <c r="H75" s="290"/>
      <c r="I75" s="243"/>
      <c r="J75" s="238" t="str">
        <f t="shared" si="7"/>
        <v>Saisie ok</v>
      </c>
    </row>
    <row r="76" spans="1:10">
      <c r="A76" s="284"/>
      <c r="B76" s="285"/>
      <c r="C76" s="285"/>
      <c r="D76" s="506" t="str">
        <f>IF(Tableau12[[#This Row],[Quantité restante dans la cuve
(si remplissage, valeur 
avant le plein)]]&lt;=0,"",Tableau12[[#This Row],[Quantité restante dans la cuve
(si remplissage, valeur 
avant le plein)]]+Tableau12[[#This Row],[Remplissage / 
Quantité remise]])</f>
        <v/>
      </c>
      <c r="E76" s="236" t="str">
        <f t="shared" si="4"/>
        <v/>
      </c>
      <c r="F76" s="289" t="str">
        <f t="shared" si="5"/>
        <v/>
      </c>
      <c r="G76" s="290" t="str">
        <f t="shared" si="6"/>
        <v/>
      </c>
      <c r="H76" s="290"/>
      <c r="I76" s="243"/>
      <c r="J76" s="238" t="str">
        <f t="shared" si="7"/>
        <v>Saisie ok</v>
      </c>
    </row>
    <row r="77" spans="1:10">
      <c r="A77" s="284"/>
      <c r="B77" s="285"/>
      <c r="C77" s="285"/>
      <c r="D77" s="506" t="str">
        <f>IF(Tableau12[[#This Row],[Quantité restante dans la cuve
(si remplissage, valeur 
avant le plein)]]&lt;=0,"",Tableau12[[#This Row],[Quantité restante dans la cuve
(si remplissage, valeur 
avant le plein)]]+Tableau12[[#This Row],[Remplissage / 
Quantité remise]])</f>
        <v/>
      </c>
      <c r="E77" s="236" t="str">
        <f t="shared" si="4"/>
        <v/>
      </c>
      <c r="F77" s="289" t="str">
        <f t="shared" si="5"/>
        <v/>
      </c>
      <c r="G77" s="290" t="str">
        <f t="shared" si="6"/>
        <v/>
      </c>
      <c r="H77" s="290"/>
      <c r="I77" s="243"/>
      <c r="J77" s="238" t="str">
        <f t="shared" si="7"/>
        <v>Saisie ok</v>
      </c>
    </row>
    <row r="78" spans="1:10">
      <c r="A78" s="284"/>
      <c r="B78" s="285"/>
      <c r="C78" s="285"/>
      <c r="D78" s="506" t="str">
        <f>IF(Tableau12[[#This Row],[Quantité restante dans la cuve
(si remplissage, valeur 
avant le plein)]]&lt;=0,"",Tableau12[[#This Row],[Quantité restante dans la cuve
(si remplissage, valeur 
avant le plein)]]+Tableau12[[#This Row],[Remplissage / 
Quantité remise]])</f>
        <v/>
      </c>
      <c r="E78" s="236" t="str">
        <f t="shared" si="4"/>
        <v/>
      </c>
      <c r="F78" s="289" t="str">
        <f t="shared" si="5"/>
        <v/>
      </c>
      <c r="G78" s="290" t="str">
        <f t="shared" si="6"/>
        <v/>
      </c>
      <c r="H78" s="290"/>
      <c r="I78" s="243"/>
      <c r="J78" s="238" t="str">
        <f t="shared" si="7"/>
        <v>Saisie ok</v>
      </c>
    </row>
    <row r="79" spans="1:10">
      <c r="A79" s="284"/>
      <c r="B79" s="285"/>
      <c r="C79" s="285"/>
      <c r="D79" s="506" t="str">
        <f>IF(Tableau12[[#This Row],[Quantité restante dans la cuve
(si remplissage, valeur 
avant le plein)]]&lt;=0,"",Tableau12[[#This Row],[Quantité restante dans la cuve
(si remplissage, valeur 
avant le plein)]]+Tableau12[[#This Row],[Remplissage / 
Quantité remise]])</f>
        <v/>
      </c>
      <c r="E79" s="236" t="str">
        <f t="shared" si="4"/>
        <v/>
      </c>
      <c r="F79" s="289" t="str">
        <f t="shared" si="5"/>
        <v/>
      </c>
      <c r="G79" s="290" t="str">
        <f t="shared" si="6"/>
        <v/>
      </c>
      <c r="H79" s="290"/>
      <c r="I79" s="243"/>
      <c r="J79" s="238" t="str">
        <f t="shared" si="7"/>
        <v>Saisie ok</v>
      </c>
    </row>
    <row r="80" spans="1:10">
      <c r="A80" s="284"/>
      <c r="B80" s="285"/>
      <c r="C80" s="285"/>
      <c r="D80" s="506" t="str">
        <f>IF(Tableau12[[#This Row],[Quantité restante dans la cuve
(si remplissage, valeur 
avant le plein)]]&lt;=0,"",Tableau12[[#This Row],[Quantité restante dans la cuve
(si remplissage, valeur 
avant le plein)]]+Tableau12[[#This Row],[Remplissage / 
Quantité remise]])</f>
        <v/>
      </c>
      <c r="E80" s="236" t="str">
        <f t="shared" si="4"/>
        <v/>
      </c>
      <c r="F80" s="289" t="str">
        <f t="shared" si="5"/>
        <v/>
      </c>
      <c r="G80" s="290" t="str">
        <f t="shared" si="6"/>
        <v/>
      </c>
      <c r="H80" s="290"/>
      <c r="I80" s="243"/>
      <c r="J80" s="238" t="str">
        <f t="shared" si="7"/>
        <v>Saisie ok</v>
      </c>
    </row>
    <row r="81" spans="1:10">
      <c r="A81" s="284"/>
      <c r="B81" s="285"/>
      <c r="C81" s="285"/>
      <c r="D81" s="506" t="str">
        <f>IF(Tableau12[[#This Row],[Quantité restante dans la cuve
(si remplissage, valeur 
avant le plein)]]&lt;=0,"",Tableau12[[#This Row],[Quantité restante dans la cuve
(si remplissage, valeur 
avant le plein)]]+Tableau12[[#This Row],[Remplissage / 
Quantité remise]])</f>
        <v/>
      </c>
      <c r="E81" s="236" t="str">
        <f t="shared" si="4"/>
        <v/>
      </c>
      <c r="F81" s="289" t="str">
        <f t="shared" si="5"/>
        <v/>
      </c>
      <c r="G81" s="290" t="str">
        <f t="shared" si="6"/>
        <v/>
      </c>
      <c r="H81" s="290"/>
      <c r="I81" s="243"/>
      <c r="J81" s="238" t="str">
        <f t="shared" si="7"/>
        <v>Saisie ok</v>
      </c>
    </row>
    <row r="82" spans="1:10">
      <c r="A82" s="284"/>
      <c r="B82" s="285"/>
      <c r="C82" s="285"/>
      <c r="D82" s="506" t="str">
        <f>IF(Tableau12[[#This Row],[Quantité restante dans la cuve
(si remplissage, valeur 
avant le plein)]]&lt;=0,"",Tableau12[[#This Row],[Quantité restante dans la cuve
(si remplissage, valeur 
avant le plein)]]+Tableau12[[#This Row],[Remplissage / 
Quantité remise]])</f>
        <v/>
      </c>
      <c r="E82" s="236" t="str">
        <f t="shared" si="4"/>
        <v/>
      </c>
      <c r="F82" s="289" t="str">
        <f t="shared" si="5"/>
        <v/>
      </c>
      <c r="G82" s="290" t="str">
        <f t="shared" si="6"/>
        <v/>
      </c>
      <c r="H82" s="290"/>
      <c r="I82" s="243"/>
      <c r="J82" s="238" t="str">
        <f t="shared" si="7"/>
        <v>Saisie ok</v>
      </c>
    </row>
    <row r="83" spans="1:10">
      <c r="A83" s="284"/>
      <c r="B83" s="285"/>
      <c r="C83" s="285"/>
      <c r="D83" s="506" t="str">
        <f>IF(Tableau12[[#This Row],[Quantité restante dans la cuve
(si remplissage, valeur 
avant le plein)]]&lt;=0,"",Tableau12[[#This Row],[Quantité restante dans la cuve
(si remplissage, valeur 
avant le plein)]]+Tableau12[[#This Row],[Remplissage / 
Quantité remise]])</f>
        <v/>
      </c>
      <c r="E83" s="236" t="str">
        <f t="shared" si="4"/>
        <v/>
      </c>
      <c r="F83" s="289" t="str">
        <f t="shared" si="5"/>
        <v/>
      </c>
      <c r="G83" s="290" t="str">
        <f t="shared" si="6"/>
        <v/>
      </c>
      <c r="H83" s="290"/>
      <c r="I83" s="243"/>
      <c r="J83" s="238" t="str">
        <f t="shared" si="7"/>
        <v>Saisie ok</v>
      </c>
    </row>
    <row r="84" spans="1:10">
      <c r="A84" s="284"/>
      <c r="B84" s="285"/>
      <c r="C84" s="285"/>
      <c r="D84" s="506" t="str">
        <f>IF(Tableau12[[#This Row],[Quantité restante dans la cuve
(si remplissage, valeur 
avant le plein)]]&lt;=0,"",Tableau12[[#This Row],[Quantité restante dans la cuve
(si remplissage, valeur 
avant le plein)]]+Tableau12[[#This Row],[Remplissage / 
Quantité remise]])</f>
        <v/>
      </c>
      <c r="E84" s="236" t="str">
        <f t="shared" si="4"/>
        <v/>
      </c>
      <c r="F84" s="289" t="str">
        <f t="shared" si="5"/>
        <v/>
      </c>
      <c r="G84" s="290" t="str">
        <f t="shared" si="6"/>
        <v/>
      </c>
      <c r="H84" s="290"/>
      <c r="I84" s="243"/>
      <c r="J84" s="238" t="str">
        <f t="shared" si="7"/>
        <v>Saisie ok</v>
      </c>
    </row>
    <row r="85" spans="1:10">
      <c r="A85" s="284"/>
      <c r="B85" s="285"/>
      <c r="C85" s="285"/>
      <c r="D85" s="506" t="str">
        <f>IF(Tableau12[[#This Row],[Quantité restante dans la cuve
(si remplissage, valeur 
avant le plein)]]&lt;=0,"",Tableau12[[#This Row],[Quantité restante dans la cuve
(si remplissage, valeur 
avant le plein)]]+Tableau12[[#This Row],[Remplissage / 
Quantité remise]])</f>
        <v/>
      </c>
      <c r="E85" s="236" t="str">
        <f t="shared" si="4"/>
        <v/>
      </c>
      <c r="F85" s="289" t="str">
        <f t="shared" si="5"/>
        <v/>
      </c>
      <c r="G85" s="290" t="str">
        <f t="shared" si="6"/>
        <v/>
      </c>
      <c r="H85" s="290"/>
      <c r="I85" s="243"/>
      <c r="J85" s="238" t="str">
        <f t="shared" si="7"/>
        <v>Saisie ok</v>
      </c>
    </row>
    <row r="86" spans="1:10">
      <c r="A86" s="284"/>
      <c r="B86" s="285"/>
      <c r="C86" s="285"/>
      <c r="D86" s="506" t="str">
        <f>IF(Tableau12[[#This Row],[Quantité restante dans la cuve
(si remplissage, valeur 
avant le plein)]]&lt;=0,"",Tableau12[[#This Row],[Quantité restante dans la cuve
(si remplissage, valeur 
avant le plein)]]+Tableau12[[#This Row],[Remplissage / 
Quantité remise]])</f>
        <v/>
      </c>
      <c r="E86" s="236" t="str">
        <f t="shared" si="4"/>
        <v/>
      </c>
      <c r="F86" s="289" t="str">
        <f t="shared" si="5"/>
        <v/>
      </c>
      <c r="G86" s="290" t="str">
        <f t="shared" si="6"/>
        <v/>
      </c>
      <c r="H86" s="290"/>
      <c r="I86" s="243"/>
      <c r="J86" s="238" t="str">
        <f t="shared" si="7"/>
        <v>Saisie ok</v>
      </c>
    </row>
    <row r="87" spans="1:10">
      <c r="A87" s="284"/>
      <c r="B87" s="285"/>
      <c r="C87" s="285"/>
      <c r="D87" s="506" t="str">
        <f>IF(Tableau12[[#This Row],[Quantité restante dans la cuve
(si remplissage, valeur 
avant le plein)]]&lt;=0,"",Tableau12[[#This Row],[Quantité restante dans la cuve
(si remplissage, valeur 
avant le plein)]]+Tableau12[[#This Row],[Remplissage / 
Quantité remise]])</f>
        <v/>
      </c>
      <c r="E87" s="236" t="str">
        <f t="shared" si="4"/>
        <v/>
      </c>
      <c r="F87" s="289" t="str">
        <f t="shared" si="5"/>
        <v/>
      </c>
      <c r="G87" s="290" t="str">
        <f t="shared" si="6"/>
        <v/>
      </c>
      <c r="H87" s="290"/>
      <c r="I87" s="243"/>
      <c r="J87" s="238" t="str">
        <f t="shared" si="7"/>
        <v>Saisie ok</v>
      </c>
    </row>
    <row r="88" spans="1:10">
      <c r="A88" s="284"/>
      <c r="B88" s="285"/>
      <c r="C88" s="285"/>
      <c r="D88" s="506" t="str">
        <f>IF(Tableau12[[#This Row],[Quantité restante dans la cuve
(si remplissage, valeur 
avant le plein)]]&lt;=0,"",Tableau12[[#This Row],[Quantité restante dans la cuve
(si remplissage, valeur 
avant le plein)]]+Tableau12[[#This Row],[Remplissage / 
Quantité remise]])</f>
        <v/>
      </c>
      <c r="E88" s="236" t="str">
        <f t="shared" si="4"/>
        <v/>
      </c>
      <c r="F88" s="289" t="str">
        <f t="shared" si="5"/>
        <v/>
      </c>
      <c r="G88" s="290" t="str">
        <f t="shared" si="6"/>
        <v/>
      </c>
      <c r="H88" s="290"/>
      <c r="I88" s="243"/>
      <c r="J88" s="238" t="str">
        <f t="shared" si="7"/>
        <v>Saisie ok</v>
      </c>
    </row>
    <row r="89" spans="1:10">
      <c r="A89" s="284"/>
      <c r="B89" s="285"/>
      <c r="C89" s="285"/>
      <c r="D89" s="506" t="str">
        <f>IF(Tableau12[[#This Row],[Quantité restante dans la cuve
(si remplissage, valeur 
avant le plein)]]&lt;=0,"",Tableau12[[#This Row],[Quantité restante dans la cuve
(si remplissage, valeur 
avant le plein)]]+Tableau12[[#This Row],[Remplissage / 
Quantité remise]])</f>
        <v/>
      </c>
      <c r="E89" s="236" t="str">
        <f t="shared" si="4"/>
        <v/>
      </c>
      <c r="F89" s="289" t="str">
        <f t="shared" si="5"/>
        <v/>
      </c>
      <c r="G89" s="290" t="str">
        <f t="shared" si="6"/>
        <v/>
      </c>
      <c r="H89" s="290"/>
      <c r="I89" s="243"/>
      <c r="J89" s="238" t="str">
        <f t="shared" si="7"/>
        <v>Saisie ok</v>
      </c>
    </row>
    <row r="90" spans="1:10">
      <c r="A90" s="284"/>
      <c r="B90" s="285"/>
      <c r="C90" s="285"/>
      <c r="D90" s="506" t="str">
        <f>IF(Tableau12[[#This Row],[Quantité restante dans la cuve
(si remplissage, valeur 
avant le plein)]]&lt;=0,"",Tableau12[[#This Row],[Quantité restante dans la cuve
(si remplissage, valeur 
avant le plein)]]+Tableau12[[#This Row],[Remplissage / 
Quantité remise]])</f>
        <v/>
      </c>
      <c r="E90" s="236" t="str">
        <f t="shared" si="4"/>
        <v/>
      </c>
      <c r="F90" s="289" t="str">
        <f t="shared" si="5"/>
        <v/>
      </c>
      <c r="G90" s="290" t="str">
        <f t="shared" si="6"/>
        <v/>
      </c>
      <c r="H90" s="290"/>
      <c r="I90" s="243"/>
      <c r="J90" s="238" t="str">
        <f t="shared" si="7"/>
        <v>Saisie ok</v>
      </c>
    </row>
    <row r="91" spans="1:10">
      <c r="A91" s="284"/>
      <c r="B91" s="285"/>
      <c r="C91" s="285"/>
      <c r="D91" s="506" t="str">
        <f>IF(Tableau12[[#This Row],[Quantité restante dans la cuve
(si remplissage, valeur 
avant le plein)]]&lt;=0,"",Tableau12[[#This Row],[Quantité restante dans la cuve
(si remplissage, valeur 
avant le plein)]]+Tableau12[[#This Row],[Remplissage / 
Quantité remise]])</f>
        <v/>
      </c>
      <c r="E91" s="236" t="str">
        <f t="shared" si="4"/>
        <v/>
      </c>
      <c r="F91" s="289" t="str">
        <f t="shared" si="5"/>
        <v/>
      </c>
      <c r="G91" s="290" t="str">
        <f t="shared" si="6"/>
        <v/>
      </c>
      <c r="H91" s="290"/>
      <c r="I91" s="243"/>
      <c r="J91" s="238" t="str">
        <f t="shared" si="7"/>
        <v>Saisie ok</v>
      </c>
    </row>
    <row r="92" spans="1:10">
      <c r="A92" s="284"/>
      <c r="B92" s="285"/>
      <c r="C92" s="285"/>
      <c r="D92" s="506" t="str">
        <f>IF(Tableau12[[#This Row],[Quantité restante dans la cuve
(si remplissage, valeur 
avant le plein)]]&lt;=0,"",Tableau12[[#This Row],[Quantité restante dans la cuve
(si remplissage, valeur 
avant le plein)]]+Tableau12[[#This Row],[Remplissage / 
Quantité remise]])</f>
        <v/>
      </c>
      <c r="E92" s="236" t="str">
        <f t="shared" si="4"/>
        <v/>
      </c>
      <c r="F92" s="289" t="str">
        <f t="shared" si="5"/>
        <v/>
      </c>
      <c r="G92" s="290" t="str">
        <f t="shared" si="6"/>
        <v/>
      </c>
      <c r="H92" s="290"/>
      <c r="I92" s="243"/>
      <c r="J92" s="238" t="str">
        <f t="shared" si="7"/>
        <v>Saisie ok</v>
      </c>
    </row>
    <row r="93" spans="1:10">
      <c r="A93" s="284"/>
      <c r="B93" s="285"/>
      <c r="C93" s="285"/>
      <c r="D93" s="506" t="str">
        <f>IF(Tableau12[[#This Row],[Quantité restante dans la cuve
(si remplissage, valeur 
avant le plein)]]&lt;=0,"",Tableau12[[#This Row],[Quantité restante dans la cuve
(si remplissage, valeur 
avant le plein)]]+Tableau12[[#This Row],[Remplissage / 
Quantité remise]])</f>
        <v/>
      </c>
      <c r="E93" s="236" t="str">
        <f t="shared" si="4"/>
        <v/>
      </c>
      <c r="F93" s="289" t="str">
        <f t="shared" si="5"/>
        <v/>
      </c>
      <c r="G93" s="290" t="str">
        <f t="shared" si="6"/>
        <v/>
      </c>
      <c r="H93" s="290"/>
      <c r="I93" s="243"/>
      <c r="J93" s="238" t="str">
        <f t="shared" si="7"/>
        <v>Saisie ok</v>
      </c>
    </row>
    <row r="94" spans="1:10">
      <c r="A94" s="284"/>
      <c r="B94" s="285"/>
      <c r="C94" s="285"/>
      <c r="D94" s="506" t="str">
        <f>IF(Tableau12[[#This Row],[Quantité restante dans la cuve
(si remplissage, valeur 
avant le plein)]]&lt;=0,"",Tableau12[[#This Row],[Quantité restante dans la cuve
(si remplissage, valeur 
avant le plein)]]+Tableau12[[#This Row],[Remplissage / 
Quantité remise]])</f>
        <v/>
      </c>
      <c r="E94" s="236" t="str">
        <f t="shared" si="4"/>
        <v/>
      </c>
      <c r="F94" s="289" t="str">
        <f t="shared" si="5"/>
        <v/>
      </c>
      <c r="G94" s="290" t="str">
        <f t="shared" si="6"/>
        <v/>
      </c>
      <c r="H94" s="290"/>
      <c r="I94" s="243"/>
      <c r="J94" s="238" t="str">
        <f t="shared" si="7"/>
        <v>Saisie ok</v>
      </c>
    </row>
    <row r="95" spans="1:10">
      <c r="A95" s="284"/>
      <c r="B95" s="285"/>
      <c r="C95" s="285"/>
      <c r="D95" s="506" t="str">
        <f>IF(Tableau12[[#This Row],[Quantité restante dans la cuve
(si remplissage, valeur 
avant le plein)]]&lt;=0,"",Tableau12[[#This Row],[Quantité restante dans la cuve
(si remplissage, valeur 
avant le plein)]]+Tableau12[[#This Row],[Remplissage / 
Quantité remise]])</f>
        <v/>
      </c>
      <c r="E95" s="236" t="str">
        <f t="shared" si="4"/>
        <v/>
      </c>
      <c r="F95" s="289" t="str">
        <f t="shared" si="5"/>
        <v/>
      </c>
      <c r="G95" s="290" t="str">
        <f t="shared" si="6"/>
        <v/>
      </c>
      <c r="H95" s="290"/>
      <c r="I95" s="243"/>
      <c r="J95" s="238" t="str">
        <f t="shared" si="7"/>
        <v>Saisie ok</v>
      </c>
    </row>
    <row r="96" spans="1:10">
      <c r="A96" s="284"/>
      <c r="B96" s="285"/>
      <c r="C96" s="285"/>
      <c r="D96" s="506" t="str">
        <f>IF(Tableau12[[#This Row],[Quantité restante dans la cuve
(si remplissage, valeur 
avant le plein)]]&lt;=0,"",Tableau12[[#This Row],[Quantité restante dans la cuve
(si remplissage, valeur 
avant le plein)]]+Tableau12[[#This Row],[Remplissage / 
Quantité remise]])</f>
        <v/>
      </c>
      <c r="E96" s="236" t="str">
        <f t="shared" si="4"/>
        <v/>
      </c>
      <c r="F96" s="289" t="str">
        <f t="shared" si="5"/>
        <v/>
      </c>
      <c r="G96" s="290" t="str">
        <f t="shared" si="6"/>
        <v/>
      </c>
      <c r="H96" s="290"/>
      <c r="I96" s="243"/>
      <c r="J96" s="238" t="str">
        <f t="shared" si="7"/>
        <v>Saisie ok</v>
      </c>
    </row>
    <row r="97" spans="1:10">
      <c r="A97" s="284"/>
      <c r="B97" s="285"/>
      <c r="C97" s="285"/>
      <c r="D97" s="506" t="str">
        <f>IF(Tableau12[[#This Row],[Quantité restante dans la cuve
(si remplissage, valeur 
avant le plein)]]&lt;=0,"",Tableau12[[#This Row],[Quantité restante dans la cuve
(si remplissage, valeur 
avant le plein)]]+Tableau12[[#This Row],[Remplissage / 
Quantité remise]])</f>
        <v/>
      </c>
      <c r="E97" s="236" t="str">
        <f t="shared" si="4"/>
        <v/>
      </c>
      <c r="F97" s="289" t="str">
        <f t="shared" si="5"/>
        <v/>
      </c>
      <c r="G97" s="290" t="str">
        <f t="shared" si="6"/>
        <v/>
      </c>
      <c r="H97" s="290"/>
      <c r="I97" s="243"/>
      <c r="J97" s="238" t="str">
        <f t="shared" si="7"/>
        <v>Saisie ok</v>
      </c>
    </row>
    <row r="98" spans="1:10">
      <c r="A98" s="284"/>
      <c r="B98" s="285"/>
      <c r="C98" s="285"/>
      <c r="D98" s="506" t="str">
        <f>IF(Tableau12[[#This Row],[Quantité restante dans la cuve
(si remplissage, valeur 
avant le plein)]]&lt;=0,"",Tableau12[[#This Row],[Quantité restante dans la cuve
(si remplissage, valeur 
avant le plein)]]+Tableau12[[#This Row],[Remplissage / 
Quantité remise]])</f>
        <v/>
      </c>
      <c r="E98" s="236" t="str">
        <f t="shared" si="4"/>
        <v/>
      </c>
      <c r="F98" s="289" t="str">
        <f t="shared" si="5"/>
        <v/>
      </c>
      <c r="G98" s="290" t="str">
        <f t="shared" si="6"/>
        <v/>
      </c>
      <c r="H98" s="290"/>
      <c r="I98" s="243"/>
      <c r="J98" s="238" t="str">
        <f t="shared" si="7"/>
        <v>Saisie ok</v>
      </c>
    </row>
    <row r="99" spans="1:10">
      <c r="A99" s="284"/>
      <c r="B99" s="285"/>
      <c r="C99" s="285"/>
      <c r="D99" s="506" t="str">
        <f>IF(Tableau12[[#This Row],[Quantité restante dans la cuve
(si remplissage, valeur 
avant le plein)]]&lt;=0,"",Tableau12[[#This Row],[Quantité restante dans la cuve
(si remplissage, valeur 
avant le plein)]]+Tableau12[[#This Row],[Remplissage / 
Quantité remise]])</f>
        <v/>
      </c>
      <c r="E99" s="236" t="str">
        <f t="shared" si="4"/>
        <v/>
      </c>
      <c r="F99" s="289" t="str">
        <f t="shared" si="5"/>
        <v/>
      </c>
      <c r="G99" s="290" t="str">
        <f t="shared" si="6"/>
        <v/>
      </c>
      <c r="H99" s="290"/>
      <c r="I99" s="243"/>
      <c r="J99" s="238" t="str">
        <f t="shared" si="7"/>
        <v>Saisie ok</v>
      </c>
    </row>
    <row r="100" spans="1:10">
      <c r="A100" s="284"/>
      <c r="B100" s="285"/>
      <c r="C100" s="285"/>
      <c r="D100" s="506" t="str">
        <f>IF(Tableau12[[#This Row],[Quantité restante dans la cuve
(si remplissage, valeur 
avant le plein)]]&lt;=0,"",Tableau12[[#This Row],[Quantité restante dans la cuve
(si remplissage, valeur 
avant le plein)]]+Tableau12[[#This Row],[Remplissage / 
Quantité remise]])</f>
        <v/>
      </c>
      <c r="E100" s="236" t="str">
        <f t="shared" si="4"/>
        <v/>
      </c>
      <c r="F100" s="289" t="str">
        <f t="shared" si="5"/>
        <v/>
      </c>
      <c r="G100" s="290" t="str">
        <f t="shared" si="6"/>
        <v/>
      </c>
      <c r="H100" s="290"/>
      <c r="I100" s="243"/>
      <c r="J100" s="238" t="str">
        <f t="shared" si="7"/>
        <v>Saisie ok</v>
      </c>
    </row>
    <row r="101" spans="1:10">
      <c r="A101" s="284"/>
      <c r="B101" s="285"/>
      <c r="C101" s="285"/>
      <c r="D101" s="506" t="str">
        <f>IF(Tableau12[[#This Row],[Quantité restante dans la cuve
(si remplissage, valeur 
avant le plein)]]&lt;=0,"",Tableau12[[#This Row],[Quantité restante dans la cuve
(si remplissage, valeur 
avant le plein)]]+Tableau12[[#This Row],[Remplissage / 
Quantité remise]])</f>
        <v/>
      </c>
      <c r="E101" s="236" t="str">
        <f t="shared" si="4"/>
        <v/>
      </c>
      <c r="F101" s="289" t="str">
        <f t="shared" si="5"/>
        <v/>
      </c>
      <c r="G101" s="290" t="str">
        <f t="shared" si="6"/>
        <v/>
      </c>
      <c r="H101" s="290"/>
      <c r="I101" s="243"/>
      <c r="J101" s="238" t="str">
        <f t="shared" si="7"/>
        <v>Saisie ok</v>
      </c>
    </row>
    <row r="102" spans="1:10">
      <c r="A102" s="284"/>
      <c r="B102" s="285"/>
      <c r="C102" s="285"/>
      <c r="D102" s="506" t="str">
        <f>IF(Tableau12[[#This Row],[Quantité restante dans la cuve
(si remplissage, valeur 
avant le plein)]]&lt;=0,"",Tableau12[[#This Row],[Quantité restante dans la cuve
(si remplissage, valeur 
avant le plein)]]+Tableau12[[#This Row],[Remplissage / 
Quantité remise]])</f>
        <v/>
      </c>
      <c r="E102" s="236" t="str">
        <f t="shared" si="4"/>
        <v/>
      </c>
      <c r="F102" s="289" t="str">
        <f t="shared" si="5"/>
        <v/>
      </c>
      <c r="G102" s="290" t="str">
        <f t="shared" si="6"/>
        <v/>
      </c>
      <c r="H102" s="290"/>
      <c r="I102" s="243"/>
      <c r="J102" s="238" t="str">
        <f t="shared" si="7"/>
        <v>Saisie ok</v>
      </c>
    </row>
    <row r="103" spans="1:10">
      <c r="A103" s="284"/>
      <c r="B103" s="285"/>
      <c r="C103" s="285"/>
      <c r="D103" s="506" t="str">
        <f>IF(Tableau12[[#This Row],[Quantité restante dans la cuve
(si remplissage, valeur 
avant le plein)]]&lt;=0,"",Tableau12[[#This Row],[Quantité restante dans la cuve
(si remplissage, valeur 
avant le plein)]]+Tableau12[[#This Row],[Remplissage / 
Quantité remise]])</f>
        <v/>
      </c>
      <c r="E103" s="236" t="str">
        <f t="shared" si="4"/>
        <v/>
      </c>
      <c r="F103" s="289" t="str">
        <f t="shared" si="5"/>
        <v/>
      </c>
      <c r="G103" s="290" t="str">
        <f t="shared" si="6"/>
        <v/>
      </c>
      <c r="H103" s="290"/>
      <c r="I103" s="243"/>
      <c r="J103" s="238" t="str">
        <f t="shared" si="7"/>
        <v>Saisie ok</v>
      </c>
    </row>
    <row r="104" spans="1:10">
      <c r="A104" s="284"/>
      <c r="B104" s="285"/>
      <c r="C104" s="285"/>
      <c r="D104" s="506" t="str">
        <f>IF(Tableau12[[#This Row],[Quantité restante dans la cuve
(si remplissage, valeur 
avant le plein)]]&lt;=0,"",Tableau12[[#This Row],[Quantité restante dans la cuve
(si remplissage, valeur 
avant le plein)]]+Tableau12[[#This Row],[Remplissage / 
Quantité remise]])</f>
        <v/>
      </c>
      <c r="E104" s="236" t="str">
        <f t="shared" si="4"/>
        <v/>
      </c>
      <c r="F104" s="289" t="str">
        <f t="shared" si="5"/>
        <v/>
      </c>
      <c r="G104" s="290" t="str">
        <f t="shared" si="6"/>
        <v/>
      </c>
      <c r="H104" s="290"/>
      <c r="I104" s="243"/>
      <c r="J104" s="238" t="str">
        <f t="shared" si="7"/>
        <v>Saisie ok</v>
      </c>
    </row>
    <row r="105" spans="1:10">
      <c r="A105" s="284"/>
      <c r="B105" s="285"/>
      <c r="C105" s="285"/>
      <c r="D105" s="506" t="str">
        <f>IF(Tableau12[[#This Row],[Quantité restante dans la cuve
(si remplissage, valeur 
avant le plein)]]&lt;=0,"",Tableau12[[#This Row],[Quantité restante dans la cuve
(si remplissage, valeur 
avant le plein)]]+Tableau12[[#This Row],[Remplissage / 
Quantité remise]])</f>
        <v/>
      </c>
      <c r="E105" s="236" t="str">
        <f t="shared" si="4"/>
        <v/>
      </c>
      <c r="F105" s="289" t="str">
        <f t="shared" si="5"/>
        <v/>
      </c>
      <c r="G105" s="290" t="str">
        <f t="shared" si="6"/>
        <v/>
      </c>
      <c r="H105" s="290"/>
      <c r="I105" s="243"/>
      <c r="J105" s="238" t="str">
        <f t="shared" si="7"/>
        <v>Saisie ok</v>
      </c>
    </row>
    <row r="106" spans="1:10">
      <c r="A106" s="284"/>
      <c r="B106" s="285"/>
      <c r="C106" s="285"/>
      <c r="D106" s="506" t="str">
        <f>IF(Tableau12[[#This Row],[Quantité restante dans la cuve
(si remplissage, valeur 
avant le plein)]]&lt;=0,"",Tableau12[[#This Row],[Quantité restante dans la cuve
(si remplissage, valeur 
avant le plein)]]+Tableau12[[#This Row],[Remplissage / 
Quantité remise]])</f>
        <v/>
      </c>
      <c r="E106" s="236" t="str">
        <f t="shared" si="4"/>
        <v/>
      </c>
      <c r="F106" s="289" t="str">
        <f t="shared" si="5"/>
        <v/>
      </c>
      <c r="G106" s="290" t="str">
        <f t="shared" si="6"/>
        <v/>
      </c>
      <c r="H106" s="290"/>
      <c r="I106" s="243"/>
      <c r="J106" s="238" t="str">
        <f t="shared" si="7"/>
        <v>Saisie ok</v>
      </c>
    </row>
    <row r="107" spans="1:10">
      <c r="A107" s="284"/>
      <c r="B107" s="285"/>
      <c r="C107" s="285"/>
      <c r="D107" s="506" t="str">
        <f>IF(Tableau12[[#This Row],[Quantité restante dans la cuve
(si remplissage, valeur 
avant le plein)]]&lt;=0,"",Tableau12[[#This Row],[Quantité restante dans la cuve
(si remplissage, valeur 
avant le plein)]]+Tableau12[[#This Row],[Remplissage / 
Quantité remise]])</f>
        <v/>
      </c>
      <c r="E107" s="236" t="str">
        <f t="shared" si="4"/>
        <v/>
      </c>
      <c r="F107" s="289" t="str">
        <f t="shared" si="5"/>
        <v/>
      </c>
      <c r="G107" s="290" t="str">
        <f t="shared" si="6"/>
        <v/>
      </c>
      <c r="H107" s="290"/>
      <c r="I107" s="243"/>
      <c r="J107" s="238" t="str">
        <f t="shared" si="7"/>
        <v>Saisie ok</v>
      </c>
    </row>
    <row r="108" spans="1:10">
      <c r="A108" s="284"/>
      <c r="B108" s="285"/>
      <c r="C108" s="285"/>
      <c r="D108" s="506" t="str">
        <f>IF(Tableau12[[#This Row],[Quantité restante dans la cuve
(si remplissage, valeur 
avant le plein)]]&lt;=0,"",Tableau12[[#This Row],[Quantité restante dans la cuve
(si remplissage, valeur 
avant le plein)]]+Tableau12[[#This Row],[Remplissage / 
Quantité remise]])</f>
        <v/>
      </c>
      <c r="E108" s="236" t="str">
        <f t="shared" si="4"/>
        <v/>
      </c>
      <c r="F108" s="289" t="str">
        <f t="shared" si="5"/>
        <v/>
      </c>
      <c r="G108" s="290" t="str">
        <f t="shared" si="6"/>
        <v/>
      </c>
      <c r="H108" s="290"/>
      <c r="I108" s="243"/>
      <c r="J108" s="238" t="str">
        <f t="shared" si="7"/>
        <v>Saisie ok</v>
      </c>
    </row>
    <row r="109" spans="1:10">
      <c r="A109" s="284"/>
      <c r="B109" s="285"/>
      <c r="C109" s="285"/>
      <c r="D109" s="506" t="str">
        <f>IF(Tableau12[[#This Row],[Quantité restante dans la cuve
(si remplissage, valeur 
avant le plein)]]&lt;=0,"",Tableau12[[#This Row],[Quantité restante dans la cuve
(si remplissage, valeur 
avant le plein)]]+Tableau12[[#This Row],[Remplissage / 
Quantité remise]])</f>
        <v/>
      </c>
      <c r="E109" s="236" t="str">
        <f t="shared" si="4"/>
        <v/>
      </c>
      <c r="F109" s="289" t="str">
        <f t="shared" si="5"/>
        <v/>
      </c>
      <c r="G109" s="290" t="str">
        <f t="shared" si="6"/>
        <v/>
      </c>
      <c r="H109" s="290"/>
      <c r="I109" s="243"/>
      <c r="J109" s="238" t="str">
        <f t="shared" si="7"/>
        <v>Saisie ok</v>
      </c>
    </row>
    <row r="110" spans="1:10">
      <c r="A110" s="284"/>
      <c r="B110" s="285"/>
      <c r="C110" s="285"/>
      <c r="D110" s="506" t="str">
        <f>IF(Tableau12[[#This Row],[Quantité restante dans la cuve
(si remplissage, valeur 
avant le plein)]]&lt;=0,"",Tableau12[[#This Row],[Quantité restante dans la cuve
(si remplissage, valeur 
avant le plein)]]+Tableau12[[#This Row],[Remplissage / 
Quantité remise]])</f>
        <v/>
      </c>
      <c r="E110" s="236" t="str">
        <f t="shared" si="4"/>
        <v/>
      </c>
      <c r="F110" s="289" t="str">
        <f t="shared" si="5"/>
        <v/>
      </c>
      <c r="G110" s="290" t="str">
        <f t="shared" si="6"/>
        <v/>
      </c>
      <c r="H110" s="290"/>
      <c r="I110" s="243"/>
      <c r="J110" s="238" t="str">
        <f t="shared" si="7"/>
        <v>Saisie ok</v>
      </c>
    </row>
    <row r="111" spans="1:10">
      <c r="A111" s="284"/>
      <c r="B111" s="285"/>
      <c r="C111" s="285"/>
      <c r="D111" s="506" t="str">
        <f>IF(Tableau12[[#This Row],[Quantité restante dans la cuve
(si remplissage, valeur 
avant le plein)]]&lt;=0,"",Tableau12[[#This Row],[Quantité restante dans la cuve
(si remplissage, valeur 
avant le plein)]]+Tableau12[[#This Row],[Remplissage / 
Quantité remise]])</f>
        <v/>
      </c>
      <c r="E111" s="236" t="str">
        <f t="shared" si="4"/>
        <v/>
      </c>
      <c r="F111" s="289" t="str">
        <f t="shared" si="5"/>
        <v/>
      </c>
      <c r="G111" s="290" t="str">
        <f t="shared" si="6"/>
        <v/>
      </c>
      <c r="H111" s="290"/>
      <c r="I111" s="243"/>
      <c r="J111" s="238" t="str">
        <f t="shared" si="7"/>
        <v>Saisie ok</v>
      </c>
    </row>
    <row r="112" spans="1:10">
      <c r="A112" s="284"/>
      <c r="B112" s="285"/>
      <c r="C112" s="285"/>
      <c r="D112" s="506" t="str">
        <f>IF(Tableau12[[#This Row],[Quantité restante dans la cuve
(si remplissage, valeur 
avant le plein)]]&lt;=0,"",Tableau12[[#This Row],[Quantité restante dans la cuve
(si remplissage, valeur 
avant le plein)]]+Tableau12[[#This Row],[Remplissage / 
Quantité remise]])</f>
        <v/>
      </c>
      <c r="E112" s="236" t="str">
        <f t="shared" si="4"/>
        <v/>
      </c>
      <c r="F112" s="289" t="str">
        <f t="shared" si="5"/>
        <v/>
      </c>
      <c r="G112" s="290" t="str">
        <f t="shared" si="6"/>
        <v/>
      </c>
      <c r="H112" s="290"/>
      <c r="I112" s="243"/>
      <c r="J112" s="238" t="str">
        <f t="shared" si="7"/>
        <v>Saisie ok</v>
      </c>
    </row>
    <row r="113" spans="1:10">
      <c r="A113" s="284"/>
      <c r="B113" s="285"/>
      <c r="C113" s="285"/>
      <c r="D113" s="506" t="str">
        <f>IF(Tableau12[[#This Row],[Quantité restante dans la cuve
(si remplissage, valeur 
avant le plein)]]&lt;=0,"",Tableau12[[#This Row],[Quantité restante dans la cuve
(si remplissage, valeur 
avant le plein)]]+Tableau12[[#This Row],[Remplissage / 
Quantité remise]])</f>
        <v/>
      </c>
      <c r="E113" s="236" t="str">
        <f t="shared" si="4"/>
        <v/>
      </c>
      <c r="F113" s="289" t="str">
        <f t="shared" si="5"/>
        <v/>
      </c>
      <c r="G113" s="290" t="str">
        <f t="shared" si="6"/>
        <v/>
      </c>
      <c r="H113" s="290"/>
      <c r="I113" s="243"/>
      <c r="J113" s="238" t="str">
        <f t="shared" si="7"/>
        <v>Saisie ok</v>
      </c>
    </row>
    <row r="114" spans="1:10">
      <c r="A114" s="284"/>
      <c r="B114" s="285"/>
      <c r="C114" s="285"/>
      <c r="D114" s="506" t="str">
        <f>IF(Tableau12[[#This Row],[Quantité restante dans la cuve
(si remplissage, valeur 
avant le plein)]]&lt;=0,"",Tableau12[[#This Row],[Quantité restante dans la cuve
(si remplissage, valeur 
avant le plein)]]+Tableau12[[#This Row],[Remplissage / 
Quantité remise]])</f>
        <v/>
      </c>
      <c r="E114" s="236" t="str">
        <f t="shared" si="4"/>
        <v/>
      </c>
      <c r="F114" s="289" t="str">
        <f t="shared" si="5"/>
        <v/>
      </c>
      <c r="G114" s="290" t="str">
        <f t="shared" si="6"/>
        <v/>
      </c>
      <c r="H114" s="290"/>
      <c r="I114" s="243"/>
      <c r="J114" s="238" t="str">
        <f t="shared" si="7"/>
        <v>Saisie ok</v>
      </c>
    </row>
    <row r="115" spans="1:10">
      <c r="A115" s="284"/>
      <c r="B115" s="285"/>
      <c r="C115" s="285"/>
      <c r="D115" s="506" t="str">
        <f>IF(Tableau12[[#This Row],[Quantité restante dans la cuve
(si remplissage, valeur 
avant le plein)]]&lt;=0,"",Tableau12[[#This Row],[Quantité restante dans la cuve
(si remplissage, valeur 
avant le plein)]]+Tableau12[[#This Row],[Remplissage / 
Quantité remise]])</f>
        <v/>
      </c>
      <c r="E115" s="236" t="str">
        <f t="shared" si="4"/>
        <v/>
      </c>
      <c r="F115" s="289" t="str">
        <f t="shared" si="5"/>
        <v/>
      </c>
      <c r="G115" s="290" t="str">
        <f t="shared" si="6"/>
        <v/>
      </c>
      <c r="H115" s="290"/>
      <c r="I115" s="243"/>
      <c r="J115" s="238" t="str">
        <f t="shared" si="7"/>
        <v>Saisie ok</v>
      </c>
    </row>
    <row r="116" spans="1:10">
      <c r="A116" s="284"/>
      <c r="B116" s="285"/>
      <c r="C116" s="285"/>
      <c r="D116" s="506" t="str">
        <f>IF(Tableau12[[#This Row],[Quantité restante dans la cuve
(si remplissage, valeur 
avant le plein)]]&lt;=0,"",Tableau12[[#This Row],[Quantité restante dans la cuve
(si remplissage, valeur 
avant le plein)]]+Tableau12[[#This Row],[Remplissage / 
Quantité remise]])</f>
        <v/>
      </c>
      <c r="E116" s="236" t="str">
        <f t="shared" si="4"/>
        <v/>
      </c>
      <c r="F116" s="289" t="str">
        <f t="shared" si="5"/>
        <v/>
      </c>
      <c r="G116" s="290" t="str">
        <f t="shared" si="6"/>
        <v/>
      </c>
      <c r="H116" s="290"/>
      <c r="I116" s="243"/>
      <c r="J116" s="238" t="str">
        <f t="shared" si="7"/>
        <v>Saisie ok</v>
      </c>
    </row>
    <row r="117" spans="1:10">
      <c r="A117" s="284"/>
      <c r="B117" s="285"/>
      <c r="C117" s="285"/>
      <c r="D117" s="506" t="str">
        <f>IF(Tableau12[[#This Row],[Quantité restante dans la cuve
(si remplissage, valeur 
avant le plein)]]&lt;=0,"",Tableau12[[#This Row],[Quantité restante dans la cuve
(si remplissage, valeur 
avant le plein)]]+Tableau12[[#This Row],[Remplissage / 
Quantité remise]])</f>
        <v/>
      </c>
      <c r="E117" s="236" t="str">
        <f t="shared" si="4"/>
        <v/>
      </c>
      <c r="F117" s="289" t="str">
        <f t="shared" si="5"/>
        <v/>
      </c>
      <c r="G117" s="290" t="str">
        <f t="shared" si="6"/>
        <v/>
      </c>
      <c r="H117" s="290"/>
      <c r="I117" s="243"/>
      <c r="J117" s="238" t="str">
        <f t="shared" si="7"/>
        <v>Saisie ok</v>
      </c>
    </row>
    <row r="118" spans="1:10">
      <c r="A118" s="284"/>
      <c r="B118" s="285"/>
      <c r="C118" s="285"/>
      <c r="D118" s="506" t="str">
        <f>IF(Tableau12[[#This Row],[Quantité restante dans la cuve
(si remplissage, valeur 
avant le plein)]]&lt;=0,"",Tableau12[[#This Row],[Quantité restante dans la cuve
(si remplissage, valeur 
avant le plein)]]+Tableau12[[#This Row],[Remplissage / 
Quantité remise]])</f>
        <v/>
      </c>
      <c r="E118" s="236" t="str">
        <f t="shared" si="4"/>
        <v/>
      </c>
      <c r="F118" s="289" t="str">
        <f t="shared" si="5"/>
        <v/>
      </c>
      <c r="G118" s="290" t="str">
        <f t="shared" si="6"/>
        <v/>
      </c>
      <c r="H118" s="290"/>
      <c r="I118" s="243"/>
      <c r="J118" s="238" t="str">
        <f t="shared" si="7"/>
        <v>Saisie ok</v>
      </c>
    </row>
    <row r="119" spans="1:10">
      <c r="A119" s="284"/>
      <c r="B119" s="285"/>
      <c r="C119" s="285"/>
      <c r="D119" s="506" t="str">
        <f>IF(Tableau12[[#This Row],[Quantité restante dans la cuve
(si remplissage, valeur 
avant le plein)]]&lt;=0,"",Tableau12[[#This Row],[Quantité restante dans la cuve
(si remplissage, valeur 
avant le plein)]]+Tableau12[[#This Row],[Remplissage / 
Quantité remise]])</f>
        <v/>
      </c>
      <c r="E119" s="236" t="str">
        <f t="shared" si="4"/>
        <v/>
      </c>
      <c r="F119" s="289" t="str">
        <f t="shared" si="5"/>
        <v/>
      </c>
      <c r="G119" s="290" t="str">
        <f t="shared" si="6"/>
        <v/>
      </c>
      <c r="H119" s="290"/>
      <c r="I119" s="243"/>
      <c r="J119" s="238" t="str">
        <f t="shared" si="7"/>
        <v>Saisie ok</v>
      </c>
    </row>
    <row r="120" spans="1:10">
      <c r="A120" s="284"/>
      <c r="B120" s="285"/>
      <c r="C120" s="285"/>
      <c r="D120" s="506" t="str">
        <f>IF(Tableau12[[#This Row],[Quantité restante dans la cuve
(si remplissage, valeur 
avant le plein)]]&lt;=0,"",Tableau12[[#This Row],[Quantité restante dans la cuve
(si remplissage, valeur 
avant le plein)]]+Tableau12[[#This Row],[Remplissage / 
Quantité remise]])</f>
        <v/>
      </c>
      <c r="E120" s="236" t="str">
        <f t="shared" si="4"/>
        <v/>
      </c>
      <c r="F120" s="289" t="str">
        <f t="shared" si="5"/>
        <v/>
      </c>
      <c r="G120" s="290" t="str">
        <f t="shared" si="6"/>
        <v/>
      </c>
      <c r="H120" s="290"/>
      <c r="I120" s="243"/>
      <c r="J120" s="238" t="str">
        <f t="shared" si="7"/>
        <v>Saisie ok</v>
      </c>
    </row>
    <row r="121" spans="1:10">
      <c r="A121" s="284"/>
      <c r="B121" s="285"/>
      <c r="C121" s="285"/>
      <c r="D121" s="506" t="str">
        <f>IF(Tableau12[[#This Row],[Quantité restante dans la cuve
(si remplissage, valeur 
avant le plein)]]&lt;=0,"",Tableau12[[#This Row],[Quantité restante dans la cuve
(si remplissage, valeur 
avant le plein)]]+Tableau12[[#This Row],[Remplissage / 
Quantité remise]])</f>
        <v/>
      </c>
      <c r="E121" s="236" t="str">
        <f t="shared" si="4"/>
        <v/>
      </c>
      <c r="F121" s="289" t="str">
        <f t="shared" si="5"/>
        <v/>
      </c>
      <c r="G121" s="290" t="str">
        <f t="shared" si="6"/>
        <v/>
      </c>
      <c r="H121" s="290"/>
      <c r="I121" s="243"/>
      <c r="J121" s="238" t="str">
        <f t="shared" si="7"/>
        <v>Saisie ok</v>
      </c>
    </row>
    <row r="122" spans="1:10">
      <c r="A122" s="284"/>
      <c r="B122" s="285"/>
      <c r="C122" s="285"/>
      <c r="D122" s="506" t="str">
        <f>IF(Tableau12[[#This Row],[Quantité restante dans la cuve
(si remplissage, valeur 
avant le plein)]]&lt;=0,"",Tableau12[[#This Row],[Quantité restante dans la cuve
(si remplissage, valeur 
avant le plein)]]+Tableau12[[#This Row],[Remplissage / 
Quantité remise]])</f>
        <v/>
      </c>
      <c r="E122" s="236" t="str">
        <f t="shared" si="4"/>
        <v/>
      </c>
      <c r="F122" s="289" t="str">
        <f t="shared" si="5"/>
        <v/>
      </c>
      <c r="G122" s="290" t="str">
        <f t="shared" si="6"/>
        <v/>
      </c>
      <c r="H122" s="290"/>
      <c r="I122" s="243"/>
      <c r="J122" s="238" t="str">
        <f t="shared" si="7"/>
        <v>Saisie ok</v>
      </c>
    </row>
    <row r="123" spans="1:10">
      <c r="A123" s="284"/>
      <c r="B123" s="285"/>
      <c r="C123" s="285"/>
      <c r="D123" s="506" t="str">
        <f>IF(Tableau12[[#This Row],[Quantité restante dans la cuve
(si remplissage, valeur 
avant le plein)]]&lt;=0,"",Tableau12[[#This Row],[Quantité restante dans la cuve
(si remplissage, valeur 
avant le plein)]]+Tableau12[[#This Row],[Remplissage / 
Quantité remise]])</f>
        <v/>
      </c>
      <c r="E123" s="236" t="str">
        <f t="shared" si="4"/>
        <v/>
      </c>
      <c r="F123" s="289" t="str">
        <f t="shared" si="5"/>
        <v/>
      </c>
      <c r="G123" s="290" t="str">
        <f t="shared" si="6"/>
        <v/>
      </c>
      <c r="H123" s="290"/>
      <c r="I123" s="243"/>
      <c r="J123" s="238" t="str">
        <f t="shared" si="7"/>
        <v>Saisie ok</v>
      </c>
    </row>
    <row r="124" spans="1:10">
      <c r="A124" s="284"/>
      <c r="B124" s="285"/>
      <c r="C124" s="285"/>
      <c r="D124" s="506" t="str">
        <f>IF(Tableau12[[#This Row],[Quantité restante dans la cuve
(si remplissage, valeur 
avant le plein)]]&lt;=0,"",Tableau12[[#This Row],[Quantité restante dans la cuve
(si remplissage, valeur 
avant le plein)]]+Tableau12[[#This Row],[Remplissage / 
Quantité remise]])</f>
        <v/>
      </c>
      <c r="E124" s="236" t="str">
        <f t="shared" si="4"/>
        <v/>
      </c>
      <c r="F124" s="289" t="str">
        <f t="shared" si="5"/>
        <v/>
      </c>
      <c r="G124" s="290" t="str">
        <f t="shared" si="6"/>
        <v/>
      </c>
      <c r="H124" s="290"/>
      <c r="I124" s="243"/>
      <c r="J124" s="238" t="str">
        <f t="shared" si="7"/>
        <v>Saisie ok</v>
      </c>
    </row>
    <row r="125" spans="1:10">
      <c r="A125" s="284"/>
      <c r="B125" s="285"/>
      <c r="C125" s="285"/>
      <c r="D125" s="506" t="str">
        <f>IF(Tableau12[[#This Row],[Quantité restante dans la cuve
(si remplissage, valeur 
avant le plein)]]&lt;=0,"",Tableau12[[#This Row],[Quantité restante dans la cuve
(si remplissage, valeur 
avant le plein)]]+Tableau12[[#This Row],[Remplissage / 
Quantité remise]])</f>
        <v/>
      </c>
      <c r="E125" s="236" t="str">
        <f t="shared" si="4"/>
        <v/>
      </c>
      <c r="F125" s="289" t="str">
        <f t="shared" si="5"/>
        <v/>
      </c>
      <c r="G125" s="290" t="str">
        <f t="shared" si="6"/>
        <v/>
      </c>
      <c r="H125" s="290"/>
      <c r="I125" s="243"/>
      <c r="J125" s="238" t="str">
        <f t="shared" si="7"/>
        <v>Saisie ok</v>
      </c>
    </row>
    <row r="126" spans="1:10">
      <c r="A126" s="284"/>
      <c r="B126" s="285"/>
      <c r="C126" s="285"/>
      <c r="D126" s="506" t="str">
        <f>IF(Tableau12[[#This Row],[Quantité restante dans la cuve
(si remplissage, valeur 
avant le plein)]]&lt;=0,"",Tableau12[[#This Row],[Quantité restante dans la cuve
(si remplissage, valeur 
avant le plein)]]+Tableau12[[#This Row],[Remplissage / 
Quantité remise]])</f>
        <v/>
      </c>
      <c r="E126" s="236" t="str">
        <f t="shared" si="4"/>
        <v/>
      </c>
      <c r="F126" s="289" t="str">
        <f t="shared" si="5"/>
        <v/>
      </c>
      <c r="G126" s="290" t="str">
        <f t="shared" si="6"/>
        <v/>
      </c>
      <c r="H126" s="290"/>
      <c r="I126" s="243"/>
      <c r="J126" s="238" t="str">
        <f t="shared" si="7"/>
        <v>Saisie ok</v>
      </c>
    </row>
    <row r="127" spans="1:10">
      <c r="A127" s="284"/>
      <c r="B127" s="285"/>
      <c r="C127" s="285"/>
      <c r="D127" s="506" t="str">
        <f>IF(Tableau12[[#This Row],[Quantité restante dans la cuve
(si remplissage, valeur 
avant le plein)]]&lt;=0,"",Tableau12[[#This Row],[Quantité restante dans la cuve
(si remplissage, valeur 
avant le plein)]]+Tableau12[[#This Row],[Remplissage / 
Quantité remise]])</f>
        <v/>
      </c>
      <c r="E127" s="236" t="str">
        <f t="shared" si="4"/>
        <v/>
      </c>
      <c r="F127" s="289" t="str">
        <f t="shared" si="5"/>
        <v/>
      </c>
      <c r="G127" s="290" t="str">
        <f t="shared" si="6"/>
        <v/>
      </c>
      <c r="H127" s="290"/>
      <c r="I127" s="243"/>
      <c r="J127" s="238" t="str">
        <f t="shared" si="7"/>
        <v>Saisie ok</v>
      </c>
    </row>
    <row r="128" spans="1:10">
      <c r="A128" s="284"/>
      <c r="B128" s="285"/>
      <c r="C128" s="285"/>
      <c r="D128" s="506" t="str">
        <f>IF(Tableau12[[#This Row],[Quantité restante dans la cuve
(si remplissage, valeur 
avant le plein)]]&lt;=0,"",Tableau12[[#This Row],[Quantité restante dans la cuve
(si remplissage, valeur 
avant le plein)]]+Tableau12[[#This Row],[Remplissage / 
Quantité remise]])</f>
        <v/>
      </c>
      <c r="E128" s="236" t="str">
        <f t="shared" si="4"/>
        <v/>
      </c>
      <c r="F128" s="289" t="str">
        <f t="shared" si="5"/>
        <v/>
      </c>
      <c r="G128" s="290" t="str">
        <f t="shared" si="6"/>
        <v/>
      </c>
      <c r="H128" s="290"/>
      <c r="I128" s="243"/>
      <c r="J128" s="238" t="str">
        <f t="shared" si="7"/>
        <v>Saisie ok</v>
      </c>
    </row>
    <row r="129" spans="1:10">
      <c r="A129" s="284"/>
      <c r="B129" s="285"/>
      <c r="C129" s="285"/>
      <c r="D129" s="506" t="str">
        <f>IF(Tableau12[[#This Row],[Quantité restante dans la cuve
(si remplissage, valeur 
avant le plein)]]&lt;=0,"",Tableau12[[#This Row],[Quantité restante dans la cuve
(si remplissage, valeur 
avant le plein)]]+Tableau12[[#This Row],[Remplissage / 
Quantité remise]])</f>
        <v/>
      </c>
      <c r="E129" s="236" t="str">
        <f t="shared" si="4"/>
        <v/>
      </c>
      <c r="F129" s="289" t="str">
        <f t="shared" si="5"/>
        <v/>
      </c>
      <c r="G129" s="290" t="str">
        <f t="shared" si="6"/>
        <v/>
      </c>
      <c r="H129" s="290"/>
      <c r="I129" s="243"/>
      <c r="J129" s="238" t="str">
        <f t="shared" si="7"/>
        <v>Saisie ok</v>
      </c>
    </row>
    <row r="130" spans="1:10">
      <c r="A130" s="284"/>
      <c r="B130" s="285"/>
      <c r="C130" s="285"/>
      <c r="D130" s="506" t="str">
        <f>IF(Tableau12[[#This Row],[Quantité restante dans la cuve
(si remplissage, valeur 
avant le plein)]]&lt;=0,"",Tableau12[[#This Row],[Quantité restante dans la cuve
(si remplissage, valeur 
avant le plein)]]+Tableau12[[#This Row],[Remplissage / 
Quantité remise]])</f>
        <v/>
      </c>
      <c r="E130" s="236" t="str">
        <f t="shared" si="4"/>
        <v/>
      </c>
      <c r="F130" s="289" t="str">
        <f t="shared" si="5"/>
        <v/>
      </c>
      <c r="G130" s="290" t="str">
        <f t="shared" si="6"/>
        <v/>
      </c>
      <c r="H130" s="290"/>
      <c r="I130" s="243"/>
      <c r="J130" s="238" t="str">
        <f t="shared" si="7"/>
        <v>Saisie ok</v>
      </c>
    </row>
    <row r="131" spans="1:10">
      <c r="A131" s="284"/>
      <c r="B131" s="285"/>
      <c r="C131" s="285"/>
      <c r="D131" s="506" t="str">
        <f>IF(Tableau12[[#This Row],[Quantité restante dans la cuve
(si remplissage, valeur 
avant le plein)]]&lt;=0,"",Tableau12[[#This Row],[Quantité restante dans la cuve
(si remplissage, valeur 
avant le plein)]]+Tableau12[[#This Row],[Remplissage / 
Quantité remise]])</f>
        <v/>
      </c>
      <c r="E131" s="236" t="str">
        <f t="shared" si="4"/>
        <v/>
      </c>
      <c r="F131" s="289" t="str">
        <f t="shared" si="5"/>
        <v/>
      </c>
      <c r="G131" s="290" t="str">
        <f t="shared" si="6"/>
        <v/>
      </c>
      <c r="H131" s="290"/>
      <c r="I131" s="243"/>
      <c r="J131" s="238" t="str">
        <f t="shared" si="7"/>
        <v>Saisie ok</v>
      </c>
    </row>
    <row r="132" spans="1:10">
      <c r="A132" s="284"/>
      <c r="B132" s="285"/>
      <c r="C132" s="285"/>
      <c r="D132" s="506" t="str">
        <f>IF(Tableau12[[#This Row],[Quantité restante dans la cuve
(si remplissage, valeur 
avant le plein)]]&lt;=0,"",Tableau12[[#This Row],[Quantité restante dans la cuve
(si remplissage, valeur 
avant le plein)]]+Tableau12[[#This Row],[Remplissage / 
Quantité remise]])</f>
        <v/>
      </c>
      <c r="E132" s="236" t="str">
        <f t="shared" ref="E132:E195" si="8">IFERROR(G132/(A132-A131),"")</f>
        <v/>
      </c>
      <c r="F132" s="289" t="str">
        <f t="shared" ref="F132:F195" si="9">IF(A132="","",A132)</f>
        <v/>
      </c>
      <c r="G132" s="290" t="str">
        <f t="shared" ref="G132:G195" si="10">IF(B132&lt;=0,"",D131-B132)</f>
        <v/>
      </c>
      <c r="H132" s="290"/>
      <c r="I132" s="243"/>
      <c r="J132" s="238" t="str">
        <f t="shared" ref="J132:J195" si="11">IF(C131&lt;=0,IF(B132&gt;B131,"Erreur saisie","Saisie ok"),"Saisie ok, plein fait")</f>
        <v>Saisie ok</v>
      </c>
    </row>
    <row r="133" spans="1:10">
      <c r="A133" s="284"/>
      <c r="B133" s="285"/>
      <c r="C133" s="285"/>
      <c r="D133" s="506" t="str">
        <f>IF(Tableau12[[#This Row],[Quantité restante dans la cuve
(si remplissage, valeur 
avant le plein)]]&lt;=0,"",Tableau12[[#This Row],[Quantité restante dans la cuve
(si remplissage, valeur 
avant le plein)]]+Tableau12[[#This Row],[Remplissage / 
Quantité remise]])</f>
        <v/>
      </c>
      <c r="E133" s="236" t="str">
        <f t="shared" si="8"/>
        <v/>
      </c>
      <c r="F133" s="289" t="str">
        <f t="shared" si="9"/>
        <v/>
      </c>
      <c r="G133" s="290" t="str">
        <f t="shared" si="10"/>
        <v/>
      </c>
      <c r="H133" s="290"/>
      <c r="I133" s="243"/>
      <c r="J133" s="238" t="str">
        <f t="shared" si="11"/>
        <v>Saisie ok</v>
      </c>
    </row>
    <row r="134" spans="1:10">
      <c r="A134" s="284"/>
      <c r="B134" s="285"/>
      <c r="C134" s="285"/>
      <c r="D134" s="506" t="str">
        <f>IF(Tableau12[[#This Row],[Quantité restante dans la cuve
(si remplissage, valeur 
avant le plein)]]&lt;=0,"",Tableau12[[#This Row],[Quantité restante dans la cuve
(si remplissage, valeur 
avant le plein)]]+Tableau12[[#This Row],[Remplissage / 
Quantité remise]])</f>
        <v/>
      </c>
      <c r="E134" s="236" t="str">
        <f t="shared" si="8"/>
        <v/>
      </c>
      <c r="F134" s="289" t="str">
        <f t="shared" si="9"/>
        <v/>
      </c>
      <c r="G134" s="290" t="str">
        <f t="shared" si="10"/>
        <v/>
      </c>
      <c r="H134" s="290"/>
      <c r="I134" s="243"/>
      <c r="J134" s="238" t="str">
        <f t="shared" si="11"/>
        <v>Saisie ok</v>
      </c>
    </row>
    <row r="135" spans="1:10">
      <c r="A135" s="284"/>
      <c r="B135" s="285"/>
      <c r="C135" s="285"/>
      <c r="D135" s="506" t="str">
        <f>IF(Tableau12[[#This Row],[Quantité restante dans la cuve
(si remplissage, valeur 
avant le plein)]]&lt;=0,"",Tableau12[[#This Row],[Quantité restante dans la cuve
(si remplissage, valeur 
avant le plein)]]+Tableau12[[#This Row],[Remplissage / 
Quantité remise]])</f>
        <v/>
      </c>
      <c r="E135" s="236" t="str">
        <f t="shared" si="8"/>
        <v/>
      </c>
      <c r="F135" s="289" t="str">
        <f t="shared" si="9"/>
        <v/>
      </c>
      <c r="G135" s="290" t="str">
        <f t="shared" si="10"/>
        <v/>
      </c>
      <c r="H135" s="290"/>
      <c r="I135" s="243"/>
      <c r="J135" s="238" t="str">
        <f t="shared" si="11"/>
        <v>Saisie ok</v>
      </c>
    </row>
    <row r="136" spans="1:10">
      <c r="A136" s="284"/>
      <c r="B136" s="285"/>
      <c r="C136" s="285"/>
      <c r="D136" s="506" t="str">
        <f>IF(Tableau12[[#This Row],[Quantité restante dans la cuve
(si remplissage, valeur 
avant le plein)]]&lt;=0,"",Tableau12[[#This Row],[Quantité restante dans la cuve
(si remplissage, valeur 
avant le plein)]]+Tableau12[[#This Row],[Remplissage / 
Quantité remise]])</f>
        <v/>
      </c>
      <c r="E136" s="236" t="str">
        <f t="shared" si="8"/>
        <v/>
      </c>
      <c r="F136" s="289" t="str">
        <f t="shared" si="9"/>
        <v/>
      </c>
      <c r="G136" s="290" t="str">
        <f t="shared" si="10"/>
        <v/>
      </c>
      <c r="H136" s="290"/>
      <c r="I136" s="243"/>
      <c r="J136" s="238" t="str">
        <f t="shared" si="11"/>
        <v>Saisie ok</v>
      </c>
    </row>
    <row r="137" spans="1:10">
      <c r="A137" s="284"/>
      <c r="B137" s="285"/>
      <c r="C137" s="285"/>
      <c r="D137" s="506" t="str">
        <f>IF(Tableau12[[#This Row],[Quantité restante dans la cuve
(si remplissage, valeur 
avant le plein)]]&lt;=0,"",Tableau12[[#This Row],[Quantité restante dans la cuve
(si remplissage, valeur 
avant le plein)]]+Tableau12[[#This Row],[Remplissage / 
Quantité remise]])</f>
        <v/>
      </c>
      <c r="E137" s="236" t="str">
        <f t="shared" si="8"/>
        <v/>
      </c>
      <c r="F137" s="289" t="str">
        <f t="shared" si="9"/>
        <v/>
      </c>
      <c r="G137" s="290" t="str">
        <f t="shared" si="10"/>
        <v/>
      </c>
      <c r="H137" s="290"/>
      <c r="I137" s="243"/>
      <c r="J137" s="238" t="str">
        <f t="shared" si="11"/>
        <v>Saisie ok</v>
      </c>
    </row>
    <row r="138" spans="1:10">
      <c r="A138" s="284"/>
      <c r="B138" s="285"/>
      <c r="C138" s="285"/>
      <c r="D138" s="506" t="str">
        <f>IF(Tableau12[[#This Row],[Quantité restante dans la cuve
(si remplissage, valeur 
avant le plein)]]&lt;=0,"",Tableau12[[#This Row],[Quantité restante dans la cuve
(si remplissage, valeur 
avant le plein)]]+Tableau12[[#This Row],[Remplissage / 
Quantité remise]])</f>
        <v/>
      </c>
      <c r="E138" s="236" t="str">
        <f t="shared" si="8"/>
        <v/>
      </c>
      <c r="F138" s="289" t="str">
        <f t="shared" si="9"/>
        <v/>
      </c>
      <c r="G138" s="290" t="str">
        <f t="shared" si="10"/>
        <v/>
      </c>
      <c r="H138" s="290"/>
      <c r="I138" s="243"/>
      <c r="J138" s="238" t="str">
        <f t="shared" si="11"/>
        <v>Saisie ok</v>
      </c>
    </row>
    <row r="139" spans="1:10">
      <c r="A139" s="284"/>
      <c r="B139" s="285"/>
      <c r="C139" s="285"/>
      <c r="D139" s="506" t="str">
        <f>IF(Tableau12[[#This Row],[Quantité restante dans la cuve
(si remplissage, valeur 
avant le plein)]]&lt;=0,"",Tableau12[[#This Row],[Quantité restante dans la cuve
(si remplissage, valeur 
avant le plein)]]+Tableau12[[#This Row],[Remplissage / 
Quantité remise]])</f>
        <v/>
      </c>
      <c r="E139" s="236" t="str">
        <f t="shared" si="8"/>
        <v/>
      </c>
      <c r="F139" s="289" t="str">
        <f t="shared" si="9"/>
        <v/>
      </c>
      <c r="G139" s="290" t="str">
        <f t="shared" si="10"/>
        <v/>
      </c>
      <c r="H139" s="290"/>
      <c r="I139" s="243"/>
      <c r="J139" s="238" t="str">
        <f t="shared" si="11"/>
        <v>Saisie ok</v>
      </c>
    </row>
    <row r="140" spans="1:10">
      <c r="A140" s="284"/>
      <c r="B140" s="285"/>
      <c r="C140" s="285"/>
      <c r="D140" s="506" t="str">
        <f>IF(Tableau12[[#This Row],[Quantité restante dans la cuve
(si remplissage, valeur 
avant le plein)]]&lt;=0,"",Tableau12[[#This Row],[Quantité restante dans la cuve
(si remplissage, valeur 
avant le plein)]]+Tableau12[[#This Row],[Remplissage / 
Quantité remise]])</f>
        <v/>
      </c>
      <c r="E140" s="236" t="str">
        <f t="shared" si="8"/>
        <v/>
      </c>
      <c r="F140" s="289" t="str">
        <f t="shared" si="9"/>
        <v/>
      </c>
      <c r="G140" s="290" t="str">
        <f t="shared" si="10"/>
        <v/>
      </c>
      <c r="H140" s="290"/>
      <c r="I140" s="243"/>
      <c r="J140" s="238" t="str">
        <f t="shared" si="11"/>
        <v>Saisie ok</v>
      </c>
    </row>
    <row r="141" spans="1:10">
      <c r="A141" s="284"/>
      <c r="B141" s="285"/>
      <c r="C141" s="285"/>
      <c r="D141" s="506" t="str">
        <f>IF(Tableau12[[#This Row],[Quantité restante dans la cuve
(si remplissage, valeur 
avant le plein)]]&lt;=0,"",Tableau12[[#This Row],[Quantité restante dans la cuve
(si remplissage, valeur 
avant le plein)]]+Tableau12[[#This Row],[Remplissage / 
Quantité remise]])</f>
        <v/>
      </c>
      <c r="E141" s="236" t="str">
        <f t="shared" si="8"/>
        <v/>
      </c>
      <c r="F141" s="289" t="str">
        <f t="shared" si="9"/>
        <v/>
      </c>
      <c r="G141" s="290" t="str">
        <f t="shared" si="10"/>
        <v/>
      </c>
      <c r="H141" s="290"/>
      <c r="I141" s="243"/>
      <c r="J141" s="238" t="str">
        <f t="shared" si="11"/>
        <v>Saisie ok</v>
      </c>
    </row>
    <row r="142" spans="1:10">
      <c r="A142" s="284"/>
      <c r="B142" s="285"/>
      <c r="C142" s="285"/>
      <c r="D142" s="506" t="str">
        <f>IF(Tableau12[[#This Row],[Quantité restante dans la cuve
(si remplissage, valeur 
avant le plein)]]&lt;=0,"",Tableau12[[#This Row],[Quantité restante dans la cuve
(si remplissage, valeur 
avant le plein)]]+Tableau12[[#This Row],[Remplissage / 
Quantité remise]])</f>
        <v/>
      </c>
      <c r="E142" s="236" t="str">
        <f t="shared" si="8"/>
        <v/>
      </c>
      <c r="F142" s="289" t="str">
        <f t="shared" si="9"/>
        <v/>
      </c>
      <c r="G142" s="290" t="str">
        <f t="shared" si="10"/>
        <v/>
      </c>
      <c r="H142" s="290"/>
      <c r="I142" s="243"/>
      <c r="J142" s="238" t="str">
        <f t="shared" si="11"/>
        <v>Saisie ok</v>
      </c>
    </row>
    <row r="143" spans="1:10">
      <c r="A143" s="284"/>
      <c r="B143" s="285"/>
      <c r="C143" s="285"/>
      <c r="D143" s="506" t="str">
        <f>IF(Tableau12[[#This Row],[Quantité restante dans la cuve
(si remplissage, valeur 
avant le plein)]]&lt;=0,"",Tableau12[[#This Row],[Quantité restante dans la cuve
(si remplissage, valeur 
avant le plein)]]+Tableau12[[#This Row],[Remplissage / 
Quantité remise]])</f>
        <v/>
      </c>
      <c r="E143" s="236" t="str">
        <f t="shared" si="8"/>
        <v/>
      </c>
      <c r="F143" s="289" t="str">
        <f t="shared" si="9"/>
        <v/>
      </c>
      <c r="G143" s="290" t="str">
        <f t="shared" si="10"/>
        <v/>
      </c>
      <c r="H143" s="290"/>
      <c r="I143" s="243"/>
      <c r="J143" s="238" t="str">
        <f t="shared" si="11"/>
        <v>Saisie ok</v>
      </c>
    </row>
    <row r="144" spans="1:10">
      <c r="A144" s="284"/>
      <c r="B144" s="285"/>
      <c r="C144" s="285"/>
      <c r="D144" s="506" t="str">
        <f>IF(Tableau12[[#This Row],[Quantité restante dans la cuve
(si remplissage, valeur 
avant le plein)]]&lt;=0,"",Tableau12[[#This Row],[Quantité restante dans la cuve
(si remplissage, valeur 
avant le plein)]]+Tableau12[[#This Row],[Remplissage / 
Quantité remise]])</f>
        <v/>
      </c>
      <c r="E144" s="236" t="str">
        <f t="shared" si="8"/>
        <v/>
      </c>
      <c r="F144" s="289" t="str">
        <f t="shared" si="9"/>
        <v/>
      </c>
      <c r="G144" s="290" t="str">
        <f t="shared" si="10"/>
        <v/>
      </c>
      <c r="H144" s="290"/>
      <c r="I144" s="243"/>
      <c r="J144" s="238" t="str">
        <f t="shared" si="11"/>
        <v>Saisie ok</v>
      </c>
    </row>
    <row r="145" spans="1:10">
      <c r="A145" s="284"/>
      <c r="B145" s="285"/>
      <c r="C145" s="285"/>
      <c r="D145" s="506" t="str">
        <f>IF(Tableau12[[#This Row],[Quantité restante dans la cuve
(si remplissage, valeur 
avant le plein)]]&lt;=0,"",Tableau12[[#This Row],[Quantité restante dans la cuve
(si remplissage, valeur 
avant le plein)]]+Tableau12[[#This Row],[Remplissage / 
Quantité remise]])</f>
        <v/>
      </c>
      <c r="E145" s="236" t="str">
        <f t="shared" si="8"/>
        <v/>
      </c>
      <c r="F145" s="289" t="str">
        <f t="shared" si="9"/>
        <v/>
      </c>
      <c r="G145" s="290" t="str">
        <f t="shared" si="10"/>
        <v/>
      </c>
      <c r="H145" s="290"/>
      <c r="I145" s="243"/>
      <c r="J145" s="238" t="str">
        <f t="shared" si="11"/>
        <v>Saisie ok</v>
      </c>
    </row>
    <row r="146" spans="1:10">
      <c r="A146" s="284"/>
      <c r="B146" s="285"/>
      <c r="C146" s="285"/>
      <c r="D146" s="506" t="str">
        <f>IF(Tableau12[[#This Row],[Quantité restante dans la cuve
(si remplissage, valeur 
avant le plein)]]&lt;=0,"",Tableau12[[#This Row],[Quantité restante dans la cuve
(si remplissage, valeur 
avant le plein)]]+Tableau12[[#This Row],[Remplissage / 
Quantité remise]])</f>
        <v/>
      </c>
      <c r="E146" s="236" t="str">
        <f t="shared" si="8"/>
        <v/>
      </c>
      <c r="F146" s="289" t="str">
        <f t="shared" si="9"/>
        <v/>
      </c>
      <c r="G146" s="290" t="str">
        <f t="shared" si="10"/>
        <v/>
      </c>
      <c r="H146" s="290"/>
      <c r="I146" s="243"/>
      <c r="J146" s="238" t="str">
        <f t="shared" si="11"/>
        <v>Saisie ok</v>
      </c>
    </row>
    <row r="147" spans="1:10">
      <c r="A147" s="284"/>
      <c r="B147" s="285"/>
      <c r="C147" s="285"/>
      <c r="D147" s="506" t="str">
        <f>IF(Tableau12[[#This Row],[Quantité restante dans la cuve
(si remplissage, valeur 
avant le plein)]]&lt;=0,"",Tableau12[[#This Row],[Quantité restante dans la cuve
(si remplissage, valeur 
avant le plein)]]+Tableau12[[#This Row],[Remplissage / 
Quantité remise]])</f>
        <v/>
      </c>
      <c r="E147" s="236" t="str">
        <f t="shared" si="8"/>
        <v/>
      </c>
      <c r="F147" s="289" t="str">
        <f t="shared" si="9"/>
        <v/>
      </c>
      <c r="G147" s="290" t="str">
        <f t="shared" si="10"/>
        <v/>
      </c>
      <c r="H147" s="290"/>
      <c r="I147" s="243"/>
      <c r="J147" s="238" t="str">
        <f t="shared" si="11"/>
        <v>Saisie ok</v>
      </c>
    </row>
    <row r="148" spans="1:10">
      <c r="A148" s="284"/>
      <c r="B148" s="285"/>
      <c r="C148" s="285"/>
      <c r="D148" s="506" t="str">
        <f>IF(Tableau12[[#This Row],[Quantité restante dans la cuve
(si remplissage, valeur 
avant le plein)]]&lt;=0,"",Tableau12[[#This Row],[Quantité restante dans la cuve
(si remplissage, valeur 
avant le plein)]]+Tableau12[[#This Row],[Remplissage / 
Quantité remise]])</f>
        <v/>
      </c>
      <c r="E148" s="236" t="str">
        <f t="shared" si="8"/>
        <v/>
      </c>
      <c r="F148" s="289" t="str">
        <f t="shared" si="9"/>
        <v/>
      </c>
      <c r="G148" s="290" t="str">
        <f t="shared" si="10"/>
        <v/>
      </c>
      <c r="H148" s="290"/>
      <c r="I148" s="243"/>
      <c r="J148" s="238" t="str">
        <f t="shared" si="11"/>
        <v>Saisie ok</v>
      </c>
    </row>
    <row r="149" spans="1:10">
      <c r="A149" s="284"/>
      <c r="B149" s="285"/>
      <c r="C149" s="285"/>
      <c r="D149" s="506" t="str">
        <f>IF(Tableau12[[#This Row],[Quantité restante dans la cuve
(si remplissage, valeur 
avant le plein)]]&lt;=0,"",Tableau12[[#This Row],[Quantité restante dans la cuve
(si remplissage, valeur 
avant le plein)]]+Tableau12[[#This Row],[Remplissage / 
Quantité remise]])</f>
        <v/>
      </c>
      <c r="E149" s="236" t="str">
        <f t="shared" si="8"/>
        <v/>
      </c>
      <c r="F149" s="289" t="str">
        <f t="shared" si="9"/>
        <v/>
      </c>
      <c r="G149" s="290" t="str">
        <f t="shared" si="10"/>
        <v/>
      </c>
      <c r="H149" s="290"/>
      <c r="I149" s="243"/>
      <c r="J149" s="238" t="str">
        <f t="shared" si="11"/>
        <v>Saisie ok</v>
      </c>
    </row>
    <row r="150" spans="1:10">
      <c r="A150" s="284"/>
      <c r="B150" s="285"/>
      <c r="C150" s="285"/>
      <c r="D150" s="506" t="str">
        <f>IF(Tableau12[[#This Row],[Quantité restante dans la cuve
(si remplissage, valeur 
avant le plein)]]&lt;=0,"",Tableau12[[#This Row],[Quantité restante dans la cuve
(si remplissage, valeur 
avant le plein)]]+Tableau12[[#This Row],[Remplissage / 
Quantité remise]])</f>
        <v/>
      </c>
      <c r="E150" s="236" t="str">
        <f t="shared" si="8"/>
        <v/>
      </c>
      <c r="F150" s="289" t="str">
        <f t="shared" si="9"/>
        <v/>
      </c>
      <c r="G150" s="290" t="str">
        <f t="shared" si="10"/>
        <v/>
      </c>
      <c r="H150" s="290"/>
      <c r="I150" s="243"/>
      <c r="J150" s="238" t="str">
        <f t="shared" si="11"/>
        <v>Saisie ok</v>
      </c>
    </row>
    <row r="151" spans="1:10">
      <c r="A151" s="284"/>
      <c r="B151" s="285"/>
      <c r="C151" s="285"/>
      <c r="D151" s="506" t="str">
        <f>IF(Tableau12[[#This Row],[Quantité restante dans la cuve
(si remplissage, valeur 
avant le plein)]]&lt;=0,"",Tableau12[[#This Row],[Quantité restante dans la cuve
(si remplissage, valeur 
avant le plein)]]+Tableau12[[#This Row],[Remplissage / 
Quantité remise]])</f>
        <v/>
      </c>
      <c r="E151" s="236" t="str">
        <f t="shared" si="8"/>
        <v/>
      </c>
      <c r="F151" s="289" t="str">
        <f t="shared" si="9"/>
        <v/>
      </c>
      <c r="G151" s="290" t="str">
        <f t="shared" si="10"/>
        <v/>
      </c>
      <c r="H151" s="290"/>
      <c r="I151" s="243"/>
      <c r="J151" s="238" t="str">
        <f t="shared" si="11"/>
        <v>Saisie ok</v>
      </c>
    </row>
    <row r="152" spans="1:10">
      <c r="A152" s="284"/>
      <c r="B152" s="285"/>
      <c r="C152" s="285"/>
      <c r="D152" s="506" t="str">
        <f>IF(Tableau12[[#This Row],[Quantité restante dans la cuve
(si remplissage, valeur 
avant le plein)]]&lt;=0,"",Tableau12[[#This Row],[Quantité restante dans la cuve
(si remplissage, valeur 
avant le plein)]]+Tableau12[[#This Row],[Remplissage / 
Quantité remise]])</f>
        <v/>
      </c>
      <c r="E152" s="236" t="str">
        <f t="shared" si="8"/>
        <v/>
      </c>
      <c r="F152" s="289" t="str">
        <f t="shared" si="9"/>
        <v/>
      </c>
      <c r="G152" s="290" t="str">
        <f t="shared" si="10"/>
        <v/>
      </c>
      <c r="H152" s="290"/>
      <c r="I152" s="243"/>
      <c r="J152" s="238" t="str">
        <f t="shared" si="11"/>
        <v>Saisie ok</v>
      </c>
    </row>
    <row r="153" spans="1:10">
      <c r="A153" s="284"/>
      <c r="B153" s="285"/>
      <c r="C153" s="285"/>
      <c r="D153" s="506" t="str">
        <f>IF(Tableau12[[#This Row],[Quantité restante dans la cuve
(si remplissage, valeur 
avant le plein)]]&lt;=0,"",Tableau12[[#This Row],[Quantité restante dans la cuve
(si remplissage, valeur 
avant le plein)]]+Tableau12[[#This Row],[Remplissage / 
Quantité remise]])</f>
        <v/>
      </c>
      <c r="E153" s="236" t="str">
        <f t="shared" si="8"/>
        <v/>
      </c>
      <c r="F153" s="289" t="str">
        <f t="shared" si="9"/>
        <v/>
      </c>
      <c r="G153" s="290" t="str">
        <f t="shared" si="10"/>
        <v/>
      </c>
      <c r="H153" s="290"/>
      <c r="I153" s="243"/>
      <c r="J153" s="238" t="str">
        <f t="shared" si="11"/>
        <v>Saisie ok</v>
      </c>
    </row>
    <row r="154" spans="1:10">
      <c r="A154" s="284"/>
      <c r="B154" s="285"/>
      <c r="C154" s="285"/>
      <c r="D154" s="506" t="str">
        <f>IF(Tableau12[[#This Row],[Quantité restante dans la cuve
(si remplissage, valeur 
avant le plein)]]&lt;=0,"",Tableau12[[#This Row],[Quantité restante dans la cuve
(si remplissage, valeur 
avant le plein)]]+Tableau12[[#This Row],[Remplissage / 
Quantité remise]])</f>
        <v/>
      </c>
      <c r="E154" s="236" t="str">
        <f t="shared" si="8"/>
        <v/>
      </c>
      <c r="F154" s="289" t="str">
        <f t="shared" si="9"/>
        <v/>
      </c>
      <c r="G154" s="290" t="str">
        <f t="shared" si="10"/>
        <v/>
      </c>
      <c r="H154" s="290"/>
      <c r="I154" s="243"/>
      <c r="J154" s="238" t="str">
        <f t="shared" si="11"/>
        <v>Saisie ok</v>
      </c>
    </row>
    <row r="155" spans="1:10">
      <c r="A155" s="284"/>
      <c r="B155" s="285"/>
      <c r="C155" s="285"/>
      <c r="D155" s="506" t="str">
        <f>IF(Tableau12[[#This Row],[Quantité restante dans la cuve
(si remplissage, valeur 
avant le plein)]]&lt;=0,"",Tableau12[[#This Row],[Quantité restante dans la cuve
(si remplissage, valeur 
avant le plein)]]+Tableau12[[#This Row],[Remplissage / 
Quantité remise]])</f>
        <v/>
      </c>
      <c r="E155" s="236" t="str">
        <f t="shared" si="8"/>
        <v/>
      </c>
      <c r="F155" s="289" t="str">
        <f t="shared" si="9"/>
        <v/>
      </c>
      <c r="G155" s="290" t="str">
        <f t="shared" si="10"/>
        <v/>
      </c>
      <c r="H155" s="290"/>
      <c r="I155" s="243"/>
      <c r="J155" s="238" t="str">
        <f t="shared" si="11"/>
        <v>Saisie ok</v>
      </c>
    </row>
    <row r="156" spans="1:10">
      <c r="A156" s="284"/>
      <c r="B156" s="285"/>
      <c r="C156" s="285"/>
      <c r="D156" s="506" t="str">
        <f>IF(Tableau12[[#This Row],[Quantité restante dans la cuve
(si remplissage, valeur 
avant le plein)]]&lt;=0,"",Tableau12[[#This Row],[Quantité restante dans la cuve
(si remplissage, valeur 
avant le plein)]]+Tableau12[[#This Row],[Remplissage / 
Quantité remise]])</f>
        <v/>
      </c>
      <c r="E156" s="236" t="str">
        <f t="shared" si="8"/>
        <v/>
      </c>
      <c r="F156" s="289" t="str">
        <f t="shared" si="9"/>
        <v/>
      </c>
      <c r="G156" s="290" t="str">
        <f t="shared" si="10"/>
        <v/>
      </c>
      <c r="H156" s="290"/>
      <c r="I156" s="243"/>
      <c r="J156" s="238" t="str">
        <f t="shared" si="11"/>
        <v>Saisie ok</v>
      </c>
    </row>
    <row r="157" spans="1:10">
      <c r="A157" s="284"/>
      <c r="B157" s="285"/>
      <c r="C157" s="285"/>
      <c r="D157" s="506" t="str">
        <f>IF(Tableau12[[#This Row],[Quantité restante dans la cuve
(si remplissage, valeur 
avant le plein)]]&lt;=0,"",Tableau12[[#This Row],[Quantité restante dans la cuve
(si remplissage, valeur 
avant le plein)]]+Tableau12[[#This Row],[Remplissage / 
Quantité remise]])</f>
        <v/>
      </c>
      <c r="E157" s="236" t="str">
        <f t="shared" si="8"/>
        <v/>
      </c>
      <c r="F157" s="289" t="str">
        <f t="shared" si="9"/>
        <v/>
      </c>
      <c r="G157" s="290" t="str">
        <f t="shared" si="10"/>
        <v/>
      </c>
      <c r="H157" s="290"/>
      <c r="I157" s="243"/>
      <c r="J157" s="238" t="str">
        <f t="shared" si="11"/>
        <v>Saisie ok</v>
      </c>
    </row>
    <row r="158" spans="1:10">
      <c r="A158" s="284"/>
      <c r="B158" s="285"/>
      <c r="C158" s="285"/>
      <c r="D158" s="506" t="str">
        <f>IF(Tableau12[[#This Row],[Quantité restante dans la cuve
(si remplissage, valeur 
avant le plein)]]&lt;=0,"",Tableau12[[#This Row],[Quantité restante dans la cuve
(si remplissage, valeur 
avant le plein)]]+Tableau12[[#This Row],[Remplissage / 
Quantité remise]])</f>
        <v/>
      </c>
      <c r="E158" s="236" t="str">
        <f t="shared" si="8"/>
        <v/>
      </c>
      <c r="F158" s="289" t="str">
        <f t="shared" si="9"/>
        <v/>
      </c>
      <c r="G158" s="290" t="str">
        <f t="shared" si="10"/>
        <v/>
      </c>
      <c r="H158" s="290"/>
      <c r="I158" s="243"/>
      <c r="J158" s="238" t="str">
        <f t="shared" si="11"/>
        <v>Saisie ok</v>
      </c>
    </row>
    <row r="159" spans="1:10">
      <c r="A159" s="284"/>
      <c r="B159" s="285"/>
      <c r="C159" s="285"/>
      <c r="D159" s="506" t="str">
        <f>IF(Tableau12[[#This Row],[Quantité restante dans la cuve
(si remplissage, valeur 
avant le plein)]]&lt;=0,"",Tableau12[[#This Row],[Quantité restante dans la cuve
(si remplissage, valeur 
avant le plein)]]+Tableau12[[#This Row],[Remplissage / 
Quantité remise]])</f>
        <v/>
      </c>
      <c r="E159" s="236" t="str">
        <f t="shared" si="8"/>
        <v/>
      </c>
      <c r="F159" s="289" t="str">
        <f t="shared" si="9"/>
        <v/>
      </c>
      <c r="G159" s="290" t="str">
        <f t="shared" si="10"/>
        <v/>
      </c>
      <c r="H159" s="290"/>
      <c r="I159" s="243"/>
      <c r="J159" s="238" t="str">
        <f t="shared" si="11"/>
        <v>Saisie ok</v>
      </c>
    </row>
    <row r="160" spans="1:10">
      <c r="A160" s="284"/>
      <c r="B160" s="285"/>
      <c r="C160" s="285"/>
      <c r="D160" s="506" t="str">
        <f>IF(Tableau12[[#This Row],[Quantité restante dans la cuve
(si remplissage, valeur 
avant le plein)]]&lt;=0,"",Tableau12[[#This Row],[Quantité restante dans la cuve
(si remplissage, valeur 
avant le plein)]]+Tableau12[[#This Row],[Remplissage / 
Quantité remise]])</f>
        <v/>
      </c>
      <c r="E160" s="236" t="str">
        <f t="shared" si="8"/>
        <v/>
      </c>
      <c r="F160" s="289" t="str">
        <f t="shared" si="9"/>
        <v/>
      </c>
      <c r="G160" s="290" t="str">
        <f t="shared" si="10"/>
        <v/>
      </c>
      <c r="H160" s="290"/>
      <c r="I160" s="243"/>
      <c r="J160" s="238" t="str">
        <f t="shared" si="11"/>
        <v>Saisie ok</v>
      </c>
    </row>
    <row r="161" spans="1:10">
      <c r="A161" s="284"/>
      <c r="B161" s="285"/>
      <c r="C161" s="285"/>
      <c r="D161" s="506" t="str">
        <f>IF(Tableau12[[#This Row],[Quantité restante dans la cuve
(si remplissage, valeur 
avant le plein)]]&lt;=0,"",Tableau12[[#This Row],[Quantité restante dans la cuve
(si remplissage, valeur 
avant le plein)]]+Tableau12[[#This Row],[Remplissage / 
Quantité remise]])</f>
        <v/>
      </c>
      <c r="E161" s="236" t="str">
        <f t="shared" si="8"/>
        <v/>
      </c>
      <c r="F161" s="289" t="str">
        <f t="shared" si="9"/>
        <v/>
      </c>
      <c r="G161" s="290" t="str">
        <f t="shared" si="10"/>
        <v/>
      </c>
      <c r="H161" s="290"/>
      <c r="I161" s="243"/>
      <c r="J161" s="238" t="str">
        <f t="shared" si="11"/>
        <v>Saisie ok</v>
      </c>
    </row>
    <row r="162" spans="1:10">
      <c r="A162" s="284"/>
      <c r="B162" s="285"/>
      <c r="C162" s="285"/>
      <c r="D162" s="506" t="str">
        <f>IF(Tableau12[[#This Row],[Quantité restante dans la cuve
(si remplissage, valeur 
avant le plein)]]&lt;=0,"",Tableau12[[#This Row],[Quantité restante dans la cuve
(si remplissage, valeur 
avant le plein)]]+Tableau12[[#This Row],[Remplissage / 
Quantité remise]])</f>
        <v/>
      </c>
      <c r="E162" s="236" t="str">
        <f t="shared" si="8"/>
        <v/>
      </c>
      <c r="F162" s="289" t="str">
        <f t="shared" si="9"/>
        <v/>
      </c>
      <c r="G162" s="290" t="str">
        <f t="shared" si="10"/>
        <v/>
      </c>
      <c r="H162" s="290"/>
      <c r="I162" s="243"/>
      <c r="J162" s="238" t="str">
        <f t="shared" si="11"/>
        <v>Saisie ok</v>
      </c>
    </row>
    <row r="163" spans="1:10">
      <c r="A163" s="284"/>
      <c r="B163" s="285"/>
      <c r="C163" s="285"/>
      <c r="D163" s="506" t="str">
        <f>IF(Tableau12[[#This Row],[Quantité restante dans la cuve
(si remplissage, valeur 
avant le plein)]]&lt;=0,"",Tableau12[[#This Row],[Quantité restante dans la cuve
(si remplissage, valeur 
avant le plein)]]+Tableau12[[#This Row],[Remplissage / 
Quantité remise]])</f>
        <v/>
      </c>
      <c r="E163" s="236" t="str">
        <f t="shared" si="8"/>
        <v/>
      </c>
      <c r="F163" s="289" t="str">
        <f t="shared" si="9"/>
        <v/>
      </c>
      <c r="G163" s="290" t="str">
        <f t="shared" si="10"/>
        <v/>
      </c>
      <c r="H163" s="290"/>
      <c r="I163" s="243"/>
      <c r="J163" s="238" t="str">
        <f t="shared" si="11"/>
        <v>Saisie ok</v>
      </c>
    </row>
    <row r="164" spans="1:10">
      <c r="A164" s="284"/>
      <c r="B164" s="285"/>
      <c r="C164" s="285"/>
      <c r="D164" s="506" t="str">
        <f>IF(Tableau12[[#This Row],[Quantité restante dans la cuve
(si remplissage, valeur 
avant le plein)]]&lt;=0,"",Tableau12[[#This Row],[Quantité restante dans la cuve
(si remplissage, valeur 
avant le plein)]]+Tableau12[[#This Row],[Remplissage / 
Quantité remise]])</f>
        <v/>
      </c>
      <c r="E164" s="236" t="str">
        <f t="shared" si="8"/>
        <v/>
      </c>
      <c r="F164" s="289" t="str">
        <f t="shared" si="9"/>
        <v/>
      </c>
      <c r="G164" s="290" t="str">
        <f t="shared" si="10"/>
        <v/>
      </c>
      <c r="H164" s="290"/>
      <c r="I164" s="243"/>
      <c r="J164" s="238" t="str">
        <f t="shared" si="11"/>
        <v>Saisie ok</v>
      </c>
    </row>
    <row r="165" spans="1:10">
      <c r="A165" s="284"/>
      <c r="B165" s="285"/>
      <c r="C165" s="285"/>
      <c r="D165" s="506" t="str">
        <f>IF(Tableau12[[#This Row],[Quantité restante dans la cuve
(si remplissage, valeur 
avant le plein)]]&lt;=0,"",Tableau12[[#This Row],[Quantité restante dans la cuve
(si remplissage, valeur 
avant le plein)]]+Tableau12[[#This Row],[Remplissage / 
Quantité remise]])</f>
        <v/>
      </c>
      <c r="E165" s="236" t="str">
        <f t="shared" si="8"/>
        <v/>
      </c>
      <c r="F165" s="289" t="str">
        <f t="shared" si="9"/>
        <v/>
      </c>
      <c r="G165" s="290" t="str">
        <f t="shared" si="10"/>
        <v/>
      </c>
      <c r="H165" s="290"/>
      <c r="I165" s="243"/>
      <c r="J165" s="238" t="str">
        <f t="shared" si="11"/>
        <v>Saisie ok</v>
      </c>
    </row>
    <row r="166" spans="1:10">
      <c r="A166" s="284"/>
      <c r="B166" s="285"/>
      <c r="C166" s="285"/>
      <c r="D166" s="506" t="str">
        <f>IF(Tableau12[[#This Row],[Quantité restante dans la cuve
(si remplissage, valeur 
avant le plein)]]&lt;=0,"",Tableau12[[#This Row],[Quantité restante dans la cuve
(si remplissage, valeur 
avant le plein)]]+Tableau12[[#This Row],[Remplissage / 
Quantité remise]])</f>
        <v/>
      </c>
      <c r="E166" s="236" t="str">
        <f t="shared" si="8"/>
        <v/>
      </c>
      <c r="F166" s="289" t="str">
        <f t="shared" si="9"/>
        <v/>
      </c>
      <c r="G166" s="290" t="str">
        <f t="shared" si="10"/>
        <v/>
      </c>
      <c r="H166" s="290"/>
      <c r="I166" s="243"/>
      <c r="J166" s="238" t="str">
        <f t="shared" si="11"/>
        <v>Saisie ok</v>
      </c>
    </row>
    <row r="167" spans="1:10">
      <c r="A167" s="284"/>
      <c r="B167" s="285"/>
      <c r="C167" s="285"/>
      <c r="D167" s="506" t="str">
        <f>IF(Tableau12[[#This Row],[Quantité restante dans la cuve
(si remplissage, valeur 
avant le plein)]]&lt;=0,"",Tableau12[[#This Row],[Quantité restante dans la cuve
(si remplissage, valeur 
avant le plein)]]+Tableau12[[#This Row],[Remplissage / 
Quantité remise]])</f>
        <v/>
      </c>
      <c r="E167" s="236" t="str">
        <f t="shared" si="8"/>
        <v/>
      </c>
      <c r="F167" s="289" t="str">
        <f t="shared" si="9"/>
        <v/>
      </c>
      <c r="G167" s="290" t="str">
        <f t="shared" si="10"/>
        <v/>
      </c>
      <c r="H167" s="290"/>
      <c r="I167" s="243"/>
      <c r="J167" s="238" t="str">
        <f t="shared" si="11"/>
        <v>Saisie ok</v>
      </c>
    </row>
    <row r="168" spans="1:10">
      <c r="A168" s="284"/>
      <c r="B168" s="285"/>
      <c r="C168" s="285"/>
      <c r="D168" s="506" t="str">
        <f>IF(Tableau12[[#This Row],[Quantité restante dans la cuve
(si remplissage, valeur 
avant le plein)]]&lt;=0,"",Tableau12[[#This Row],[Quantité restante dans la cuve
(si remplissage, valeur 
avant le plein)]]+Tableau12[[#This Row],[Remplissage / 
Quantité remise]])</f>
        <v/>
      </c>
      <c r="E168" s="236" t="str">
        <f t="shared" si="8"/>
        <v/>
      </c>
      <c r="F168" s="289" t="str">
        <f t="shared" si="9"/>
        <v/>
      </c>
      <c r="G168" s="290" t="str">
        <f t="shared" si="10"/>
        <v/>
      </c>
      <c r="H168" s="290"/>
      <c r="I168" s="243"/>
      <c r="J168" s="238" t="str">
        <f t="shared" si="11"/>
        <v>Saisie ok</v>
      </c>
    </row>
    <row r="169" spans="1:10">
      <c r="A169" s="284"/>
      <c r="B169" s="285"/>
      <c r="C169" s="285"/>
      <c r="D169" s="506" t="str">
        <f>IF(Tableau12[[#This Row],[Quantité restante dans la cuve
(si remplissage, valeur 
avant le plein)]]&lt;=0,"",Tableau12[[#This Row],[Quantité restante dans la cuve
(si remplissage, valeur 
avant le plein)]]+Tableau12[[#This Row],[Remplissage / 
Quantité remise]])</f>
        <v/>
      </c>
      <c r="E169" s="236" t="str">
        <f t="shared" si="8"/>
        <v/>
      </c>
      <c r="F169" s="289" t="str">
        <f t="shared" si="9"/>
        <v/>
      </c>
      <c r="G169" s="290" t="str">
        <f t="shared" si="10"/>
        <v/>
      </c>
      <c r="H169" s="290"/>
      <c r="I169" s="435"/>
      <c r="J169" s="238" t="str">
        <f t="shared" si="11"/>
        <v>Saisie ok</v>
      </c>
    </row>
    <row r="170" spans="1:10">
      <c r="A170" s="284"/>
      <c r="B170" s="285"/>
      <c r="C170" s="285"/>
      <c r="D170" s="506" t="str">
        <f>IF(Tableau12[[#This Row],[Quantité restante dans la cuve
(si remplissage, valeur 
avant le plein)]]&lt;=0,"",Tableau12[[#This Row],[Quantité restante dans la cuve
(si remplissage, valeur 
avant le plein)]]+Tableau12[[#This Row],[Remplissage / 
Quantité remise]])</f>
        <v/>
      </c>
      <c r="E170" s="236" t="str">
        <f t="shared" si="8"/>
        <v/>
      </c>
      <c r="F170" s="289" t="str">
        <f t="shared" si="9"/>
        <v/>
      </c>
      <c r="G170" s="290" t="str">
        <f t="shared" si="10"/>
        <v/>
      </c>
      <c r="H170" s="290"/>
      <c r="I170" s="243"/>
      <c r="J170" s="238" t="str">
        <f t="shared" si="11"/>
        <v>Saisie ok</v>
      </c>
    </row>
    <row r="171" spans="1:10">
      <c r="A171" s="284"/>
      <c r="B171" s="285"/>
      <c r="C171" s="285"/>
      <c r="D171" s="506" t="str">
        <f>IF(Tableau12[[#This Row],[Quantité restante dans la cuve
(si remplissage, valeur 
avant le plein)]]&lt;=0,"",Tableau12[[#This Row],[Quantité restante dans la cuve
(si remplissage, valeur 
avant le plein)]]+Tableau12[[#This Row],[Remplissage / 
Quantité remise]])</f>
        <v/>
      </c>
      <c r="E171" s="236" t="str">
        <f t="shared" si="8"/>
        <v/>
      </c>
      <c r="F171" s="289" t="str">
        <f t="shared" si="9"/>
        <v/>
      </c>
      <c r="G171" s="290" t="str">
        <f t="shared" si="10"/>
        <v/>
      </c>
      <c r="H171" s="290"/>
      <c r="I171" s="243"/>
      <c r="J171" s="238" t="str">
        <f t="shared" si="11"/>
        <v>Saisie ok</v>
      </c>
    </row>
    <row r="172" spans="1:10">
      <c r="A172" s="284"/>
      <c r="B172" s="285"/>
      <c r="C172" s="285"/>
      <c r="D172" s="506" t="str">
        <f>IF(Tableau12[[#This Row],[Quantité restante dans la cuve
(si remplissage, valeur 
avant le plein)]]&lt;=0,"",Tableau12[[#This Row],[Quantité restante dans la cuve
(si remplissage, valeur 
avant le plein)]]+Tableau12[[#This Row],[Remplissage / 
Quantité remise]])</f>
        <v/>
      </c>
      <c r="E172" s="236" t="str">
        <f t="shared" si="8"/>
        <v/>
      </c>
      <c r="F172" s="289" t="str">
        <f t="shared" si="9"/>
        <v/>
      </c>
      <c r="G172" s="290" t="str">
        <f t="shared" si="10"/>
        <v/>
      </c>
      <c r="H172" s="290"/>
      <c r="I172" s="243"/>
      <c r="J172" s="238" t="str">
        <f t="shared" si="11"/>
        <v>Saisie ok</v>
      </c>
    </row>
    <row r="173" spans="1:10">
      <c r="A173" s="284"/>
      <c r="B173" s="285"/>
      <c r="C173" s="285"/>
      <c r="D173" s="506" t="str">
        <f>IF(Tableau12[[#This Row],[Quantité restante dans la cuve
(si remplissage, valeur 
avant le plein)]]&lt;=0,"",Tableau12[[#This Row],[Quantité restante dans la cuve
(si remplissage, valeur 
avant le plein)]]+Tableau12[[#This Row],[Remplissage / 
Quantité remise]])</f>
        <v/>
      </c>
      <c r="E173" s="236" t="str">
        <f t="shared" si="8"/>
        <v/>
      </c>
      <c r="F173" s="289" t="str">
        <f t="shared" si="9"/>
        <v/>
      </c>
      <c r="G173" s="290" t="str">
        <f t="shared" si="10"/>
        <v/>
      </c>
      <c r="H173" s="290"/>
      <c r="I173" s="243"/>
      <c r="J173" s="238" t="str">
        <f t="shared" si="11"/>
        <v>Saisie ok</v>
      </c>
    </row>
    <row r="174" spans="1:10">
      <c r="A174" s="284"/>
      <c r="B174" s="285"/>
      <c r="C174" s="285"/>
      <c r="D174" s="506" t="str">
        <f>IF(Tableau12[[#This Row],[Quantité restante dans la cuve
(si remplissage, valeur 
avant le plein)]]&lt;=0,"",Tableau12[[#This Row],[Quantité restante dans la cuve
(si remplissage, valeur 
avant le plein)]]+Tableau12[[#This Row],[Remplissage / 
Quantité remise]])</f>
        <v/>
      </c>
      <c r="E174" s="236" t="str">
        <f t="shared" si="8"/>
        <v/>
      </c>
      <c r="F174" s="289" t="str">
        <f t="shared" si="9"/>
        <v/>
      </c>
      <c r="G174" s="290" t="str">
        <f t="shared" si="10"/>
        <v/>
      </c>
      <c r="H174" s="290"/>
      <c r="I174" s="243"/>
      <c r="J174" s="238" t="str">
        <f t="shared" si="11"/>
        <v>Saisie ok</v>
      </c>
    </row>
    <row r="175" spans="1:10">
      <c r="A175" s="284"/>
      <c r="B175" s="285"/>
      <c r="C175" s="285"/>
      <c r="D175" s="506" t="str">
        <f>IF(Tableau12[[#This Row],[Quantité restante dans la cuve
(si remplissage, valeur 
avant le plein)]]&lt;=0,"",Tableau12[[#This Row],[Quantité restante dans la cuve
(si remplissage, valeur 
avant le plein)]]+Tableau12[[#This Row],[Remplissage / 
Quantité remise]])</f>
        <v/>
      </c>
      <c r="E175" s="236" t="str">
        <f t="shared" si="8"/>
        <v/>
      </c>
      <c r="F175" s="289" t="str">
        <f t="shared" si="9"/>
        <v/>
      </c>
      <c r="G175" s="290" t="str">
        <f t="shared" si="10"/>
        <v/>
      </c>
      <c r="H175" s="290"/>
      <c r="I175" s="243"/>
      <c r="J175" s="238" t="str">
        <f t="shared" si="11"/>
        <v>Saisie ok</v>
      </c>
    </row>
    <row r="176" spans="1:10">
      <c r="A176" s="284"/>
      <c r="B176" s="285"/>
      <c r="C176" s="285"/>
      <c r="D176" s="506" t="str">
        <f>IF(Tableau12[[#This Row],[Quantité restante dans la cuve
(si remplissage, valeur 
avant le plein)]]&lt;=0,"",Tableau12[[#This Row],[Quantité restante dans la cuve
(si remplissage, valeur 
avant le plein)]]+Tableau12[[#This Row],[Remplissage / 
Quantité remise]])</f>
        <v/>
      </c>
      <c r="E176" s="236" t="str">
        <f t="shared" si="8"/>
        <v/>
      </c>
      <c r="F176" s="289" t="str">
        <f t="shared" si="9"/>
        <v/>
      </c>
      <c r="G176" s="290" t="str">
        <f t="shared" si="10"/>
        <v/>
      </c>
      <c r="H176" s="290"/>
      <c r="I176" s="243"/>
      <c r="J176" s="238" t="str">
        <f t="shared" si="11"/>
        <v>Saisie ok</v>
      </c>
    </row>
    <row r="177" spans="1:10">
      <c r="A177" s="284"/>
      <c r="B177" s="285"/>
      <c r="C177" s="285"/>
      <c r="D177" s="506" t="str">
        <f>IF(Tableau12[[#This Row],[Quantité restante dans la cuve
(si remplissage, valeur 
avant le plein)]]&lt;=0,"",Tableau12[[#This Row],[Quantité restante dans la cuve
(si remplissage, valeur 
avant le plein)]]+Tableau12[[#This Row],[Remplissage / 
Quantité remise]])</f>
        <v/>
      </c>
      <c r="E177" s="236" t="str">
        <f t="shared" si="8"/>
        <v/>
      </c>
      <c r="F177" s="289" t="str">
        <f t="shared" si="9"/>
        <v/>
      </c>
      <c r="G177" s="290" t="str">
        <f t="shared" si="10"/>
        <v/>
      </c>
      <c r="H177" s="290"/>
      <c r="I177" s="243"/>
      <c r="J177" s="238" t="str">
        <f t="shared" si="11"/>
        <v>Saisie ok</v>
      </c>
    </row>
    <row r="178" spans="1:10">
      <c r="A178" s="284"/>
      <c r="B178" s="285"/>
      <c r="C178" s="285"/>
      <c r="D178" s="506" t="str">
        <f>IF(Tableau12[[#This Row],[Quantité restante dans la cuve
(si remplissage, valeur 
avant le plein)]]&lt;=0,"",Tableau12[[#This Row],[Quantité restante dans la cuve
(si remplissage, valeur 
avant le plein)]]+Tableau12[[#This Row],[Remplissage / 
Quantité remise]])</f>
        <v/>
      </c>
      <c r="E178" s="236" t="str">
        <f t="shared" si="8"/>
        <v/>
      </c>
      <c r="F178" s="289" t="str">
        <f t="shared" si="9"/>
        <v/>
      </c>
      <c r="G178" s="290" t="str">
        <f t="shared" si="10"/>
        <v/>
      </c>
      <c r="H178" s="290"/>
      <c r="I178" s="243"/>
      <c r="J178" s="238" t="str">
        <f t="shared" si="11"/>
        <v>Saisie ok</v>
      </c>
    </row>
    <row r="179" spans="1:10">
      <c r="A179" s="284"/>
      <c r="B179" s="285"/>
      <c r="C179" s="285"/>
      <c r="D179" s="506" t="str">
        <f>IF(Tableau12[[#This Row],[Quantité restante dans la cuve
(si remplissage, valeur 
avant le plein)]]&lt;=0,"",Tableau12[[#This Row],[Quantité restante dans la cuve
(si remplissage, valeur 
avant le plein)]]+Tableau12[[#This Row],[Remplissage / 
Quantité remise]])</f>
        <v/>
      </c>
      <c r="E179" s="236" t="str">
        <f t="shared" si="8"/>
        <v/>
      </c>
      <c r="F179" s="289" t="str">
        <f t="shared" si="9"/>
        <v/>
      </c>
      <c r="G179" s="290" t="str">
        <f t="shared" si="10"/>
        <v/>
      </c>
      <c r="H179" s="290"/>
      <c r="I179" s="243"/>
      <c r="J179" s="238" t="str">
        <f t="shared" si="11"/>
        <v>Saisie ok</v>
      </c>
    </row>
    <row r="180" spans="1:10">
      <c r="A180" s="284"/>
      <c r="B180" s="285"/>
      <c r="C180" s="285"/>
      <c r="D180" s="506" t="str">
        <f>IF(Tableau12[[#This Row],[Quantité restante dans la cuve
(si remplissage, valeur 
avant le plein)]]&lt;=0,"",Tableau12[[#This Row],[Quantité restante dans la cuve
(si remplissage, valeur 
avant le plein)]]+Tableau12[[#This Row],[Remplissage / 
Quantité remise]])</f>
        <v/>
      </c>
      <c r="E180" s="236" t="str">
        <f t="shared" si="8"/>
        <v/>
      </c>
      <c r="F180" s="289" t="str">
        <f t="shared" si="9"/>
        <v/>
      </c>
      <c r="G180" s="290" t="str">
        <f t="shared" si="10"/>
        <v/>
      </c>
      <c r="H180" s="290"/>
      <c r="I180" s="243"/>
      <c r="J180" s="238" t="str">
        <f t="shared" si="11"/>
        <v>Saisie ok</v>
      </c>
    </row>
    <row r="181" spans="1:10">
      <c r="A181" s="284"/>
      <c r="B181" s="285"/>
      <c r="C181" s="285"/>
      <c r="D181" s="506" t="str">
        <f>IF(Tableau12[[#This Row],[Quantité restante dans la cuve
(si remplissage, valeur 
avant le plein)]]&lt;=0,"",Tableau12[[#This Row],[Quantité restante dans la cuve
(si remplissage, valeur 
avant le plein)]]+Tableau12[[#This Row],[Remplissage / 
Quantité remise]])</f>
        <v/>
      </c>
      <c r="E181" s="236" t="str">
        <f t="shared" si="8"/>
        <v/>
      </c>
      <c r="F181" s="289" t="str">
        <f t="shared" si="9"/>
        <v/>
      </c>
      <c r="G181" s="290" t="str">
        <f t="shared" si="10"/>
        <v/>
      </c>
      <c r="H181" s="290"/>
      <c r="I181" s="243"/>
      <c r="J181" s="238" t="str">
        <f t="shared" si="11"/>
        <v>Saisie ok</v>
      </c>
    </row>
    <row r="182" spans="1:10">
      <c r="A182" s="284"/>
      <c r="B182" s="285"/>
      <c r="C182" s="285"/>
      <c r="D182" s="506" t="str">
        <f>IF(Tableau12[[#This Row],[Quantité restante dans la cuve
(si remplissage, valeur 
avant le plein)]]&lt;=0,"",Tableau12[[#This Row],[Quantité restante dans la cuve
(si remplissage, valeur 
avant le plein)]]+Tableau12[[#This Row],[Remplissage / 
Quantité remise]])</f>
        <v/>
      </c>
      <c r="E182" s="236" t="str">
        <f t="shared" si="8"/>
        <v/>
      </c>
      <c r="F182" s="289" t="str">
        <f t="shared" si="9"/>
        <v/>
      </c>
      <c r="G182" s="290" t="str">
        <f t="shared" si="10"/>
        <v/>
      </c>
      <c r="H182" s="290"/>
      <c r="I182" s="243"/>
      <c r="J182" s="238" t="str">
        <f t="shared" si="11"/>
        <v>Saisie ok</v>
      </c>
    </row>
    <row r="183" spans="1:10">
      <c r="A183" s="284"/>
      <c r="B183" s="285"/>
      <c r="C183" s="285"/>
      <c r="D183" s="506" t="str">
        <f>IF(Tableau12[[#This Row],[Quantité restante dans la cuve
(si remplissage, valeur 
avant le plein)]]&lt;=0,"",Tableau12[[#This Row],[Quantité restante dans la cuve
(si remplissage, valeur 
avant le plein)]]+Tableau12[[#This Row],[Remplissage / 
Quantité remise]])</f>
        <v/>
      </c>
      <c r="E183" s="236" t="str">
        <f t="shared" si="8"/>
        <v/>
      </c>
      <c r="F183" s="289" t="str">
        <f t="shared" si="9"/>
        <v/>
      </c>
      <c r="G183" s="290" t="str">
        <f t="shared" si="10"/>
        <v/>
      </c>
      <c r="H183" s="290"/>
      <c r="I183" s="243"/>
      <c r="J183" s="238" t="str">
        <f t="shared" si="11"/>
        <v>Saisie ok</v>
      </c>
    </row>
    <row r="184" spans="1:10">
      <c r="A184" s="284"/>
      <c r="B184" s="285"/>
      <c r="C184" s="285"/>
      <c r="D184" s="506" t="str">
        <f>IF(Tableau12[[#This Row],[Quantité restante dans la cuve
(si remplissage, valeur 
avant le plein)]]&lt;=0,"",Tableau12[[#This Row],[Quantité restante dans la cuve
(si remplissage, valeur 
avant le plein)]]+Tableau12[[#This Row],[Remplissage / 
Quantité remise]])</f>
        <v/>
      </c>
      <c r="E184" s="236" t="str">
        <f t="shared" si="8"/>
        <v/>
      </c>
      <c r="F184" s="289" t="str">
        <f t="shared" si="9"/>
        <v/>
      </c>
      <c r="G184" s="290" t="str">
        <f t="shared" si="10"/>
        <v/>
      </c>
      <c r="H184" s="290"/>
      <c r="I184" s="243"/>
      <c r="J184" s="238" t="str">
        <f t="shared" si="11"/>
        <v>Saisie ok</v>
      </c>
    </row>
    <row r="185" spans="1:10">
      <c r="A185" s="284"/>
      <c r="B185" s="285"/>
      <c r="C185" s="285"/>
      <c r="D185" s="506" t="str">
        <f>IF(Tableau12[[#This Row],[Quantité restante dans la cuve
(si remplissage, valeur 
avant le plein)]]&lt;=0,"",Tableau12[[#This Row],[Quantité restante dans la cuve
(si remplissage, valeur 
avant le plein)]]+Tableau12[[#This Row],[Remplissage / 
Quantité remise]])</f>
        <v/>
      </c>
      <c r="E185" s="236" t="str">
        <f t="shared" si="8"/>
        <v/>
      </c>
      <c r="F185" s="289" t="str">
        <f t="shared" si="9"/>
        <v/>
      </c>
      <c r="G185" s="290" t="str">
        <f t="shared" si="10"/>
        <v/>
      </c>
      <c r="H185" s="290"/>
      <c r="I185" s="243"/>
      <c r="J185" s="238" t="str">
        <f t="shared" si="11"/>
        <v>Saisie ok</v>
      </c>
    </row>
    <row r="186" spans="1:10">
      <c r="A186" s="284"/>
      <c r="B186" s="285"/>
      <c r="C186" s="285"/>
      <c r="D186" s="506" t="str">
        <f>IF(Tableau12[[#This Row],[Quantité restante dans la cuve
(si remplissage, valeur 
avant le plein)]]&lt;=0,"",Tableau12[[#This Row],[Quantité restante dans la cuve
(si remplissage, valeur 
avant le plein)]]+Tableau12[[#This Row],[Remplissage / 
Quantité remise]])</f>
        <v/>
      </c>
      <c r="E186" s="236" t="str">
        <f t="shared" si="8"/>
        <v/>
      </c>
      <c r="F186" s="289" t="str">
        <f t="shared" si="9"/>
        <v/>
      </c>
      <c r="G186" s="290" t="str">
        <f t="shared" si="10"/>
        <v/>
      </c>
      <c r="H186" s="290"/>
      <c r="I186" s="243"/>
      <c r="J186" s="238" t="str">
        <f t="shared" si="11"/>
        <v>Saisie ok</v>
      </c>
    </row>
    <row r="187" spans="1:10">
      <c r="A187" s="284"/>
      <c r="B187" s="285"/>
      <c r="C187" s="285"/>
      <c r="D187" s="506" t="str">
        <f>IF(Tableau12[[#This Row],[Quantité restante dans la cuve
(si remplissage, valeur 
avant le plein)]]&lt;=0,"",Tableau12[[#This Row],[Quantité restante dans la cuve
(si remplissage, valeur 
avant le plein)]]+Tableau12[[#This Row],[Remplissage / 
Quantité remise]])</f>
        <v/>
      </c>
      <c r="E187" s="236" t="str">
        <f t="shared" si="8"/>
        <v/>
      </c>
      <c r="F187" s="289" t="str">
        <f t="shared" si="9"/>
        <v/>
      </c>
      <c r="G187" s="290" t="str">
        <f t="shared" si="10"/>
        <v/>
      </c>
      <c r="H187" s="290"/>
      <c r="I187" s="243"/>
      <c r="J187" s="238" t="str">
        <f t="shared" si="11"/>
        <v>Saisie ok</v>
      </c>
    </row>
    <row r="188" spans="1:10">
      <c r="A188" s="284"/>
      <c r="B188" s="285"/>
      <c r="C188" s="285"/>
      <c r="D188" s="506" t="str">
        <f>IF(Tableau12[[#This Row],[Quantité restante dans la cuve
(si remplissage, valeur 
avant le plein)]]&lt;=0,"",Tableau12[[#This Row],[Quantité restante dans la cuve
(si remplissage, valeur 
avant le plein)]]+Tableau12[[#This Row],[Remplissage / 
Quantité remise]])</f>
        <v/>
      </c>
      <c r="E188" s="236" t="str">
        <f t="shared" si="8"/>
        <v/>
      </c>
      <c r="F188" s="289" t="str">
        <f t="shared" si="9"/>
        <v/>
      </c>
      <c r="G188" s="290" t="str">
        <f t="shared" si="10"/>
        <v/>
      </c>
      <c r="H188" s="290"/>
      <c r="I188" s="243"/>
      <c r="J188" s="238" t="str">
        <f t="shared" si="11"/>
        <v>Saisie ok</v>
      </c>
    </row>
    <row r="189" spans="1:10">
      <c r="A189" s="284"/>
      <c r="B189" s="285"/>
      <c r="C189" s="285"/>
      <c r="D189" s="506" t="str">
        <f>IF(Tableau12[[#This Row],[Quantité restante dans la cuve
(si remplissage, valeur 
avant le plein)]]&lt;=0,"",Tableau12[[#This Row],[Quantité restante dans la cuve
(si remplissage, valeur 
avant le plein)]]+Tableau12[[#This Row],[Remplissage / 
Quantité remise]])</f>
        <v/>
      </c>
      <c r="E189" s="236" t="str">
        <f t="shared" si="8"/>
        <v/>
      </c>
      <c r="F189" s="289" t="str">
        <f t="shared" si="9"/>
        <v/>
      </c>
      <c r="G189" s="290" t="str">
        <f t="shared" si="10"/>
        <v/>
      </c>
      <c r="H189" s="290"/>
      <c r="I189" s="243"/>
      <c r="J189" s="238" t="str">
        <f t="shared" si="11"/>
        <v>Saisie ok</v>
      </c>
    </row>
    <row r="190" spans="1:10">
      <c r="A190" s="284"/>
      <c r="B190" s="285"/>
      <c r="C190" s="285"/>
      <c r="D190" s="506" t="str">
        <f>IF(Tableau12[[#This Row],[Quantité restante dans la cuve
(si remplissage, valeur 
avant le plein)]]&lt;=0,"",Tableau12[[#This Row],[Quantité restante dans la cuve
(si remplissage, valeur 
avant le plein)]]+Tableau12[[#This Row],[Remplissage / 
Quantité remise]])</f>
        <v/>
      </c>
      <c r="E190" s="236" t="str">
        <f t="shared" si="8"/>
        <v/>
      </c>
      <c r="F190" s="289" t="str">
        <f t="shared" si="9"/>
        <v/>
      </c>
      <c r="G190" s="290" t="str">
        <f t="shared" si="10"/>
        <v/>
      </c>
      <c r="H190" s="290"/>
      <c r="I190" s="243"/>
      <c r="J190" s="238" t="str">
        <f t="shared" si="11"/>
        <v>Saisie ok</v>
      </c>
    </row>
    <row r="191" spans="1:10">
      <c r="A191" s="284"/>
      <c r="B191" s="285"/>
      <c r="C191" s="285"/>
      <c r="D191" s="506" t="str">
        <f>IF(Tableau12[[#This Row],[Quantité restante dans la cuve
(si remplissage, valeur 
avant le plein)]]&lt;=0,"",Tableau12[[#This Row],[Quantité restante dans la cuve
(si remplissage, valeur 
avant le plein)]]+Tableau12[[#This Row],[Remplissage / 
Quantité remise]])</f>
        <v/>
      </c>
      <c r="E191" s="236" t="str">
        <f t="shared" si="8"/>
        <v/>
      </c>
      <c r="F191" s="289" t="str">
        <f t="shared" si="9"/>
        <v/>
      </c>
      <c r="G191" s="290" t="str">
        <f t="shared" si="10"/>
        <v/>
      </c>
      <c r="H191" s="290"/>
      <c r="I191" s="243"/>
      <c r="J191" s="238" t="str">
        <f t="shared" si="11"/>
        <v>Saisie ok</v>
      </c>
    </row>
    <row r="192" spans="1:10">
      <c r="A192" s="284"/>
      <c r="B192" s="285"/>
      <c r="C192" s="285"/>
      <c r="D192" s="506" t="str">
        <f>IF(Tableau12[[#This Row],[Quantité restante dans la cuve
(si remplissage, valeur 
avant le plein)]]&lt;=0,"",Tableau12[[#This Row],[Quantité restante dans la cuve
(si remplissage, valeur 
avant le plein)]]+Tableau12[[#This Row],[Remplissage / 
Quantité remise]])</f>
        <v/>
      </c>
      <c r="E192" s="236" t="str">
        <f t="shared" si="8"/>
        <v/>
      </c>
      <c r="F192" s="289" t="str">
        <f t="shared" si="9"/>
        <v/>
      </c>
      <c r="G192" s="290" t="str">
        <f t="shared" si="10"/>
        <v/>
      </c>
      <c r="H192" s="290"/>
      <c r="I192" s="243"/>
      <c r="J192" s="238" t="str">
        <f t="shared" si="11"/>
        <v>Saisie ok</v>
      </c>
    </row>
    <row r="193" spans="1:10">
      <c r="A193" s="284"/>
      <c r="B193" s="285"/>
      <c r="C193" s="285"/>
      <c r="D193" s="506" t="str">
        <f>IF(Tableau12[[#This Row],[Quantité restante dans la cuve
(si remplissage, valeur 
avant le plein)]]&lt;=0,"",Tableau12[[#This Row],[Quantité restante dans la cuve
(si remplissage, valeur 
avant le plein)]]+Tableau12[[#This Row],[Remplissage / 
Quantité remise]])</f>
        <v/>
      </c>
      <c r="E193" s="236" t="str">
        <f t="shared" si="8"/>
        <v/>
      </c>
      <c r="F193" s="289" t="str">
        <f t="shared" si="9"/>
        <v/>
      </c>
      <c r="G193" s="290" t="str">
        <f t="shared" si="10"/>
        <v/>
      </c>
      <c r="H193" s="290"/>
      <c r="I193" s="243"/>
      <c r="J193" s="238" t="str">
        <f t="shared" si="11"/>
        <v>Saisie ok</v>
      </c>
    </row>
    <row r="194" spans="1:10">
      <c r="A194" s="284"/>
      <c r="B194" s="285"/>
      <c r="C194" s="285"/>
      <c r="D194" s="506" t="str">
        <f>IF(Tableau12[[#This Row],[Quantité restante dans la cuve
(si remplissage, valeur 
avant le plein)]]&lt;=0,"",Tableau12[[#This Row],[Quantité restante dans la cuve
(si remplissage, valeur 
avant le plein)]]+Tableau12[[#This Row],[Remplissage / 
Quantité remise]])</f>
        <v/>
      </c>
      <c r="E194" s="236" t="str">
        <f t="shared" si="8"/>
        <v/>
      </c>
      <c r="F194" s="289" t="str">
        <f t="shared" si="9"/>
        <v/>
      </c>
      <c r="G194" s="290" t="str">
        <f t="shared" si="10"/>
        <v/>
      </c>
      <c r="H194" s="290"/>
      <c r="I194" s="243"/>
      <c r="J194" s="238" t="str">
        <f t="shared" si="11"/>
        <v>Saisie ok</v>
      </c>
    </row>
    <row r="195" spans="1:10">
      <c r="A195" s="284"/>
      <c r="B195" s="285"/>
      <c r="C195" s="285"/>
      <c r="D195" s="506" t="str">
        <f>IF(Tableau12[[#This Row],[Quantité restante dans la cuve
(si remplissage, valeur 
avant le plein)]]&lt;=0,"",Tableau12[[#This Row],[Quantité restante dans la cuve
(si remplissage, valeur 
avant le plein)]]+Tableau12[[#This Row],[Remplissage / 
Quantité remise]])</f>
        <v/>
      </c>
      <c r="E195" s="236" t="str">
        <f t="shared" si="8"/>
        <v/>
      </c>
      <c r="F195" s="289" t="str">
        <f t="shared" si="9"/>
        <v/>
      </c>
      <c r="G195" s="290" t="str">
        <f t="shared" si="10"/>
        <v/>
      </c>
      <c r="H195" s="290"/>
      <c r="I195" s="243"/>
      <c r="J195" s="238" t="str">
        <f t="shared" si="11"/>
        <v>Saisie ok</v>
      </c>
    </row>
    <row r="196" spans="1:10">
      <c r="A196" s="284"/>
      <c r="B196" s="285"/>
      <c r="C196" s="285"/>
      <c r="D196" s="506" t="str">
        <f>IF(Tableau12[[#This Row],[Quantité restante dans la cuve
(si remplissage, valeur 
avant le plein)]]&lt;=0,"",Tableau12[[#This Row],[Quantité restante dans la cuve
(si remplissage, valeur 
avant le plein)]]+Tableau12[[#This Row],[Remplissage / 
Quantité remise]])</f>
        <v/>
      </c>
      <c r="E196" s="236" t="str">
        <f t="shared" ref="E196:E238" si="12">IFERROR(G196/(A196-A195),"")</f>
        <v/>
      </c>
      <c r="F196" s="289" t="str">
        <f t="shared" ref="F196:F238" si="13">IF(A196="","",A196)</f>
        <v/>
      </c>
      <c r="G196" s="290" t="str">
        <f t="shared" ref="G196:G238" si="14">IF(B196&lt;=0,"",D195-B196)</f>
        <v/>
      </c>
      <c r="H196" s="290"/>
      <c r="I196" s="243"/>
      <c r="J196" s="238" t="str">
        <f t="shared" ref="J196:J238" si="15">IF(C195&lt;=0,IF(B196&gt;B195,"Erreur saisie","Saisie ok"),"Saisie ok, plein fait")</f>
        <v>Saisie ok</v>
      </c>
    </row>
    <row r="197" spans="1:10">
      <c r="A197" s="284"/>
      <c r="B197" s="285"/>
      <c r="C197" s="285"/>
      <c r="D197" s="506" t="str">
        <f>IF(Tableau12[[#This Row],[Quantité restante dans la cuve
(si remplissage, valeur 
avant le plein)]]&lt;=0,"",Tableau12[[#This Row],[Quantité restante dans la cuve
(si remplissage, valeur 
avant le plein)]]+Tableau12[[#This Row],[Remplissage / 
Quantité remise]])</f>
        <v/>
      </c>
      <c r="E197" s="236" t="str">
        <f t="shared" si="12"/>
        <v/>
      </c>
      <c r="F197" s="289" t="str">
        <f t="shared" si="13"/>
        <v/>
      </c>
      <c r="G197" s="290" t="str">
        <f t="shared" si="14"/>
        <v/>
      </c>
      <c r="H197" s="290"/>
      <c r="I197" s="243"/>
      <c r="J197" s="238" t="str">
        <f t="shared" si="15"/>
        <v>Saisie ok</v>
      </c>
    </row>
    <row r="198" spans="1:10">
      <c r="A198" s="284"/>
      <c r="B198" s="285"/>
      <c r="C198" s="285"/>
      <c r="D198" s="506" t="str">
        <f>IF(Tableau12[[#This Row],[Quantité restante dans la cuve
(si remplissage, valeur 
avant le plein)]]&lt;=0,"",Tableau12[[#This Row],[Quantité restante dans la cuve
(si remplissage, valeur 
avant le plein)]]+Tableau12[[#This Row],[Remplissage / 
Quantité remise]])</f>
        <v/>
      </c>
      <c r="E198" s="236" t="str">
        <f t="shared" si="12"/>
        <v/>
      </c>
      <c r="F198" s="289" t="str">
        <f t="shared" si="13"/>
        <v/>
      </c>
      <c r="G198" s="290" t="str">
        <f t="shared" si="14"/>
        <v/>
      </c>
      <c r="H198" s="290"/>
      <c r="I198" s="243"/>
      <c r="J198" s="238" t="str">
        <f t="shared" si="15"/>
        <v>Saisie ok</v>
      </c>
    </row>
    <row r="199" spans="1:10">
      <c r="A199" s="284"/>
      <c r="B199" s="285"/>
      <c r="C199" s="285"/>
      <c r="D199" s="506" t="str">
        <f>IF(Tableau12[[#This Row],[Quantité restante dans la cuve
(si remplissage, valeur 
avant le plein)]]&lt;=0,"",Tableau12[[#This Row],[Quantité restante dans la cuve
(si remplissage, valeur 
avant le plein)]]+Tableau12[[#This Row],[Remplissage / 
Quantité remise]])</f>
        <v/>
      </c>
      <c r="E199" s="236" t="str">
        <f t="shared" si="12"/>
        <v/>
      </c>
      <c r="F199" s="289" t="str">
        <f t="shared" si="13"/>
        <v/>
      </c>
      <c r="G199" s="290" t="str">
        <f t="shared" si="14"/>
        <v/>
      </c>
      <c r="H199" s="290"/>
      <c r="I199" s="243"/>
      <c r="J199" s="238" t="str">
        <f t="shared" si="15"/>
        <v>Saisie ok</v>
      </c>
    </row>
    <row r="200" spans="1:10">
      <c r="A200" s="284"/>
      <c r="B200" s="285"/>
      <c r="C200" s="285"/>
      <c r="D200" s="506" t="str">
        <f>IF(Tableau12[[#This Row],[Quantité restante dans la cuve
(si remplissage, valeur 
avant le plein)]]&lt;=0,"",Tableau12[[#This Row],[Quantité restante dans la cuve
(si remplissage, valeur 
avant le plein)]]+Tableau12[[#This Row],[Remplissage / 
Quantité remise]])</f>
        <v/>
      </c>
      <c r="E200" s="236" t="str">
        <f t="shared" si="12"/>
        <v/>
      </c>
      <c r="F200" s="289" t="str">
        <f t="shared" si="13"/>
        <v/>
      </c>
      <c r="G200" s="290" t="str">
        <f t="shared" si="14"/>
        <v/>
      </c>
      <c r="H200" s="290"/>
      <c r="I200" s="243"/>
      <c r="J200" s="238" t="str">
        <f t="shared" si="15"/>
        <v>Saisie ok</v>
      </c>
    </row>
    <row r="201" spans="1:10">
      <c r="A201" s="284"/>
      <c r="B201" s="285"/>
      <c r="C201" s="285"/>
      <c r="D201" s="506" t="str">
        <f>IF(Tableau12[[#This Row],[Quantité restante dans la cuve
(si remplissage, valeur 
avant le plein)]]&lt;=0,"",Tableau12[[#This Row],[Quantité restante dans la cuve
(si remplissage, valeur 
avant le plein)]]+Tableau12[[#This Row],[Remplissage / 
Quantité remise]])</f>
        <v/>
      </c>
      <c r="E201" s="236" t="str">
        <f t="shared" si="12"/>
        <v/>
      </c>
      <c r="F201" s="289" t="str">
        <f t="shared" si="13"/>
        <v/>
      </c>
      <c r="G201" s="290" t="str">
        <f t="shared" si="14"/>
        <v/>
      </c>
      <c r="H201" s="290"/>
      <c r="I201" s="243"/>
      <c r="J201" s="238" t="str">
        <f t="shared" si="15"/>
        <v>Saisie ok</v>
      </c>
    </row>
    <row r="202" spans="1:10">
      <c r="A202" s="284"/>
      <c r="B202" s="285"/>
      <c r="C202" s="285"/>
      <c r="D202" s="506" t="str">
        <f>IF(Tableau12[[#This Row],[Quantité restante dans la cuve
(si remplissage, valeur 
avant le plein)]]&lt;=0,"",Tableau12[[#This Row],[Quantité restante dans la cuve
(si remplissage, valeur 
avant le plein)]]+Tableau12[[#This Row],[Remplissage / 
Quantité remise]])</f>
        <v/>
      </c>
      <c r="E202" s="236" t="str">
        <f t="shared" si="12"/>
        <v/>
      </c>
      <c r="F202" s="289" t="str">
        <f t="shared" si="13"/>
        <v/>
      </c>
      <c r="G202" s="290" t="str">
        <f t="shared" si="14"/>
        <v/>
      </c>
      <c r="H202" s="290"/>
      <c r="I202" s="243"/>
      <c r="J202" s="238" t="str">
        <f t="shared" si="15"/>
        <v>Saisie ok</v>
      </c>
    </row>
    <row r="203" spans="1:10">
      <c r="A203" s="284"/>
      <c r="B203" s="285"/>
      <c r="C203" s="285"/>
      <c r="D203" s="506" t="str">
        <f>IF(Tableau12[[#This Row],[Quantité restante dans la cuve
(si remplissage, valeur 
avant le plein)]]&lt;=0,"",Tableau12[[#This Row],[Quantité restante dans la cuve
(si remplissage, valeur 
avant le plein)]]+Tableau12[[#This Row],[Remplissage / 
Quantité remise]])</f>
        <v/>
      </c>
      <c r="E203" s="236" t="str">
        <f t="shared" si="12"/>
        <v/>
      </c>
      <c r="F203" s="289" t="str">
        <f t="shared" si="13"/>
        <v/>
      </c>
      <c r="G203" s="290" t="str">
        <f t="shared" si="14"/>
        <v/>
      </c>
      <c r="H203" s="290"/>
      <c r="I203" s="243"/>
      <c r="J203" s="238" t="str">
        <f t="shared" si="15"/>
        <v>Saisie ok</v>
      </c>
    </row>
    <row r="204" spans="1:10">
      <c r="A204" s="284"/>
      <c r="B204" s="285"/>
      <c r="C204" s="285"/>
      <c r="D204" s="506" t="str">
        <f>IF(Tableau12[[#This Row],[Quantité restante dans la cuve
(si remplissage, valeur 
avant le plein)]]&lt;=0,"",Tableau12[[#This Row],[Quantité restante dans la cuve
(si remplissage, valeur 
avant le plein)]]+Tableau12[[#This Row],[Remplissage / 
Quantité remise]])</f>
        <v/>
      </c>
      <c r="E204" s="236" t="str">
        <f t="shared" si="12"/>
        <v/>
      </c>
      <c r="F204" s="289" t="str">
        <f t="shared" si="13"/>
        <v/>
      </c>
      <c r="G204" s="290" t="str">
        <f t="shared" si="14"/>
        <v/>
      </c>
      <c r="H204" s="290"/>
      <c r="I204" s="243"/>
      <c r="J204" s="238" t="str">
        <f t="shared" si="15"/>
        <v>Saisie ok</v>
      </c>
    </row>
    <row r="205" spans="1:10">
      <c r="A205" s="284"/>
      <c r="B205" s="285"/>
      <c r="C205" s="285"/>
      <c r="D205" s="506" t="str">
        <f>IF(Tableau12[[#This Row],[Quantité restante dans la cuve
(si remplissage, valeur 
avant le plein)]]&lt;=0,"",Tableau12[[#This Row],[Quantité restante dans la cuve
(si remplissage, valeur 
avant le plein)]]+Tableau12[[#This Row],[Remplissage / 
Quantité remise]])</f>
        <v/>
      </c>
      <c r="E205" s="236" t="str">
        <f t="shared" si="12"/>
        <v/>
      </c>
      <c r="F205" s="289" t="str">
        <f t="shared" si="13"/>
        <v/>
      </c>
      <c r="G205" s="290" t="str">
        <f t="shared" si="14"/>
        <v/>
      </c>
      <c r="H205" s="290"/>
      <c r="I205" s="243"/>
      <c r="J205" s="238" t="str">
        <f t="shared" si="15"/>
        <v>Saisie ok</v>
      </c>
    </row>
    <row r="206" spans="1:10">
      <c r="A206" s="284"/>
      <c r="B206" s="285"/>
      <c r="C206" s="285"/>
      <c r="D206" s="506" t="str">
        <f>IF(Tableau12[[#This Row],[Quantité restante dans la cuve
(si remplissage, valeur 
avant le plein)]]&lt;=0,"",Tableau12[[#This Row],[Quantité restante dans la cuve
(si remplissage, valeur 
avant le plein)]]+Tableau12[[#This Row],[Remplissage / 
Quantité remise]])</f>
        <v/>
      </c>
      <c r="E206" s="236" t="str">
        <f t="shared" si="12"/>
        <v/>
      </c>
      <c r="F206" s="289" t="str">
        <f t="shared" si="13"/>
        <v/>
      </c>
      <c r="G206" s="290" t="str">
        <f t="shared" si="14"/>
        <v/>
      </c>
      <c r="H206" s="290"/>
      <c r="I206" s="243"/>
      <c r="J206" s="238" t="str">
        <f t="shared" si="15"/>
        <v>Saisie ok</v>
      </c>
    </row>
    <row r="207" spans="1:10">
      <c r="A207" s="284"/>
      <c r="B207" s="285"/>
      <c r="C207" s="285"/>
      <c r="D207" s="506" t="str">
        <f>IF(Tableau12[[#This Row],[Quantité restante dans la cuve
(si remplissage, valeur 
avant le plein)]]&lt;=0,"",Tableau12[[#This Row],[Quantité restante dans la cuve
(si remplissage, valeur 
avant le plein)]]+Tableau12[[#This Row],[Remplissage / 
Quantité remise]])</f>
        <v/>
      </c>
      <c r="E207" s="236" t="str">
        <f t="shared" si="12"/>
        <v/>
      </c>
      <c r="F207" s="289" t="str">
        <f t="shared" si="13"/>
        <v/>
      </c>
      <c r="G207" s="290" t="str">
        <f t="shared" si="14"/>
        <v/>
      </c>
      <c r="H207" s="290"/>
      <c r="I207" s="243"/>
      <c r="J207" s="238" t="str">
        <f t="shared" si="15"/>
        <v>Saisie ok</v>
      </c>
    </row>
    <row r="208" spans="1:10">
      <c r="A208" s="284"/>
      <c r="B208" s="285"/>
      <c r="C208" s="285"/>
      <c r="D208" s="506" t="str">
        <f>IF(Tableau12[[#This Row],[Quantité restante dans la cuve
(si remplissage, valeur 
avant le plein)]]&lt;=0,"",Tableau12[[#This Row],[Quantité restante dans la cuve
(si remplissage, valeur 
avant le plein)]]+Tableau12[[#This Row],[Remplissage / 
Quantité remise]])</f>
        <v/>
      </c>
      <c r="E208" s="236" t="str">
        <f t="shared" si="12"/>
        <v/>
      </c>
      <c r="F208" s="289" t="str">
        <f t="shared" si="13"/>
        <v/>
      </c>
      <c r="G208" s="290" t="str">
        <f t="shared" si="14"/>
        <v/>
      </c>
      <c r="H208" s="290"/>
      <c r="I208" s="243"/>
      <c r="J208" s="238" t="str">
        <f t="shared" si="15"/>
        <v>Saisie ok</v>
      </c>
    </row>
    <row r="209" spans="1:10">
      <c r="A209" s="284"/>
      <c r="B209" s="285"/>
      <c r="C209" s="285"/>
      <c r="D209" s="506" t="str">
        <f>IF(Tableau12[[#This Row],[Quantité restante dans la cuve
(si remplissage, valeur 
avant le plein)]]&lt;=0,"",Tableau12[[#This Row],[Quantité restante dans la cuve
(si remplissage, valeur 
avant le plein)]]+Tableau12[[#This Row],[Remplissage / 
Quantité remise]])</f>
        <v/>
      </c>
      <c r="E209" s="236" t="str">
        <f t="shared" si="12"/>
        <v/>
      </c>
      <c r="F209" s="289" t="str">
        <f t="shared" si="13"/>
        <v/>
      </c>
      <c r="G209" s="290" t="str">
        <f t="shared" si="14"/>
        <v/>
      </c>
      <c r="H209" s="290"/>
      <c r="I209" s="243"/>
      <c r="J209" s="238" t="str">
        <f t="shared" si="15"/>
        <v>Saisie ok</v>
      </c>
    </row>
    <row r="210" spans="1:10">
      <c r="A210" s="284"/>
      <c r="B210" s="285"/>
      <c r="C210" s="285"/>
      <c r="D210" s="506" t="str">
        <f>IF(Tableau12[[#This Row],[Quantité restante dans la cuve
(si remplissage, valeur 
avant le plein)]]&lt;=0,"",Tableau12[[#This Row],[Quantité restante dans la cuve
(si remplissage, valeur 
avant le plein)]]+Tableau12[[#This Row],[Remplissage / 
Quantité remise]])</f>
        <v/>
      </c>
      <c r="E210" s="236" t="str">
        <f t="shared" si="12"/>
        <v/>
      </c>
      <c r="F210" s="289" t="str">
        <f t="shared" si="13"/>
        <v/>
      </c>
      <c r="G210" s="290" t="str">
        <f t="shared" si="14"/>
        <v/>
      </c>
      <c r="H210" s="290"/>
      <c r="I210" s="243"/>
      <c r="J210" s="238" t="str">
        <f t="shared" si="15"/>
        <v>Saisie ok</v>
      </c>
    </row>
    <row r="211" spans="1:10">
      <c r="A211" s="284"/>
      <c r="B211" s="285"/>
      <c r="C211" s="285"/>
      <c r="D211" s="506" t="str">
        <f>IF(Tableau12[[#This Row],[Quantité restante dans la cuve
(si remplissage, valeur 
avant le plein)]]&lt;=0,"",Tableau12[[#This Row],[Quantité restante dans la cuve
(si remplissage, valeur 
avant le plein)]]+Tableau12[[#This Row],[Remplissage / 
Quantité remise]])</f>
        <v/>
      </c>
      <c r="E211" s="236" t="str">
        <f t="shared" si="12"/>
        <v/>
      </c>
      <c r="F211" s="289" t="str">
        <f t="shared" si="13"/>
        <v/>
      </c>
      <c r="G211" s="290" t="str">
        <f t="shared" si="14"/>
        <v/>
      </c>
      <c r="H211" s="290"/>
      <c r="I211" s="243"/>
      <c r="J211" s="238" t="str">
        <f t="shared" si="15"/>
        <v>Saisie ok</v>
      </c>
    </row>
    <row r="212" spans="1:10">
      <c r="A212" s="284"/>
      <c r="B212" s="285"/>
      <c r="C212" s="285"/>
      <c r="D212" s="506" t="str">
        <f>IF(Tableau12[[#This Row],[Quantité restante dans la cuve
(si remplissage, valeur 
avant le plein)]]&lt;=0,"",Tableau12[[#This Row],[Quantité restante dans la cuve
(si remplissage, valeur 
avant le plein)]]+Tableau12[[#This Row],[Remplissage / 
Quantité remise]])</f>
        <v/>
      </c>
      <c r="E212" s="236" t="str">
        <f t="shared" si="12"/>
        <v/>
      </c>
      <c r="F212" s="289" t="str">
        <f t="shared" si="13"/>
        <v/>
      </c>
      <c r="G212" s="290" t="str">
        <f t="shared" si="14"/>
        <v/>
      </c>
      <c r="H212" s="290"/>
      <c r="I212" s="243"/>
      <c r="J212" s="238" t="str">
        <f t="shared" si="15"/>
        <v>Saisie ok</v>
      </c>
    </row>
    <row r="213" spans="1:10">
      <c r="A213" s="284"/>
      <c r="B213" s="285"/>
      <c r="C213" s="285"/>
      <c r="D213" s="506" t="str">
        <f>IF(Tableau12[[#This Row],[Quantité restante dans la cuve
(si remplissage, valeur 
avant le plein)]]&lt;=0,"",Tableau12[[#This Row],[Quantité restante dans la cuve
(si remplissage, valeur 
avant le plein)]]+Tableau12[[#This Row],[Remplissage / 
Quantité remise]])</f>
        <v/>
      </c>
      <c r="E213" s="236" t="str">
        <f t="shared" si="12"/>
        <v/>
      </c>
      <c r="F213" s="289" t="str">
        <f t="shared" si="13"/>
        <v/>
      </c>
      <c r="G213" s="290" t="str">
        <f t="shared" si="14"/>
        <v/>
      </c>
      <c r="H213" s="290"/>
      <c r="I213" s="243"/>
      <c r="J213" s="238" t="str">
        <f t="shared" si="15"/>
        <v>Saisie ok</v>
      </c>
    </row>
    <row r="214" spans="1:10">
      <c r="A214" s="284"/>
      <c r="B214" s="285"/>
      <c r="C214" s="285"/>
      <c r="D214" s="506" t="str">
        <f>IF(Tableau12[[#This Row],[Quantité restante dans la cuve
(si remplissage, valeur 
avant le plein)]]&lt;=0,"",Tableau12[[#This Row],[Quantité restante dans la cuve
(si remplissage, valeur 
avant le plein)]]+Tableau12[[#This Row],[Remplissage / 
Quantité remise]])</f>
        <v/>
      </c>
      <c r="E214" s="236" t="str">
        <f t="shared" si="12"/>
        <v/>
      </c>
      <c r="F214" s="289" t="str">
        <f t="shared" si="13"/>
        <v/>
      </c>
      <c r="G214" s="290" t="str">
        <f t="shared" si="14"/>
        <v/>
      </c>
      <c r="H214" s="290"/>
      <c r="I214" s="243"/>
      <c r="J214" s="238" t="str">
        <f t="shared" si="15"/>
        <v>Saisie ok</v>
      </c>
    </row>
    <row r="215" spans="1:10">
      <c r="A215" s="284"/>
      <c r="B215" s="285"/>
      <c r="C215" s="285"/>
      <c r="D215" s="506" t="str">
        <f>IF(Tableau12[[#This Row],[Quantité restante dans la cuve
(si remplissage, valeur 
avant le plein)]]&lt;=0,"",Tableau12[[#This Row],[Quantité restante dans la cuve
(si remplissage, valeur 
avant le plein)]]+Tableau12[[#This Row],[Remplissage / 
Quantité remise]])</f>
        <v/>
      </c>
      <c r="E215" s="236" t="str">
        <f t="shared" si="12"/>
        <v/>
      </c>
      <c r="F215" s="289" t="str">
        <f t="shared" si="13"/>
        <v/>
      </c>
      <c r="G215" s="290" t="str">
        <f t="shared" si="14"/>
        <v/>
      </c>
      <c r="H215" s="290"/>
      <c r="I215" s="243"/>
      <c r="J215" s="238" t="str">
        <f t="shared" si="15"/>
        <v>Saisie ok</v>
      </c>
    </row>
    <row r="216" spans="1:10">
      <c r="A216" s="284"/>
      <c r="B216" s="285"/>
      <c r="C216" s="285"/>
      <c r="D216" s="506" t="str">
        <f>IF(Tableau12[[#This Row],[Quantité restante dans la cuve
(si remplissage, valeur 
avant le plein)]]&lt;=0,"",Tableau12[[#This Row],[Quantité restante dans la cuve
(si remplissage, valeur 
avant le plein)]]+Tableau12[[#This Row],[Remplissage / 
Quantité remise]])</f>
        <v/>
      </c>
      <c r="E216" s="236" t="str">
        <f t="shared" si="12"/>
        <v/>
      </c>
      <c r="F216" s="289" t="str">
        <f t="shared" si="13"/>
        <v/>
      </c>
      <c r="G216" s="290" t="str">
        <f t="shared" si="14"/>
        <v/>
      </c>
      <c r="H216" s="290"/>
      <c r="I216" s="243"/>
      <c r="J216" s="238" t="str">
        <f t="shared" si="15"/>
        <v>Saisie ok</v>
      </c>
    </row>
    <row r="217" spans="1:10">
      <c r="A217" s="284"/>
      <c r="B217" s="285"/>
      <c r="C217" s="285"/>
      <c r="D217" s="506" t="str">
        <f>IF(Tableau12[[#This Row],[Quantité restante dans la cuve
(si remplissage, valeur 
avant le plein)]]&lt;=0,"",Tableau12[[#This Row],[Quantité restante dans la cuve
(si remplissage, valeur 
avant le plein)]]+Tableau12[[#This Row],[Remplissage / 
Quantité remise]])</f>
        <v/>
      </c>
      <c r="E217" s="236" t="str">
        <f t="shared" si="12"/>
        <v/>
      </c>
      <c r="F217" s="289" t="str">
        <f t="shared" si="13"/>
        <v/>
      </c>
      <c r="G217" s="290" t="str">
        <f t="shared" si="14"/>
        <v/>
      </c>
      <c r="H217" s="290"/>
      <c r="I217" s="243"/>
      <c r="J217" s="238" t="str">
        <f t="shared" si="15"/>
        <v>Saisie ok</v>
      </c>
    </row>
    <row r="218" spans="1:10">
      <c r="A218" s="284"/>
      <c r="B218" s="285"/>
      <c r="C218" s="285"/>
      <c r="D218" s="506" t="str">
        <f>IF(Tableau12[[#This Row],[Quantité restante dans la cuve
(si remplissage, valeur 
avant le plein)]]&lt;=0,"",Tableau12[[#This Row],[Quantité restante dans la cuve
(si remplissage, valeur 
avant le plein)]]+Tableau12[[#This Row],[Remplissage / 
Quantité remise]])</f>
        <v/>
      </c>
      <c r="E218" s="236" t="str">
        <f t="shared" si="12"/>
        <v/>
      </c>
      <c r="F218" s="289" t="str">
        <f t="shared" si="13"/>
        <v/>
      </c>
      <c r="G218" s="290" t="str">
        <f t="shared" si="14"/>
        <v/>
      </c>
      <c r="H218" s="290"/>
      <c r="I218" s="243"/>
      <c r="J218" s="238" t="str">
        <f t="shared" si="15"/>
        <v>Saisie ok</v>
      </c>
    </row>
    <row r="219" spans="1:10">
      <c r="A219" s="284"/>
      <c r="B219" s="285"/>
      <c r="C219" s="285"/>
      <c r="D219" s="506" t="str">
        <f>IF(Tableau12[[#This Row],[Quantité restante dans la cuve
(si remplissage, valeur 
avant le plein)]]&lt;=0,"",Tableau12[[#This Row],[Quantité restante dans la cuve
(si remplissage, valeur 
avant le plein)]]+Tableau12[[#This Row],[Remplissage / 
Quantité remise]])</f>
        <v/>
      </c>
      <c r="E219" s="236" t="str">
        <f t="shared" si="12"/>
        <v/>
      </c>
      <c r="F219" s="289" t="str">
        <f t="shared" si="13"/>
        <v/>
      </c>
      <c r="G219" s="290" t="str">
        <f t="shared" si="14"/>
        <v/>
      </c>
      <c r="H219" s="290"/>
      <c r="I219" s="243"/>
      <c r="J219" s="238" t="str">
        <f t="shared" si="15"/>
        <v>Saisie ok</v>
      </c>
    </row>
    <row r="220" spans="1:10">
      <c r="A220" s="284"/>
      <c r="B220" s="285"/>
      <c r="C220" s="285"/>
      <c r="D220" s="506" t="str">
        <f>IF(Tableau12[[#This Row],[Quantité restante dans la cuve
(si remplissage, valeur 
avant le plein)]]&lt;=0,"",Tableau12[[#This Row],[Quantité restante dans la cuve
(si remplissage, valeur 
avant le plein)]]+Tableau12[[#This Row],[Remplissage / 
Quantité remise]])</f>
        <v/>
      </c>
      <c r="E220" s="236" t="str">
        <f t="shared" si="12"/>
        <v/>
      </c>
      <c r="F220" s="289" t="str">
        <f t="shared" si="13"/>
        <v/>
      </c>
      <c r="G220" s="290" t="str">
        <f t="shared" si="14"/>
        <v/>
      </c>
      <c r="H220" s="290"/>
      <c r="I220" s="243"/>
      <c r="J220" s="238" t="str">
        <f t="shared" si="15"/>
        <v>Saisie ok</v>
      </c>
    </row>
    <row r="221" spans="1:10">
      <c r="A221" s="284"/>
      <c r="B221" s="285"/>
      <c r="C221" s="285"/>
      <c r="D221" s="506" t="str">
        <f>IF(Tableau12[[#This Row],[Quantité restante dans la cuve
(si remplissage, valeur 
avant le plein)]]&lt;=0,"",Tableau12[[#This Row],[Quantité restante dans la cuve
(si remplissage, valeur 
avant le plein)]]+Tableau12[[#This Row],[Remplissage / 
Quantité remise]])</f>
        <v/>
      </c>
      <c r="E221" s="236" t="str">
        <f t="shared" si="12"/>
        <v/>
      </c>
      <c r="F221" s="289" t="str">
        <f t="shared" si="13"/>
        <v/>
      </c>
      <c r="G221" s="290" t="str">
        <f t="shared" si="14"/>
        <v/>
      </c>
      <c r="H221" s="290"/>
      <c r="I221" s="243"/>
      <c r="J221" s="238" t="str">
        <f t="shared" si="15"/>
        <v>Saisie ok</v>
      </c>
    </row>
    <row r="222" spans="1:10">
      <c r="A222" s="284"/>
      <c r="B222" s="285"/>
      <c r="C222" s="285"/>
      <c r="D222" s="506" t="str">
        <f>IF(Tableau12[[#This Row],[Quantité restante dans la cuve
(si remplissage, valeur 
avant le plein)]]&lt;=0,"",Tableau12[[#This Row],[Quantité restante dans la cuve
(si remplissage, valeur 
avant le plein)]]+Tableau12[[#This Row],[Remplissage / 
Quantité remise]])</f>
        <v/>
      </c>
      <c r="E222" s="236" t="str">
        <f t="shared" si="12"/>
        <v/>
      </c>
      <c r="F222" s="289" t="str">
        <f t="shared" si="13"/>
        <v/>
      </c>
      <c r="G222" s="290" t="str">
        <f t="shared" si="14"/>
        <v/>
      </c>
      <c r="H222" s="290"/>
      <c r="I222" s="243"/>
      <c r="J222" s="238" t="str">
        <f t="shared" si="15"/>
        <v>Saisie ok</v>
      </c>
    </row>
    <row r="223" spans="1:10">
      <c r="A223" s="284"/>
      <c r="B223" s="285"/>
      <c r="C223" s="285"/>
      <c r="D223" s="506" t="str">
        <f>IF(Tableau12[[#This Row],[Quantité restante dans la cuve
(si remplissage, valeur 
avant le plein)]]&lt;=0,"",Tableau12[[#This Row],[Quantité restante dans la cuve
(si remplissage, valeur 
avant le plein)]]+Tableau12[[#This Row],[Remplissage / 
Quantité remise]])</f>
        <v/>
      </c>
      <c r="E223" s="236" t="str">
        <f t="shared" si="12"/>
        <v/>
      </c>
      <c r="F223" s="289" t="str">
        <f t="shared" si="13"/>
        <v/>
      </c>
      <c r="G223" s="290" t="str">
        <f t="shared" si="14"/>
        <v/>
      </c>
      <c r="H223" s="290"/>
      <c r="I223" s="243"/>
      <c r="J223" s="238" t="str">
        <f t="shared" si="15"/>
        <v>Saisie ok</v>
      </c>
    </row>
    <row r="224" spans="1:10">
      <c r="A224" s="284"/>
      <c r="B224" s="285"/>
      <c r="C224" s="285"/>
      <c r="D224" s="506" t="str">
        <f>IF(Tableau12[[#This Row],[Quantité restante dans la cuve
(si remplissage, valeur 
avant le plein)]]&lt;=0,"",Tableau12[[#This Row],[Quantité restante dans la cuve
(si remplissage, valeur 
avant le plein)]]+Tableau12[[#This Row],[Remplissage / 
Quantité remise]])</f>
        <v/>
      </c>
      <c r="E224" s="236" t="str">
        <f t="shared" si="12"/>
        <v/>
      </c>
      <c r="F224" s="289" t="str">
        <f t="shared" si="13"/>
        <v/>
      </c>
      <c r="G224" s="290" t="str">
        <f t="shared" si="14"/>
        <v/>
      </c>
      <c r="H224" s="290"/>
      <c r="I224" s="243"/>
      <c r="J224" s="238" t="str">
        <f t="shared" si="15"/>
        <v>Saisie ok</v>
      </c>
    </row>
    <row r="225" spans="1:10">
      <c r="A225" s="284"/>
      <c r="B225" s="285"/>
      <c r="C225" s="285"/>
      <c r="D225" s="506" t="str">
        <f>IF(Tableau12[[#This Row],[Quantité restante dans la cuve
(si remplissage, valeur 
avant le plein)]]&lt;=0,"",Tableau12[[#This Row],[Quantité restante dans la cuve
(si remplissage, valeur 
avant le plein)]]+Tableau12[[#This Row],[Remplissage / 
Quantité remise]])</f>
        <v/>
      </c>
      <c r="E225" s="236" t="str">
        <f t="shared" si="12"/>
        <v/>
      </c>
      <c r="F225" s="289" t="str">
        <f t="shared" si="13"/>
        <v/>
      </c>
      <c r="G225" s="290" t="str">
        <f t="shared" si="14"/>
        <v/>
      </c>
      <c r="H225" s="290"/>
      <c r="I225" s="243"/>
      <c r="J225" s="238" t="str">
        <f t="shared" si="15"/>
        <v>Saisie ok</v>
      </c>
    </row>
    <row r="226" spans="1:10">
      <c r="A226" s="284"/>
      <c r="B226" s="285"/>
      <c r="C226" s="285"/>
      <c r="D226" s="506" t="str">
        <f>IF(Tableau12[[#This Row],[Quantité restante dans la cuve
(si remplissage, valeur 
avant le plein)]]&lt;=0,"",Tableau12[[#This Row],[Quantité restante dans la cuve
(si remplissage, valeur 
avant le plein)]]+Tableau12[[#This Row],[Remplissage / 
Quantité remise]])</f>
        <v/>
      </c>
      <c r="E226" s="236" t="str">
        <f t="shared" si="12"/>
        <v/>
      </c>
      <c r="F226" s="289" t="str">
        <f t="shared" si="13"/>
        <v/>
      </c>
      <c r="G226" s="290" t="str">
        <f t="shared" si="14"/>
        <v/>
      </c>
      <c r="H226" s="290"/>
      <c r="I226" s="243"/>
      <c r="J226" s="238" t="str">
        <f t="shared" si="15"/>
        <v>Saisie ok</v>
      </c>
    </row>
    <row r="227" spans="1:10">
      <c r="A227" s="284"/>
      <c r="B227" s="285"/>
      <c r="C227" s="285"/>
      <c r="D227" s="506" t="str">
        <f>IF(Tableau12[[#This Row],[Quantité restante dans la cuve
(si remplissage, valeur 
avant le plein)]]&lt;=0,"",Tableau12[[#This Row],[Quantité restante dans la cuve
(si remplissage, valeur 
avant le plein)]]+Tableau12[[#This Row],[Remplissage / 
Quantité remise]])</f>
        <v/>
      </c>
      <c r="E227" s="236" t="str">
        <f t="shared" si="12"/>
        <v/>
      </c>
      <c r="F227" s="289" t="str">
        <f t="shared" si="13"/>
        <v/>
      </c>
      <c r="G227" s="290" t="str">
        <f t="shared" si="14"/>
        <v/>
      </c>
      <c r="H227" s="290"/>
      <c r="I227" s="243"/>
      <c r="J227" s="238" t="str">
        <f t="shared" si="15"/>
        <v>Saisie ok</v>
      </c>
    </row>
    <row r="228" spans="1:10">
      <c r="A228" s="284"/>
      <c r="B228" s="285"/>
      <c r="C228" s="285"/>
      <c r="D228" s="506" t="str">
        <f>IF(Tableau12[[#This Row],[Quantité restante dans la cuve
(si remplissage, valeur 
avant le plein)]]&lt;=0,"",Tableau12[[#This Row],[Quantité restante dans la cuve
(si remplissage, valeur 
avant le plein)]]+Tableau12[[#This Row],[Remplissage / 
Quantité remise]])</f>
        <v/>
      </c>
      <c r="E228" s="236" t="str">
        <f t="shared" si="12"/>
        <v/>
      </c>
      <c r="F228" s="289" t="str">
        <f t="shared" si="13"/>
        <v/>
      </c>
      <c r="G228" s="290" t="str">
        <f t="shared" si="14"/>
        <v/>
      </c>
      <c r="H228" s="290"/>
      <c r="I228" s="243"/>
      <c r="J228" s="238" t="str">
        <f t="shared" si="15"/>
        <v>Saisie ok</v>
      </c>
    </row>
    <row r="229" spans="1:10">
      <c r="A229" s="284"/>
      <c r="B229" s="285"/>
      <c r="C229" s="285"/>
      <c r="D229" s="506" t="str">
        <f>IF(Tableau12[[#This Row],[Quantité restante dans la cuve
(si remplissage, valeur 
avant le plein)]]&lt;=0,"",Tableau12[[#This Row],[Quantité restante dans la cuve
(si remplissage, valeur 
avant le plein)]]+Tableau12[[#This Row],[Remplissage / 
Quantité remise]])</f>
        <v/>
      </c>
      <c r="E229" s="236" t="str">
        <f t="shared" si="12"/>
        <v/>
      </c>
      <c r="F229" s="289" t="str">
        <f t="shared" si="13"/>
        <v/>
      </c>
      <c r="G229" s="290" t="str">
        <f t="shared" si="14"/>
        <v/>
      </c>
      <c r="H229" s="290"/>
      <c r="I229" s="243"/>
      <c r="J229" s="238" t="str">
        <f t="shared" si="15"/>
        <v>Saisie ok</v>
      </c>
    </row>
    <row r="230" spans="1:10">
      <c r="A230" s="284"/>
      <c r="B230" s="285"/>
      <c r="C230" s="285"/>
      <c r="D230" s="506" t="str">
        <f>IF(Tableau12[[#This Row],[Quantité restante dans la cuve
(si remplissage, valeur 
avant le plein)]]&lt;=0,"",Tableau12[[#This Row],[Quantité restante dans la cuve
(si remplissage, valeur 
avant le plein)]]+Tableau12[[#This Row],[Remplissage / 
Quantité remise]])</f>
        <v/>
      </c>
      <c r="E230" s="236" t="str">
        <f t="shared" si="12"/>
        <v/>
      </c>
      <c r="F230" s="289" t="str">
        <f t="shared" si="13"/>
        <v/>
      </c>
      <c r="G230" s="290" t="str">
        <f t="shared" si="14"/>
        <v/>
      </c>
      <c r="H230" s="290"/>
      <c r="I230" s="243"/>
      <c r="J230" s="238" t="str">
        <f t="shared" si="15"/>
        <v>Saisie ok</v>
      </c>
    </row>
    <row r="231" spans="1:10">
      <c r="A231" s="284"/>
      <c r="B231" s="285"/>
      <c r="C231" s="285"/>
      <c r="D231" s="506" t="str">
        <f>IF(Tableau12[[#This Row],[Quantité restante dans la cuve
(si remplissage, valeur 
avant le plein)]]&lt;=0,"",Tableau12[[#This Row],[Quantité restante dans la cuve
(si remplissage, valeur 
avant le plein)]]+Tableau12[[#This Row],[Remplissage / 
Quantité remise]])</f>
        <v/>
      </c>
      <c r="E231" s="236" t="str">
        <f t="shared" si="12"/>
        <v/>
      </c>
      <c r="F231" s="289" t="str">
        <f t="shared" si="13"/>
        <v/>
      </c>
      <c r="G231" s="290" t="str">
        <f t="shared" si="14"/>
        <v/>
      </c>
      <c r="H231" s="290"/>
      <c r="I231" s="243"/>
      <c r="J231" s="238" t="str">
        <f t="shared" si="15"/>
        <v>Saisie ok</v>
      </c>
    </row>
    <row r="232" spans="1:10">
      <c r="A232" s="284"/>
      <c r="B232" s="285"/>
      <c r="C232" s="285"/>
      <c r="D232" s="506" t="str">
        <f>IF(Tableau12[[#This Row],[Quantité restante dans la cuve
(si remplissage, valeur 
avant le plein)]]&lt;=0,"",Tableau12[[#This Row],[Quantité restante dans la cuve
(si remplissage, valeur 
avant le plein)]]+Tableau12[[#This Row],[Remplissage / 
Quantité remise]])</f>
        <v/>
      </c>
      <c r="E232" s="236" t="str">
        <f t="shared" si="12"/>
        <v/>
      </c>
      <c r="F232" s="289" t="str">
        <f t="shared" si="13"/>
        <v/>
      </c>
      <c r="G232" s="290" t="str">
        <f t="shared" si="14"/>
        <v/>
      </c>
      <c r="H232" s="290"/>
      <c r="I232" s="243"/>
      <c r="J232" s="238" t="str">
        <f t="shared" si="15"/>
        <v>Saisie ok</v>
      </c>
    </row>
    <row r="233" spans="1:10">
      <c r="A233" s="284"/>
      <c r="B233" s="285"/>
      <c r="C233" s="285"/>
      <c r="D233" s="506" t="str">
        <f>IF(Tableau12[[#This Row],[Quantité restante dans la cuve
(si remplissage, valeur 
avant le plein)]]&lt;=0,"",Tableau12[[#This Row],[Quantité restante dans la cuve
(si remplissage, valeur 
avant le plein)]]+Tableau12[[#This Row],[Remplissage / 
Quantité remise]])</f>
        <v/>
      </c>
      <c r="E233" s="236" t="str">
        <f t="shared" si="12"/>
        <v/>
      </c>
      <c r="F233" s="289" t="str">
        <f t="shared" si="13"/>
        <v/>
      </c>
      <c r="G233" s="290" t="str">
        <f t="shared" si="14"/>
        <v/>
      </c>
      <c r="H233" s="290"/>
      <c r="I233" s="243"/>
      <c r="J233" s="238" t="str">
        <f t="shared" si="15"/>
        <v>Saisie ok</v>
      </c>
    </row>
    <row r="234" spans="1:10">
      <c r="A234" s="284"/>
      <c r="B234" s="285"/>
      <c r="C234" s="285"/>
      <c r="D234" s="506" t="str">
        <f>IF(Tableau12[[#This Row],[Quantité restante dans la cuve
(si remplissage, valeur 
avant le plein)]]&lt;=0,"",Tableau12[[#This Row],[Quantité restante dans la cuve
(si remplissage, valeur 
avant le plein)]]+Tableau12[[#This Row],[Remplissage / 
Quantité remise]])</f>
        <v/>
      </c>
      <c r="E234" s="236" t="str">
        <f t="shared" si="12"/>
        <v/>
      </c>
      <c r="F234" s="289" t="str">
        <f t="shared" si="13"/>
        <v/>
      </c>
      <c r="G234" s="290" t="str">
        <f t="shared" si="14"/>
        <v/>
      </c>
      <c r="H234" s="290"/>
      <c r="I234" s="243"/>
      <c r="J234" s="238" t="str">
        <f t="shared" si="15"/>
        <v>Saisie ok</v>
      </c>
    </row>
    <row r="235" spans="1:10">
      <c r="A235" s="284"/>
      <c r="B235" s="285"/>
      <c r="C235" s="285"/>
      <c r="D235" s="506" t="str">
        <f>IF(Tableau12[[#This Row],[Quantité restante dans la cuve
(si remplissage, valeur 
avant le plein)]]&lt;=0,"",Tableau12[[#This Row],[Quantité restante dans la cuve
(si remplissage, valeur 
avant le plein)]]+Tableau12[[#This Row],[Remplissage / 
Quantité remise]])</f>
        <v/>
      </c>
      <c r="E235" s="236" t="str">
        <f t="shared" si="12"/>
        <v/>
      </c>
      <c r="F235" s="289" t="str">
        <f t="shared" si="13"/>
        <v/>
      </c>
      <c r="G235" s="290" t="str">
        <f t="shared" si="14"/>
        <v/>
      </c>
      <c r="H235" s="290"/>
      <c r="I235" s="243"/>
      <c r="J235" s="238" t="str">
        <f t="shared" si="15"/>
        <v>Saisie ok</v>
      </c>
    </row>
    <row r="236" spans="1:10">
      <c r="A236" s="284"/>
      <c r="B236" s="285"/>
      <c r="C236" s="285"/>
      <c r="D236" s="506" t="str">
        <f>IF(Tableau12[[#This Row],[Quantité restante dans la cuve
(si remplissage, valeur 
avant le plein)]]&lt;=0,"",Tableau12[[#This Row],[Quantité restante dans la cuve
(si remplissage, valeur 
avant le plein)]]+Tableau12[[#This Row],[Remplissage / 
Quantité remise]])</f>
        <v/>
      </c>
      <c r="E236" s="236" t="str">
        <f t="shared" si="12"/>
        <v/>
      </c>
      <c r="F236" s="289" t="str">
        <f t="shared" si="13"/>
        <v/>
      </c>
      <c r="G236" s="290" t="str">
        <f t="shared" si="14"/>
        <v/>
      </c>
      <c r="H236" s="290"/>
      <c r="I236" s="243"/>
      <c r="J236" s="238" t="str">
        <f t="shared" si="15"/>
        <v>Saisie ok</v>
      </c>
    </row>
    <row r="237" spans="1:10">
      <c r="A237" s="284"/>
      <c r="B237" s="285"/>
      <c r="C237" s="285"/>
      <c r="D237" s="506" t="str">
        <f>IF(Tableau12[[#This Row],[Quantité restante dans la cuve
(si remplissage, valeur 
avant le plein)]]&lt;=0,"",Tableau12[[#This Row],[Quantité restante dans la cuve
(si remplissage, valeur 
avant le plein)]]+Tableau12[[#This Row],[Remplissage / 
Quantité remise]])</f>
        <v/>
      </c>
      <c r="E237" s="236" t="str">
        <f t="shared" si="12"/>
        <v/>
      </c>
      <c r="F237" s="289" t="str">
        <f t="shared" si="13"/>
        <v/>
      </c>
      <c r="G237" s="290" t="str">
        <f t="shared" si="14"/>
        <v/>
      </c>
      <c r="H237" s="290"/>
      <c r="I237" s="243"/>
      <c r="J237" s="238" t="str">
        <f t="shared" si="15"/>
        <v>Saisie ok</v>
      </c>
    </row>
    <row r="238" spans="1:10">
      <c r="A238" s="286"/>
      <c r="B238" s="287"/>
      <c r="C238" s="287"/>
      <c r="D238" s="506" t="str">
        <f>IF(Tableau12[[#This Row],[Quantité restante dans la cuve
(si remplissage, valeur 
avant le plein)]]&lt;=0,"",Tableau12[[#This Row],[Quantité restante dans la cuve
(si remplissage, valeur 
avant le plein)]]+Tableau12[[#This Row],[Remplissage / 
Quantité remise]])</f>
        <v/>
      </c>
      <c r="E238" s="236" t="str">
        <f t="shared" si="12"/>
        <v/>
      </c>
      <c r="F238" s="289" t="str">
        <f t="shared" si="13"/>
        <v/>
      </c>
      <c r="G238" s="290" t="str">
        <f t="shared" si="14"/>
        <v/>
      </c>
      <c r="H238" s="292"/>
      <c r="I238" s="244"/>
      <c r="J238" s="238" t="str">
        <f t="shared" si="15"/>
        <v>Saisie ok</v>
      </c>
    </row>
    <row r="239" spans="1:10">
      <c r="D239" s="493"/>
    </row>
  </sheetData>
  <sheetProtection sheet="1" objects="1" scenarios="1"/>
  <conditionalFormatting sqref="A3:A238">
    <cfRule type="expression" dxfId="4" priority="3">
      <formula>IF(A4&lt;&gt;0,A3&lt;A2)</formula>
    </cfRule>
  </conditionalFormatting>
  <conditionalFormatting sqref="B3:B9">
    <cfRule type="expression" dxfId="3" priority="6">
      <formula>J3="Erreur saisie"</formula>
    </cfRule>
  </conditionalFormatting>
  <conditionalFormatting sqref="G2:H238">
    <cfRule type="cellIs" dxfId="2" priority="5" operator="lessThan">
      <formula>0</formula>
    </cfRule>
  </conditionalFormatting>
  <conditionalFormatting sqref="E2:E238">
    <cfRule type="cellIs" dxfId="1" priority="4" operator="lessThan">
      <formula>0</formula>
    </cfRule>
  </conditionalFormatting>
  <conditionalFormatting sqref="D3:D238">
    <cfRule type="expression" dxfId="0" priority="1">
      <formula>IF(C3&lt;&gt;0,(B3+C3)&lt;&gt;D3)</formula>
    </cfRule>
  </conditionalFormatting>
  <dataValidations disablePrompts="1" count="1">
    <dataValidation type="list" allowBlank="1" showInputMessage="1" showErrorMessage="1" sqref="L7" xr:uid="{C19F43C8-ADFE-4FA2-9419-3579D6A6C8E7}">
      <formula1>$P$3:$P$5</formula1>
    </dataValidation>
  </dataValidations>
  <pageMargins left="0.7" right="0.7" top="0.75" bottom="0.75" header="0.3" footer="0.3"/>
  <pageSetup paperSize="9" orientation="portrait" horizontalDpi="4294967293"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2"/>
  <dimension ref="A1:E24"/>
  <sheetViews>
    <sheetView topLeftCell="A13" workbookViewId="0">
      <selection activeCell="A19" sqref="A19"/>
    </sheetView>
  </sheetViews>
  <sheetFormatPr baseColWidth="10" defaultColWidth="11.42578125" defaultRowHeight="15"/>
  <cols>
    <col min="1" max="1" width="11.42578125" style="148"/>
    <col min="2" max="2" width="145.42578125" customWidth="1"/>
    <col min="3" max="3" width="105.7109375" customWidth="1"/>
  </cols>
  <sheetData>
    <row r="1" spans="1:5" ht="30">
      <c r="B1" s="83" t="s">
        <v>406</v>
      </c>
      <c r="D1" t="s">
        <v>407</v>
      </c>
    </row>
    <row r="2" spans="1:5">
      <c r="D2" t="s">
        <v>408</v>
      </c>
      <c r="E2" t="s">
        <v>409</v>
      </c>
    </row>
    <row r="3" spans="1:5">
      <c r="A3" s="148" t="s">
        <v>410</v>
      </c>
      <c r="B3" t="s">
        <v>404</v>
      </c>
    </row>
    <row r="4" spans="1:5" ht="90">
      <c r="A4" s="148" t="s">
        <v>411</v>
      </c>
      <c r="B4" s="81" t="s">
        <v>412</v>
      </c>
    </row>
    <row r="5" spans="1:5" ht="44.25" customHeight="1">
      <c r="A5" s="148" t="s">
        <v>413</v>
      </c>
      <c r="B5" s="81" t="s">
        <v>414</v>
      </c>
    </row>
    <row r="6" spans="1:5" ht="135">
      <c r="A6" s="148" t="s">
        <v>415</v>
      </c>
      <c r="B6" s="81" t="s">
        <v>416</v>
      </c>
    </row>
    <row r="7" spans="1:5" ht="120">
      <c r="A7" s="148" t="s">
        <v>417</v>
      </c>
      <c r="B7" s="81" t="s">
        <v>418</v>
      </c>
    </row>
    <row r="8" spans="1:5" ht="165">
      <c r="A8" s="148" t="s">
        <v>419</v>
      </c>
      <c r="B8" s="81" t="s">
        <v>420</v>
      </c>
    </row>
    <row r="9" spans="1:5" ht="300">
      <c r="A9" s="148" t="s">
        <v>421</v>
      </c>
      <c r="B9" s="83" t="s">
        <v>422</v>
      </c>
    </row>
    <row r="10" spans="1:5" ht="30">
      <c r="A10" s="148" t="s">
        <v>423</v>
      </c>
      <c r="B10" s="83" t="s">
        <v>424</v>
      </c>
    </row>
    <row r="11" spans="1:5" ht="150">
      <c r="A11" s="148" t="s">
        <v>434</v>
      </c>
      <c r="B11" s="83" t="s">
        <v>431</v>
      </c>
    </row>
    <row r="12" spans="1:5" ht="120">
      <c r="A12" s="148" t="s">
        <v>435</v>
      </c>
      <c r="B12" s="83" t="s">
        <v>440</v>
      </c>
    </row>
    <row r="13" spans="1:5" ht="45">
      <c r="A13" s="148" t="s">
        <v>457</v>
      </c>
      <c r="B13" s="83" t="s">
        <v>456</v>
      </c>
      <c r="C13" s="83"/>
    </row>
    <row r="14" spans="1:5" s="273" customFormat="1" ht="45">
      <c r="A14" s="148" t="s">
        <v>509</v>
      </c>
      <c r="B14" s="83" t="s">
        <v>510</v>
      </c>
      <c r="C14" s="83"/>
    </row>
    <row r="15" spans="1:5" ht="75">
      <c r="A15" s="148" t="s">
        <v>515</v>
      </c>
      <c r="B15" s="83" t="s">
        <v>524</v>
      </c>
    </row>
    <row r="16" spans="1:5" ht="45">
      <c r="A16" s="148" t="s">
        <v>828</v>
      </c>
      <c r="B16" s="83" t="s">
        <v>829</v>
      </c>
    </row>
    <row r="17" spans="1:2">
      <c r="A17" s="148" t="s">
        <v>841</v>
      </c>
      <c r="B17" s="83" t="s">
        <v>842</v>
      </c>
    </row>
    <row r="18" spans="1:2" ht="195">
      <c r="A18" s="148" t="s">
        <v>912</v>
      </c>
      <c r="B18" s="83" t="s">
        <v>894</v>
      </c>
    </row>
    <row r="20" spans="1:2">
      <c r="B20" s="83" t="s">
        <v>441</v>
      </c>
    </row>
    <row r="24" spans="1:2">
      <c r="B24" s="459"/>
    </row>
  </sheetData>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4">
    <tabColor rgb="FF0070C0"/>
  </sheetPr>
  <dimension ref="A2:X42"/>
  <sheetViews>
    <sheetView zoomScale="70" zoomScaleNormal="70" workbookViewId="0">
      <selection activeCell="H9" sqref="H9"/>
    </sheetView>
  </sheetViews>
  <sheetFormatPr baseColWidth="10" defaultColWidth="11.42578125" defaultRowHeight="15" outlineLevelCol="1"/>
  <cols>
    <col min="1" max="3" width="27.42578125" style="38" customWidth="1"/>
    <col min="4" max="4" width="31.85546875" style="38" bestFit="1" customWidth="1"/>
    <col min="5" max="5" width="82.140625" style="38" bestFit="1" customWidth="1"/>
    <col min="6" max="6" width="13.5703125" style="38" customWidth="1"/>
    <col min="7" max="7" width="12.5703125" style="38" bestFit="1" customWidth="1"/>
    <col min="8" max="8" width="12.28515625" style="38" bestFit="1" customWidth="1"/>
    <col min="9" max="12" width="11.42578125" style="38" hidden="1" customWidth="1" outlineLevel="1"/>
    <col min="13" max="13" width="13.5703125" style="38" hidden="1" customWidth="1" outlineLevel="1"/>
    <col min="14" max="14" width="11.42578125" style="38" hidden="1" customWidth="1" outlineLevel="1"/>
    <col min="15" max="15" width="79.140625" style="38" bestFit="1" customWidth="1" collapsed="1"/>
    <col min="16" max="17" width="11.42578125" style="401"/>
    <col min="18" max="18" width="80.7109375" style="401" bestFit="1" customWidth="1"/>
    <col min="19" max="20" width="11.42578125" style="401"/>
    <col min="21" max="21" width="27" style="401" bestFit="1" customWidth="1"/>
    <col min="22" max="16384" width="11.42578125" style="401"/>
  </cols>
  <sheetData>
    <row r="2" spans="1:24">
      <c r="A2" s="401"/>
      <c r="B2" s="401"/>
      <c r="C2" s="401"/>
      <c r="D2" s="401"/>
      <c r="E2" s="401"/>
      <c r="J2" s="401"/>
      <c r="K2" s="401"/>
      <c r="L2" s="401"/>
      <c r="M2" s="401"/>
      <c r="N2" s="401"/>
      <c r="O2" s="401"/>
    </row>
    <row r="3" spans="1:24">
      <c r="A3" s="32" t="s">
        <v>872</v>
      </c>
      <c r="B3" s="186">
        <f>Site!C2</f>
        <v>0</v>
      </c>
      <c r="C3" s="401"/>
      <c r="D3" s="119" t="s">
        <v>525</v>
      </c>
      <c r="E3" s="300" t="str">
        <f>Controle_des_données!B32</f>
        <v>H2b</v>
      </c>
      <c r="J3" s="401"/>
      <c r="K3" s="401"/>
      <c r="L3" s="401"/>
      <c r="M3" s="401"/>
      <c r="N3" s="401"/>
      <c r="O3" s="401"/>
    </row>
    <row r="4" spans="1:24">
      <c r="A4" s="401"/>
      <c r="B4" s="401"/>
      <c r="C4" s="401"/>
      <c r="D4" s="119" t="s">
        <v>526</v>
      </c>
      <c r="E4" s="300" t="str">
        <f>Controle_des_données!B33</f>
        <v>Altitude &lt; 400 m</v>
      </c>
      <c r="F4" s="401"/>
      <c r="G4" s="401"/>
      <c r="H4" s="401"/>
      <c r="I4" s="401"/>
      <c r="J4" s="401"/>
      <c r="K4" s="401"/>
      <c r="L4" s="401"/>
      <c r="M4" s="401"/>
      <c r="N4" s="401"/>
      <c r="O4" s="401"/>
    </row>
    <row r="5" spans="1:24" ht="15.75" thickBot="1">
      <c r="A5" s="401"/>
      <c r="B5" s="541" t="s">
        <v>839</v>
      </c>
      <c r="C5" s="541" t="s">
        <v>837</v>
      </c>
      <c r="D5" s="401"/>
      <c r="E5" s="401"/>
      <c r="F5" s="401"/>
      <c r="G5" s="401"/>
      <c r="H5" s="401"/>
      <c r="I5" s="401"/>
      <c r="J5" s="401"/>
      <c r="K5" s="401"/>
      <c r="L5" s="401"/>
      <c r="M5" s="401"/>
      <c r="N5" s="401"/>
      <c r="O5" s="401"/>
    </row>
    <row r="6" spans="1:24" ht="15.75" thickBot="1">
      <c r="A6" s="401"/>
      <c r="B6" s="541"/>
      <c r="C6" s="541"/>
      <c r="D6" s="401"/>
      <c r="E6" s="301" t="s">
        <v>309</v>
      </c>
      <c r="F6" s="302">
        <f>SUM(F9:F38)</f>
        <v>0</v>
      </c>
      <c r="G6" s="32" t="s">
        <v>527</v>
      </c>
      <c r="H6" s="401"/>
      <c r="I6" s="32"/>
      <c r="J6" s="401"/>
      <c r="K6" s="401"/>
      <c r="L6" s="401"/>
      <c r="M6" s="401"/>
      <c r="N6" s="401"/>
      <c r="O6" s="401"/>
    </row>
    <row r="7" spans="1:24" ht="15.75" thickBot="1">
      <c r="A7" s="401"/>
      <c r="B7" s="547"/>
      <c r="C7" s="547"/>
      <c r="D7" s="32"/>
      <c r="E7" s="303" t="s">
        <v>528</v>
      </c>
      <c r="F7" s="302" t="e">
        <f>ROUND(SUM(X9:X38)/SUM(F9:F38),1)</f>
        <v>#DIV/0!</v>
      </c>
      <c r="G7" s="32" t="s">
        <v>529</v>
      </c>
      <c r="H7" s="401"/>
      <c r="I7" s="32"/>
      <c r="J7" s="32"/>
      <c r="K7" s="32"/>
      <c r="L7" s="32"/>
      <c r="M7" s="32"/>
      <c r="N7" s="32"/>
      <c r="O7" s="32"/>
      <c r="P7" s="32"/>
      <c r="Q7" s="32"/>
      <c r="R7" s="32"/>
      <c r="S7" s="32"/>
      <c r="T7" s="32"/>
      <c r="U7" s="32"/>
      <c r="V7" s="32"/>
    </row>
    <row r="8" spans="1:24" ht="75.75" thickBot="1">
      <c r="A8" s="304" t="s">
        <v>530</v>
      </c>
      <c r="B8" s="305" t="s">
        <v>531</v>
      </c>
      <c r="C8" s="305" t="s">
        <v>532</v>
      </c>
      <c r="D8" s="306" t="s">
        <v>533</v>
      </c>
      <c r="E8" s="306" t="s">
        <v>534</v>
      </c>
      <c r="F8" s="307" t="s">
        <v>535</v>
      </c>
      <c r="G8" s="304" t="s">
        <v>378</v>
      </c>
      <c r="H8" s="308" t="s">
        <v>536</v>
      </c>
      <c r="I8" s="309" t="s">
        <v>537</v>
      </c>
      <c r="J8" s="309" t="s">
        <v>538</v>
      </c>
      <c r="K8" s="309" t="s">
        <v>298</v>
      </c>
      <c r="L8" s="310" t="s">
        <v>539</v>
      </c>
      <c r="M8" s="310" t="s">
        <v>540</v>
      </c>
      <c r="N8" s="310" t="s">
        <v>541</v>
      </c>
      <c r="O8" s="310" t="s">
        <v>542</v>
      </c>
      <c r="P8" s="310" t="s">
        <v>543</v>
      </c>
      <c r="Q8" s="309" t="s">
        <v>544</v>
      </c>
      <c r="R8" s="310" t="s">
        <v>545</v>
      </c>
      <c r="S8" s="310" t="s">
        <v>546</v>
      </c>
      <c r="T8" s="310" t="s">
        <v>547</v>
      </c>
      <c r="U8" s="310" t="s">
        <v>548</v>
      </c>
      <c r="V8" s="310" t="s">
        <v>549</v>
      </c>
      <c r="W8" s="310" t="s">
        <v>550</v>
      </c>
      <c r="X8" s="311" t="s">
        <v>551</v>
      </c>
    </row>
    <row r="9" spans="1:24" ht="15.75">
      <c r="A9" s="402">
        <f>$B$3</f>
        <v>0</v>
      </c>
      <c r="B9" s="403">
        <v>2010</v>
      </c>
      <c r="C9" s="403">
        <v>2030</v>
      </c>
      <c r="D9" s="404" t="s">
        <v>703</v>
      </c>
      <c r="E9" s="405" t="s">
        <v>594</v>
      </c>
      <c r="F9" s="467"/>
      <c r="G9" s="406" t="s">
        <v>210</v>
      </c>
      <c r="H9" s="407"/>
      <c r="I9" s="313">
        <f>IFERROR(J9+K9,"")</f>
        <v>138</v>
      </c>
      <c r="J9" s="314">
        <f>IFERROR(INDEX(Calculs_CABS!$F$7:$AI$7,1,ROW(E9)-ROW($E$8)),"")</f>
        <v>76</v>
      </c>
      <c r="K9" s="315">
        <f t="array" ref="K9">IFERROR(INDEX(Calculs_CABS!$D$9:$E$900,MATCH(1,(Calculs_CABS!$C$9:$C$900=$E9)*(Calculs_CABS!$B$9:$B$900=K$8),0),2),"")</f>
        <v>62</v>
      </c>
      <c r="L9" s="315">
        <f t="array" ref="L9">IFERROR(INDEX(Calculs_CABS!$D$9:$E$900,MATCH(1,(Calculs_CABS!$C$9:$C$900=$E9)*(Calculs_CABS!$B$9:$B$900=L$8),0),2),"")</f>
        <v>76</v>
      </c>
      <c r="M9" s="315">
        <f t="array" ref="M9">IFERROR(INDEX(Calculs_CABS!$D$9:$E$900,MATCH(1,(Calculs_CABS!$C$9:$C$900=$E9)*(Calculs_CABS!$B$9:$B$900=M$8),0),2),"")</f>
        <v>138</v>
      </c>
      <c r="N9" s="316">
        <f t="array" ref="N9">IFERROR(INDEX(Calculs_CABS!$D$9:$E$900,MATCH(1,(Calculs_CABS!$C$9:$C$900=$E9)*(Calculs_CABS!$B$9:$B$900=N$8),0),2),"")</f>
        <v>0.64</v>
      </c>
      <c r="O9" s="315" t="str">
        <f t="array" ref="O9">IFERROR(INDEX(Calculs_CABS!$D$9:$E$900,MATCH(1,(Calculs_CABS!$C$9:$C$900=$E9)*(Calculs_CABS!$B$9:$B$900=O$8),0),1),"")</f>
        <v>Amplitude horaire annuelle (h ouvrées/an) Nb_h ouvrées</v>
      </c>
      <c r="P9" s="315">
        <f t="array" ref="P9">IFERROR(INDEX(Calculs_CABS!$D$9:$E900,MATCH(1,(Calculs_CABS!$C$9:$C$900=$E9)*(Calculs_CABS!$B$9:$B$900=O$8),0),2),"")</f>
        <v>8760</v>
      </c>
      <c r="Q9" s="420"/>
      <c r="R9" s="315" t="str">
        <f t="array" ref="R9">IFERROR(INDEX(Calculs_CABS!$D$9:$E$900,MATCH(1,(Calculs_CABS!$C$9:$C$900=$E9)*(Calculs_CABS!$B$9:$B$900=R$8),0),1),"")</f>
        <v>Surface utile par lit (m²/lit) Surf</v>
      </c>
      <c r="S9" s="315">
        <f t="array" ref="S9">IFERROR(INDEX(Calculs_CABS!$D$9:$E$900,MATCH(1,(Calculs_CABS!$C$9:$C$900=$E9)*(Calculs_CABS!$B$9:$B$900=R$8),0),2),"")</f>
        <v>20</v>
      </c>
      <c r="T9" s="420"/>
      <c r="U9" s="315" t="str">
        <f t="array" ref="U9">IFERROR(INDEX(Calculs_CABS!$D$9:$E$900,MATCH(1,(Calculs_CABS!$C$9:$C$900=$E9)*(Calculs_CABS!$B$9:$B$900=U$8),0),1),"")</f>
        <v>Taux d’utilisation (%)  T_util</v>
      </c>
      <c r="V9" s="315">
        <f t="array" ref="V9">IFERROR(INDEX(Calculs_CABS!$D$9:$E$900,MATCH(1,(Calculs_CABS!$C$9:$C$900=$E9)*(Calculs_CABS!$B$9:$B$900=U$8),0),2),"")</f>
        <v>90</v>
      </c>
      <c r="W9" s="420"/>
      <c r="X9" s="317">
        <f>IFERROR(I9*F9,"")</f>
        <v>0</v>
      </c>
    </row>
    <row r="10" spans="1:24" ht="15.75">
      <c r="A10" s="402"/>
      <c r="B10" s="403"/>
      <c r="C10" s="403"/>
      <c r="D10" s="404"/>
      <c r="E10" s="405"/>
      <c r="F10" s="468"/>
      <c r="G10" s="406"/>
      <c r="H10" s="407"/>
      <c r="I10" s="319" t="str">
        <f t="shared" ref="I10:I38" si="0">IFERROR(J10+K10,"")</f>
        <v/>
      </c>
      <c r="J10" s="320" t="str">
        <f>IFERROR(INDEX(Calculs_CABS!$F$7:$AI$7,1,ROW(E10)-ROW($E$8)),"")</f>
        <v/>
      </c>
      <c r="K10" s="321" t="str">
        <f t="array" ref="K10">IFERROR(INDEX(Calculs_CABS!$D$9:$E$900,MATCH(1,(Calculs_CABS!$C$9:$C$900=$E10)*(Calculs_CABS!$B$9:$B$900=K$8),0),2),"")</f>
        <v/>
      </c>
      <c r="L10" s="321" t="str">
        <f t="array" ref="L10">IFERROR(INDEX(Calculs_CABS!$D$9:$E$900,MATCH(1,(Calculs_CABS!$C$9:$C$900=$E10)*(Calculs_CABS!$B$9:$B$900=L$8),0),2),"")</f>
        <v/>
      </c>
      <c r="M10" s="321" t="str">
        <f t="array" ref="M10">IFERROR(INDEX(Calculs_CABS!$D$9:$E$900,MATCH(1,(Calculs_CABS!$C$9:$C$900=$E10)*(Calculs_CABS!$B$9:$B$900=M$8),0),2),"")</f>
        <v/>
      </c>
      <c r="N10" s="322" t="str">
        <f t="array" ref="N10">IFERROR(INDEX(Calculs_CABS!$D$9:$E$900,MATCH(1,(Calculs_CABS!$C$9:$C$900=$E10)*(Calculs_CABS!$B$9:$B$900=N$8),0),2),"")</f>
        <v/>
      </c>
      <c r="O10" s="321" t="str">
        <f t="array" ref="O10">IFERROR(INDEX(Calculs_CABS!$D$9:$E$900,MATCH(1,(Calculs_CABS!$C$9:$C$900=$E10)*(Calculs_CABS!$B$9:$B$900=O$8),0),1),"")</f>
        <v/>
      </c>
      <c r="P10" s="321" t="str">
        <f t="array" ref="P10">IFERROR(INDEX(Calculs_CABS!$D$9:$E901,MATCH(1,(Calculs_CABS!$C$9:$C$900=$E10)*(Calculs_CABS!$B$9:$B$900=O$8),0),2),"")</f>
        <v/>
      </c>
      <c r="Q10" s="421"/>
      <c r="R10" s="321" t="str">
        <f t="array" ref="R10">IFERROR(INDEX(Calculs_CABS!$D$9:$E$900,MATCH(1,(Calculs_CABS!$C$9:$C$900=$E10)*(Calculs_CABS!$B$9:$B$900=R$8),0),1),"")</f>
        <v/>
      </c>
      <c r="S10" s="321" t="str">
        <f t="array" ref="S10">IFERROR(INDEX(Calculs_CABS!$D$9:$E$900,MATCH(1,(Calculs_CABS!$C$9:$C$900=$E10)*(Calculs_CABS!$B$9:$B$900=R$8),0),2),"")</f>
        <v/>
      </c>
      <c r="T10" s="421"/>
      <c r="U10" s="321" t="str">
        <f t="array" ref="U10">IFERROR(INDEX(Calculs_CABS!$D$9:$E$900,MATCH(1,(Calculs_CABS!$C$9:$C$900=$E10)*(Calculs_CABS!$B$9:$B$900=U$8),0),1),"")</f>
        <v/>
      </c>
      <c r="V10" s="321" t="str">
        <f t="array" ref="V10">IFERROR(INDEX(Calculs_CABS!$D$9:$E$900,MATCH(1,(Calculs_CABS!$C$9:$C$900=$E10)*(Calculs_CABS!$B$9:$B$900=U$8),0),2),"")</f>
        <v/>
      </c>
      <c r="W10" s="421"/>
      <c r="X10" s="323" t="str">
        <f t="shared" ref="X10:X38" si="1">IFERROR(I10*F10,"")</f>
        <v/>
      </c>
    </row>
    <row r="11" spans="1:24" ht="15.75">
      <c r="A11" s="402"/>
      <c r="B11" s="403"/>
      <c r="C11" s="403"/>
      <c r="D11" s="404"/>
      <c r="E11" s="405"/>
      <c r="F11" s="410"/>
      <c r="G11" s="406"/>
      <c r="H11" s="407"/>
      <c r="I11" s="319" t="str">
        <f t="shared" si="0"/>
        <v/>
      </c>
      <c r="J11" s="320" t="str">
        <f>IFERROR(INDEX(Calculs_CABS!$F$7:$AI$7,1,ROW(E11)-ROW($E$8)),"")</f>
        <v/>
      </c>
      <c r="K11" s="321" t="str">
        <f t="array" ref="K11">IFERROR(INDEX(Calculs_CABS!$D$9:$E$900,MATCH(1,(Calculs_CABS!$C$9:$C$900=$E11)*(Calculs_CABS!$B$9:$B$900=K$8),0),2),"")</f>
        <v/>
      </c>
      <c r="L11" s="321" t="str">
        <f t="array" ref="L11">IFERROR(INDEX(Calculs_CABS!$D$9:$E$900,MATCH(1,(Calculs_CABS!$C$9:$C$900=$E11)*(Calculs_CABS!$B$9:$B$900=L$8),0),2),"")</f>
        <v/>
      </c>
      <c r="M11" s="321" t="str">
        <f t="array" ref="M11">IFERROR(INDEX(Calculs_CABS!$D$9:$E$900,MATCH(1,(Calculs_CABS!$C$9:$C$900=$E11)*(Calculs_CABS!$B$9:$B$900=M$8),0),2),"")</f>
        <v/>
      </c>
      <c r="N11" s="322" t="str">
        <f t="array" ref="N11">IFERROR(INDEX(Calculs_CABS!$D$9:$E$900,MATCH(1,(Calculs_CABS!$C$9:$C$900=$E11)*(Calculs_CABS!$B$9:$B$900=N$8),0),2),"")</f>
        <v/>
      </c>
      <c r="O11" s="321" t="str">
        <f t="array" ref="O11">IFERROR(INDEX(Calculs_CABS!$D$9:$E$900,MATCH(1,(Calculs_CABS!$C$9:$C$900=$E11)*(Calculs_CABS!$B$9:$B$900=O$8),0),1),"")</f>
        <v/>
      </c>
      <c r="P11" s="321" t="str">
        <f t="array" ref="P11">IFERROR(INDEX(Calculs_CABS!$D$9:$E902,MATCH(1,(Calculs_CABS!$C$9:$C$900=$E11)*(Calculs_CABS!$B$9:$B$900=O$8),0),2),"")</f>
        <v/>
      </c>
      <c r="Q11" s="421"/>
      <c r="R11" s="321" t="str">
        <f t="array" ref="R11">IFERROR(INDEX(Calculs_CABS!$D$9:$E$900,MATCH(1,(Calculs_CABS!$C$9:$C$900=$E11)*(Calculs_CABS!$B$9:$B$900=R$8),0),1),"")</f>
        <v/>
      </c>
      <c r="S11" s="321" t="str">
        <f t="array" ref="S11">IFERROR(INDEX(Calculs_CABS!$D$9:$E$900,MATCH(1,(Calculs_CABS!$C$9:$C$900=$E11)*(Calculs_CABS!$B$9:$B$900=R$8),0),2),"")</f>
        <v/>
      </c>
      <c r="T11" s="424"/>
      <c r="U11" s="321" t="str">
        <f t="array" ref="U11">IFERROR(INDEX(Calculs_CABS!$D$9:$E$900,MATCH(1,(Calculs_CABS!$C$9:$C$900=$E11)*(Calculs_CABS!$B$9:$B$900=U$8),0),1),"")</f>
        <v/>
      </c>
      <c r="V11" s="321" t="str">
        <f t="array" ref="V11">IFERROR(INDEX(Calculs_CABS!$D$9:$E$900,MATCH(1,(Calculs_CABS!$C$9:$C$900=$E11)*(Calculs_CABS!$B$9:$B$900=U$8),0),2),"")</f>
        <v/>
      </c>
      <c r="W11" s="421"/>
      <c r="X11" s="323" t="str">
        <f t="shared" si="1"/>
        <v/>
      </c>
    </row>
    <row r="12" spans="1:24" ht="15.75">
      <c r="A12" s="408"/>
      <c r="B12" s="403"/>
      <c r="C12" s="403"/>
      <c r="D12" s="404"/>
      <c r="E12" s="405"/>
      <c r="F12" s="410"/>
      <c r="G12" s="406"/>
      <c r="H12" s="407"/>
      <c r="I12" s="319" t="str">
        <f t="shared" si="0"/>
        <v/>
      </c>
      <c r="J12" s="320" t="str">
        <f>IFERROR(INDEX(Calculs_CABS!$F$7:$AI$7,1,ROW(E12)-ROW($E$8)),"")</f>
        <v/>
      </c>
      <c r="K12" s="321" t="str">
        <f t="array" ref="K12">IFERROR(INDEX(Calculs_CABS!$D$9:$E$900,MATCH(1,(Calculs_CABS!$C$9:$C$900=$E12)*(Calculs_CABS!$B$9:$B$900=K$8),0),2),"")</f>
        <v/>
      </c>
      <c r="L12" s="321" t="str">
        <f t="array" ref="L12">IFERROR(INDEX(Calculs_CABS!$D$9:$E$900,MATCH(1,(Calculs_CABS!$C$9:$C$900=$E12)*(Calculs_CABS!$B$9:$B$900=L$8),0),2),"")</f>
        <v/>
      </c>
      <c r="M12" s="321" t="str">
        <f t="array" ref="M12">IFERROR(INDEX(Calculs_CABS!$D$9:$E$900,MATCH(1,(Calculs_CABS!$C$9:$C$900=$E12)*(Calculs_CABS!$B$9:$B$900=M$8),0),2),"")</f>
        <v/>
      </c>
      <c r="N12" s="322" t="str">
        <f t="array" ref="N12">IFERROR(INDEX(Calculs_CABS!$D$9:$E$900,MATCH(1,(Calculs_CABS!$C$9:$C$900=$E12)*(Calculs_CABS!$B$9:$B$900=N$8),0),2),"")</f>
        <v/>
      </c>
      <c r="O12" s="321" t="str">
        <f t="array" ref="O12">IFERROR(INDEX(Calculs_CABS!$D$9:$E$900,MATCH(1,(Calculs_CABS!$C$9:$C$900=$E12)*(Calculs_CABS!$B$9:$B$900=O$8),0),1),"")</f>
        <v/>
      </c>
      <c r="P12" s="321" t="str">
        <f t="array" ref="P12">IFERROR(INDEX(Calculs_CABS!$D$9:$E903,MATCH(1,(Calculs_CABS!$C$9:$C$900=$E12)*(Calculs_CABS!$B$9:$B$900=O$8),0),2),"")</f>
        <v/>
      </c>
      <c r="Q12" s="421"/>
      <c r="R12" s="321" t="str">
        <f t="array" ref="R12">IFERROR(INDEX(Calculs_CABS!$D$9:$E$900,MATCH(1,(Calculs_CABS!$C$9:$C$900=$E12)*(Calculs_CABS!$B$9:$B$900=R$8),0),1),"")</f>
        <v/>
      </c>
      <c r="S12" s="321" t="str">
        <f t="array" ref="S12">IFERROR(INDEX(Calculs_CABS!$D$9:$E$900,MATCH(1,(Calculs_CABS!$C$9:$C$900=$E12)*(Calculs_CABS!$B$9:$B$900=R$8),0),2),"")</f>
        <v/>
      </c>
      <c r="T12" s="421"/>
      <c r="U12" s="321" t="str">
        <f t="array" ref="U12">IFERROR(INDEX(Calculs_CABS!$D$9:$E$900,MATCH(1,(Calculs_CABS!$C$9:$C$900=$E12)*(Calculs_CABS!$B$9:$B$900=U$8),0),1),"")</f>
        <v/>
      </c>
      <c r="V12" s="321" t="str">
        <f t="array" ref="V12">IFERROR(INDEX(Calculs_CABS!$D$9:$E$900,MATCH(1,(Calculs_CABS!$C$9:$C$900=$E12)*(Calculs_CABS!$B$9:$B$900=U$8),0),2),"")</f>
        <v/>
      </c>
      <c r="W12" s="421"/>
      <c r="X12" s="323" t="str">
        <f t="shared" si="1"/>
        <v/>
      </c>
    </row>
    <row r="13" spans="1:24" ht="15.75">
      <c r="A13" s="408"/>
      <c r="B13" s="403"/>
      <c r="C13" s="403"/>
      <c r="D13" s="404"/>
      <c r="E13" s="405"/>
      <c r="F13" s="410"/>
      <c r="G13" s="406"/>
      <c r="H13" s="407"/>
      <c r="I13" s="319" t="str">
        <f t="shared" si="0"/>
        <v/>
      </c>
      <c r="J13" s="320" t="str">
        <f>IFERROR(INDEX(Calculs_CABS!$F$7:$AI$7,1,ROW(E13)-ROW($E$8)),"")</f>
        <v/>
      </c>
      <c r="K13" s="321" t="str">
        <f t="array" ref="K13">IFERROR(INDEX(Calculs_CABS!$D$9:$E$900,MATCH(1,(Calculs_CABS!$C$9:$C$900=$E13)*(Calculs_CABS!$B$9:$B$900=K$8),0),2),"")</f>
        <v/>
      </c>
      <c r="L13" s="321" t="str">
        <f t="array" ref="L13">IFERROR(INDEX(Calculs_CABS!$D$9:$E$900,MATCH(1,(Calculs_CABS!$C$9:$C$900=$E13)*(Calculs_CABS!$B$9:$B$900=L$8),0),2),"")</f>
        <v/>
      </c>
      <c r="M13" s="321" t="str">
        <f t="array" ref="M13">IFERROR(INDEX(Calculs_CABS!$D$9:$E$900,MATCH(1,(Calculs_CABS!$C$9:$C$900=$E13)*(Calculs_CABS!$B$9:$B$900=M$8),0),2),"")</f>
        <v/>
      </c>
      <c r="N13" s="322" t="str">
        <f t="array" ref="N13">IFERROR(INDEX(Calculs_CABS!$D$9:$E$900,MATCH(1,(Calculs_CABS!$C$9:$C$900=$E13)*(Calculs_CABS!$B$9:$B$900=N$8),0),2),"")</f>
        <v/>
      </c>
      <c r="O13" s="321" t="str">
        <f t="array" ref="O13">IFERROR(INDEX(Calculs_CABS!$D$9:$E$900,MATCH(1,(Calculs_CABS!$C$9:$C$900=$E13)*(Calculs_CABS!$B$9:$B$900=O$8),0),1),"")</f>
        <v/>
      </c>
      <c r="P13" s="321" t="str">
        <f t="array" ref="P13">IFERROR(INDEX(Calculs_CABS!$D$9:$E904,MATCH(1,(Calculs_CABS!$C$9:$C$900=$E13)*(Calculs_CABS!$B$9:$B$900=O$8),0),2),"")</f>
        <v/>
      </c>
      <c r="Q13" s="422"/>
      <c r="R13" s="321" t="str">
        <f t="array" ref="R13">IFERROR(INDEX(Calculs_CABS!$D$9:$E$900,MATCH(1,(Calculs_CABS!$C$9:$C$900=$E13)*(Calculs_CABS!$B$9:$B$900=R$8),0),1),"")</f>
        <v/>
      </c>
      <c r="S13" s="321" t="str">
        <f t="array" ref="S13">IFERROR(INDEX(Calculs_CABS!$D$9:$E$900,MATCH(1,(Calculs_CABS!$C$9:$C$900=$E13)*(Calculs_CABS!$B$9:$B$900=R$8),0),2),"")</f>
        <v/>
      </c>
      <c r="T13" s="421"/>
      <c r="U13" s="321" t="str">
        <f t="array" ref="U13">IFERROR(INDEX(Calculs_CABS!$D$9:$E$900,MATCH(1,(Calculs_CABS!$C$9:$C$900=$E13)*(Calculs_CABS!$B$9:$B$900=U$8),0),1),"")</f>
        <v/>
      </c>
      <c r="V13" s="321" t="str">
        <f t="array" ref="V13">IFERROR(INDEX(Calculs_CABS!$D$9:$E$900,MATCH(1,(Calculs_CABS!$C$9:$C$900=$E13)*(Calculs_CABS!$B$9:$B$900=U$8),0),2),"")</f>
        <v/>
      </c>
      <c r="W13" s="422"/>
      <c r="X13" s="323" t="str">
        <f t="shared" si="1"/>
        <v/>
      </c>
    </row>
    <row r="14" spans="1:24" ht="15.75">
      <c r="A14" s="408"/>
      <c r="B14" s="403"/>
      <c r="C14" s="403"/>
      <c r="D14" s="404"/>
      <c r="E14" s="405"/>
      <c r="F14" s="410"/>
      <c r="G14" s="406"/>
      <c r="H14" s="407"/>
      <c r="I14" s="319" t="str">
        <f t="shared" si="0"/>
        <v/>
      </c>
      <c r="J14" s="320" t="str">
        <f>IFERROR(INDEX(Calculs_CABS!$F$7:$AI$7,1,ROW(E14)-ROW($E$8)),"")</f>
        <v/>
      </c>
      <c r="K14" s="321" t="str">
        <f t="array" ref="K14">IFERROR(INDEX(Calculs_CABS!$D$9:$E$900,MATCH(1,(Calculs_CABS!$C$9:$C$900=$E14)*(Calculs_CABS!$B$9:$B$900=K$8),0),2),"")</f>
        <v/>
      </c>
      <c r="L14" s="321" t="str">
        <f t="array" ref="L14">IFERROR(INDEX(Calculs_CABS!$D$9:$E$900,MATCH(1,(Calculs_CABS!$C$9:$C$900=$E14)*(Calculs_CABS!$B$9:$B$900=L$8),0),2),"")</f>
        <v/>
      </c>
      <c r="M14" s="321" t="str">
        <f t="array" ref="M14">IFERROR(INDEX(Calculs_CABS!$D$9:$E$900,MATCH(1,(Calculs_CABS!$C$9:$C$900=$E14)*(Calculs_CABS!$B$9:$B$900=M$8),0),2),"")</f>
        <v/>
      </c>
      <c r="N14" s="322" t="str">
        <f t="array" ref="N14">IFERROR(INDEX(Calculs_CABS!$D$9:$E$900,MATCH(1,(Calculs_CABS!$C$9:$C$900=$E14)*(Calculs_CABS!$B$9:$B$900=N$8),0),2),"")</f>
        <v/>
      </c>
      <c r="O14" s="321" t="str">
        <f t="array" ref="O14">IFERROR(INDEX(Calculs_CABS!$D$9:$E$900,MATCH(1,(Calculs_CABS!$C$9:$C$900=$E14)*(Calculs_CABS!$B$9:$B$900=O$8),0),1),"")</f>
        <v/>
      </c>
      <c r="P14" s="321" t="str">
        <f t="array" ref="P14">IFERROR(INDEX(Calculs_CABS!$D$9:$E905,MATCH(1,(Calculs_CABS!$C$9:$C$900=$E14)*(Calculs_CABS!$B$9:$B$900=O$8),0),2),"")</f>
        <v/>
      </c>
      <c r="Q14" s="421"/>
      <c r="R14" s="321" t="str">
        <f t="array" ref="R14">IFERROR(INDEX(Calculs_CABS!$D$9:$E$900,MATCH(1,(Calculs_CABS!$C$9:$C$900=$E14)*(Calculs_CABS!$B$9:$B$900=R$8),0),1),"")</f>
        <v/>
      </c>
      <c r="S14" s="321" t="str">
        <f t="array" ref="S14">IFERROR(INDEX(Calculs_CABS!$D$9:$E$900,MATCH(1,(Calculs_CABS!$C$9:$C$900=$E14)*(Calculs_CABS!$B$9:$B$900=R$8),0),2),"")</f>
        <v/>
      </c>
      <c r="T14" s="421"/>
      <c r="U14" s="321" t="str">
        <f t="array" ref="U14">IFERROR(INDEX(Calculs_CABS!$D$9:$E$900,MATCH(1,(Calculs_CABS!$C$9:$C$900=$E14)*(Calculs_CABS!$B$9:$B$900=U$8),0),1),"")</f>
        <v/>
      </c>
      <c r="V14" s="321" t="str">
        <f t="array" ref="V14">IFERROR(INDEX(Calculs_CABS!$D$9:$E$900,MATCH(1,(Calculs_CABS!$C$9:$C$900=$E14)*(Calculs_CABS!$B$9:$B$900=U$8),0),2),"")</f>
        <v/>
      </c>
      <c r="W14" s="421"/>
      <c r="X14" s="323" t="str">
        <f t="shared" si="1"/>
        <v/>
      </c>
    </row>
    <row r="15" spans="1:24" ht="15.75">
      <c r="A15" s="408"/>
      <c r="B15" s="411"/>
      <c r="C15" s="411"/>
      <c r="D15" s="404"/>
      <c r="E15" s="409"/>
      <c r="F15" s="410"/>
      <c r="G15" s="406"/>
      <c r="H15" s="407"/>
      <c r="I15" s="319" t="str">
        <f t="shared" si="0"/>
        <v/>
      </c>
      <c r="J15" s="320" t="str">
        <f>IFERROR(INDEX(Calculs_CABS!$F$7:$AI$7,1,ROW(E15)-ROW($E$8)),"")</f>
        <v/>
      </c>
      <c r="K15" s="321" t="str">
        <f t="array" ref="K15">IFERROR(INDEX(Calculs_CABS!$D$9:$E$900,MATCH(1,(Calculs_CABS!$C$9:$C$900=$E15)*(Calculs_CABS!$B$9:$B$900=K$8),0),2),"")</f>
        <v/>
      </c>
      <c r="L15" s="321" t="str">
        <f t="array" ref="L15">IFERROR(INDEX(Calculs_CABS!$D$9:$E$900,MATCH(1,(Calculs_CABS!$C$9:$C$900=$E15)*(Calculs_CABS!$B$9:$B$900=L$8),0),2),"")</f>
        <v/>
      </c>
      <c r="M15" s="321" t="str">
        <f t="array" ref="M15">IFERROR(INDEX(Calculs_CABS!$D$9:$E$900,MATCH(1,(Calculs_CABS!$C$9:$C$900=$E15)*(Calculs_CABS!$B$9:$B$900=M$8),0),2),"")</f>
        <v/>
      </c>
      <c r="N15" s="322" t="str">
        <f t="array" ref="N15">IFERROR(INDEX(Calculs_CABS!$D$9:$E$900,MATCH(1,(Calculs_CABS!$C$9:$C$900=$E15)*(Calculs_CABS!$B$9:$B$900=N$8),0),2),"")</f>
        <v/>
      </c>
      <c r="O15" s="321" t="str">
        <f t="array" ref="O15">IFERROR(INDEX(Calculs_CABS!$D$9:$E$900,MATCH(1,(Calculs_CABS!$C$9:$C$900=$E15)*(Calculs_CABS!$B$9:$B$900=O$8),0),1),"")</f>
        <v/>
      </c>
      <c r="P15" s="321" t="str">
        <f t="array" ref="P15">IFERROR(INDEX(Calculs_CABS!$D$9:$E906,MATCH(1,(Calculs_CABS!$C$9:$C$900=$E15)*(Calculs_CABS!$B$9:$B$900=O$8),0),2),"")</f>
        <v/>
      </c>
      <c r="Q15" s="422"/>
      <c r="R15" s="321" t="str">
        <f t="array" ref="R15">IFERROR(INDEX(Calculs_CABS!$D$9:$E$900,MATCH(1,(Calculs_CABS!$C$9:$C$900=$E15)*(Calculs_CABS!$B$9:$B$900=R$8),0),1),"")</f>
        <v/>
      </c>
      <c r="S15" s="321" t="str">
        <f t="array" ref="S15">IFERROR(INDEX(Calculs_CABS!$D$9:$E$900,MATCH(1,(Calculs_CABS!$C$9:$C$900=$E15)*(Calculs_CABS!$B$9:$B$900=R$8),0),2),"")</f>
        <v/>
      </c>
      <c r="T15" s="421"/>
      <c r="U15" s="321" t="str">
        <f t="array" ref="U15">IFERROR(INDEX(Calculs_CABS!$D$9:$E$900,MATCH(1,(Calculs_CABS!$C$9:$C$900=$E15)*(Calculs_CABS!$B$9:$B$900=U$8),0),1),"")</f>
        <v/>
      </c>
      <c r="V15" s="321" t="str">
        <f t="array" ref="V15">IFERROR(INDEX(Calculs_CABS!$D$9:$E$900,MATCH(1,(Calculs_CABS!$C$9:$C$900=$E15)*(Calculs_CABS!$B$9:$B$900=U$8),0),2),"")</f>
        <v/>
      </c>
      <c r="W15" s="421"/>
      <c r="X15" s="323" t="str">
        <f t="shared" si="1"/>
        <v/>
      </c>
    </row>
    <row r="16" spans="1:24" ht="15.75">
      <c r="A16" s="408"/>
      <c r="B16" s="411"/>
      <c r="C16" s="411"/>
      <c r="D16" s="404"/>
      <c r="E16" s="409"/>
      <c r="F16" s="410"/>
      <c r="G16" s="406"/>
      <c r="H16" s="407"/>
      <c r="I16" s="319" t="str">
        <f t="shared" si="0"/>
        <v/>
      </c>
      <c r="J16" s="320" t="str">
        <f>IFERROR(INDEX(Calculs_CABS!$F$7:$AI$7,1,ROW(E16)-ROW($E$8)),"")</f>
        <v/>
      </c>
      <c r="K16" s="321" t="str">
        <f t="array" ref="K16">IFERROR(INDEX(Calculs_CABS!$D$9:$E$900,MATCH(1,(Calculs_CABS!$C$9:$C$900=$E16)*(Calculs_CABS!$B$9:$B$900=K$8),0),2),"")</f>
        <v/>
      </c>
      <c r="L16" s="321" t="str">
        <f t="array" ref="L16">IFERROR(INDEX(Calculs_CABS!$D$9:$E$900,MATCH(1,(Calculs_CABS!$C$9:$C$900=$E16)*(Calculs_CABS!$B$9:$B$900=L$8),0),2),"")</f>
        <v/>
      </c>
      <c r="M16" s="321" t="str">
        <f t="array" ref="M16">IFERROR(INDEX(Calculs_CABS!$D$9:$E$900,MATCH(1,(Calculs_CABS!$C$9:$C$900=$E16)*(Calculs_CABS!$B$9:$B$900=M$8),0),2),"")</f>
        <v/>
      </c>
      <c r="N16" s="322" t="str">
        <f t="array" ref="N16">IFERROR(INDEX(Calculs_CABS!$D$9:$E$900,MATCH(1,(Calculs_CABS!$C$9:$C$900=$E16)*(Calculs_CABS!$B$9:$B$900=N$8),0),2),"")</f>
        <v/>
      </c>
      <c r="O16" s="321" t="str">
        <f t="array" ref="O16">IFERROR(INDEX(Calculs_CABS!$D$9:$E$900,MATCH(1,(Calculs_CABS!$C$9:$C$900=$E16)*(Calculs_CABS!$B$9:$B$900=O$8),0),1),"")</f>
        <v/>
      </c>
      <c r="P16" s="321" t="str">
        <f t="array" ref="P16">IFERROR(INDEX(Calculs_CABS!$D$9:$E907,MATCH(1,(Calculs_CABS!$C$9:$C$900=$E16)*(Calculs_CABS!$B$9:$B$900=O$8),0),2),"")</f>
        <v/>
      </c>
      <c r="Q16" s="421"/>
      <c r="R16" s="321" t="str">
        <f t="array" ref="R16">IFERROR(INDEX(Calculs_CABS!$D$9:$E$900,MATCH(1,(Calculs_CABS!$C$9:$C$900=$E16)*(Calculs_CABS!$B$9:$B$900=R$8),0),1),"")</f>
        <v/>
      </c>
      <c r="S16" s="321" t="str">
        <f t="array" ref="S16">IFERROR(INDEX(Calculs_CABS!$D$9:$E$900,MATCH(1,(Calculs_CABS!$C$9:$C$900=$E16)*(Calculs_CABS!$B$9:$B$900=R$8),0),2),"")</f>
        <v/>
      </c>
      <c r="T16" s="422"/>
      <c r="U16" s="321" t="str">
        <f t="array" ref="U16">IFERROR(INDEX(Calculs_CABS!$D$9:$E$900,MATCH(1,(Calculs_CABS!$C$9:$C$900=$E16)*(Calculs_CABS!$B$9:$B$900=U$8),0),1),"")</f>
        <v/>
      </c>
      <c r="V16" s="321" t="str">
        <f t="array" ref="V16">IFERROR(INDEX(Calculs_CABS!$D$9:$E$900,MATCH(1,(Calculs_CABS!$C$9:$C$900=$E16)*(Calculs_CABS!$B$9:$B$900=U$8),0),2),"")</f>
        <v/>
      </c>
      <c r="W16" s="422"/>
      <c r="X16" s="323" t="str">
        <f t="shared" si="1"/>
        <v/>
      </c>
    </row>
    <row r="17" spans="1:24" ht="15.75">
      <c r="A17" s="408"/>
      <c r="B17" s="411"/>
      <c r="C17" s="411"/>
      <c r="D17" s="404"/>
      <c r="E17" s="409"/>
      <c r="F17" s="410"/>
      <c r="G17" s="406"/>
      <c r="H17" s="407"/>
      <c r="I17" s="319" t="str">
        <f t="shared" si="0"/>
        <v/>
      </c>
      <c r="J17" s="320" t="str">
        <f>IFERROR(INDEX(Calculs_CABS!$F$7:$AI$7,1,ROW(E17)-ROW($E$8)),"")</f>
        <v/>
      </c>
      <c r="K17" s="321" t="str">
        <f t="array" ref="K17">IFERROR(INDEX(Calculs_CABS!$D$9:$E$900,MATCH(1,(Calculs_CABS!$C$9:$C$900=$E17)*(Calculs_CABS!$B$9:$B$900=K$8),0),2),"")</f>
        <v/>
      </c>
      <c r="L17" s="321" t="str">
        <f t="array" ref="L17">IFERROR(INDEX(Calculs_CABS!$D$9:$E$900,MATCH(1,(Calculs_CABS!$C$9:$C$900=$E17)*(Calculs_CABS!$B$9:$B$900=L$8),0),2),"")</f>
        <v/>
      </c>
      <c r="M17" s="321" t="str">
        <f t="array" ref="M17">IFERROR(INDEX(Calculs_CABS!$D$9:$E$900,MATCH(1,(Calculs_CABS!$C$9:$C$900=$E17)*(Calculs_CABS!$B$9:$B$900=M$8),0),2),"")</f>
        <v/>
      </c>
      <c r="N17" s="322" t="str">
        <f t="array" ref="N17">IFERROR(INDEX(Calculs_CABS!$D$9:$E$900,MATCH(1,(Calculs_CABS!$C$9:$C$900=$E17)*(Calculs_CABS!$B$9:$B$900=N$8),0),2),"")</f>
        <v/>
      </c>
      <c r="O17" s="321" t="str">
        <f t="array" ref="O17">IFERROR(INDEX(Calculs_CABS!$D$9:$E$900,MATCH(1,(Calculs_CABS!$C$9:$C$900=$E17)*(Calculs_CABS!$B$9:$B$900=O$8),0),1),"")</f>
        <v/>
      </c>
      <c r="P17" s="321" t="str">
        <f t="array" ref="P17">IFERROR(INDEX(Calculs_CABS!$D$9:$E908,MATCH(1,(Calculs_CABS!$C$9:$C$900=$E17)*(Calculs_CABS!$B$9:$B$900=O$8),0),2),"")</f>
        <v/>
      </c>
      <c r="Q17" s="421"/>
      <c r="R17" s="321" t="str">
        <f t="array" ref="R17">IFERROR(INDEX(Calculs_CABS!$D$9:$E$900,MATCH(1,(Calculs_CABS!$C$9:$C$900=$E17)*(Calculs_CABS!$B$9:$B$900=R$8),0),1),"")</f>
        <v/>
      </c>
      <c r="S17" s="321" t="str">
        <f t="array" ref="S17">IFERROR(INDEX(Calculs_CABS!$D$9:$E$900,MATCH(1,(Calculs_CABS!$C$9:$C$900=$E17)*(Calculs_CABS!$B$9:$B$900=R$8),0),2),"")</f>
        <v/>
      </c>
      <c r="T17" s="422"/>
      <c r="U17" s="321" t="str">
        <f t="array" ref="U17">IFERROR(INDEX(Calculs_CABS!$D$9:$E$900,MATCH(1,(Calculs_CABS!$C$9:$C$900=$E17)*(Calculs_CABS!$B$9:$B$900=U$8),0),1),"")</f>
        <v/>
      </c>
      <c r="V17" s="321" t="str">
        <f t="array" ref="V17">IFERROR(INDEX(Calculs_CABS!$D$9:$E$900,MATCH(1,(Calculs_CABS!$C$9:$C$900=$E17)*(Calculs_CABS!$B$9:$B$900=U$8),0),2),"")</f>
        <v/>
      </c>
      <c r="W17" s="422"/>
      <c r="X17" s="323" t="str">
        <f t="shared" si="1"/>
        <v/>
      </c>
    </row>
    <row r="18" spans="1:24" ht="15.75">
      <c r="A18" s="408"/>
      <c r="B18" s="411"/>
      <c r="C18" s="411"/>
      <c r="D18" s="404"/>
      <c r="E18" s="409"/>
      <c r="F18" s="410"/>
      <c r="G18" s="406"/>
      <c r="H18" s="407"/>
      <c r="I18" s="319" t="str">
        <f t="shared" si="0"/>
        <v/>
      </c>
      <c r="J18" s="320" t="str">
        <f>IFERROR(INDEX(Calculs_CABS!$F$7:$AI$7,1,ROW(E18)-ROW($E$8)),"")</f>
        <v/>
      </c>
      <c r="K18" s="321" t="str">
        <f t="array" ref="K18">IFERROR(INDEX(Calculs_CABS!$D$9:$E$900,MATCH(1,(Calculs_CABS!$C$9:$C$900=$E18)*(Calculs_CABS!$B$9:$B$900=K$8),0),2),"")</f>
        <v/>
      </c>
      <c r="L18" s="321" t="str">
        <f t="array" ref="L18">IFERROR(INDEX(Calculs_CABS!$D$9:$E$900,MATCH(1,(Calculs_CABS!$C$9:$C$900=$E18)*(Calculs_CABS!$B$9:$B$900=L$8),0),2),"")</f>
        <v/>
      </c>
      <c r="M18" s="321" t="str">
        <f t="array" ref="M18">IFERROR(INDEX(Calculs_CABS!$D$9:$E$900,MATCH(1,(Calculs_CABS!$C$9:$C$900=$E18)*(Calculs_CABS!$B$9:$B$900=M$8),0),2),"")</f>
        <v/>
      </c>
      <c r="N18" s="322" t="str">
        <f t="array" ref="N18">IFERROR(INDEX(Calculs_CABS!$D$9:$E$900,MATCH(1,(Calculs_CABS!$C$9:$C$900=$E18)*(Calculs_CABS!$B$9:$B$900=N$8),0),2),"")</f>
        <v/>
      </c>
      <c r="O18" s="321" t="str">
        <f t="array" ref="O18">IFERROR(INDEX(Calculs_CABS!$D$9:$E$900,MATCH(1,(Calculs_CABS!$C$9:$C$900=$E18)*(Calculs_CABS!$B$9:$B$900=O$8),0),1),"")</f>
        <v/>
      </c>
      <c r="P18" s="321" t="str">
        <f t="array" ref="P18">IFERROR(INDEX(Calculs_CABS!$D$9:$E909,MATCH(1,(Calculs_CABS!$C$9:$C$900=$E18)*(Calculs_CABS!$B$9:$B$900=O$8),0),2),"")</f>
        <v/>
      </c>
      <c r="Q18" s="422"/>
      <c r="R18" s="321" t="str">
        <f t="array" ref="R18">IFERROR(INDEX(Calculs_CABS!$D$9:$E$900,MATCH(1,(Calculs_CABS!$C$9:$C$900=$E18)*(Calculs_CABS!$B$9:$B$900=R$8),0),1),"")</f>
        <v/>
      </c>
      <c r="S18" s="321" t="str">
        <f t="array" ref="S18">IFERROR(INDEX(Calculs_CABS!$D$9:$E$900,MATCH(1,(Calculs_CABS!$C$9:$C$900=$E18)*(Calculs_CABS!$B$9:$B$900=R$8),0),2),"")</f>
        <v/>
      </c>
      <c r="T18" s="422"/>
      <c r="U18" s="321" t="str">
        <f t="array" ref="U18">IFERROR(INDEX(Calculs_CABS!$D$9:$E$900,MATCH(1,(Calculs_CABS!$C$9:$C$900=$E18)*(Calculs_CABS!$B$9:$B$900=U$8),0),1),"")</f>
        <v/>
      </c>
      <c r="V18" s="321" t="str">
        <f t="array" ref="V18">IFERROR(INDEX(Calculs_CABS!$D$9:$E$900,MATCH(1,(Calculs_CABS!$C$9:$C$900=$E18)*(Calculs_CABS!$B$9:$B$900=U$8),0),2),"")</f>
        <v/>
      </c>
      <c r="W18" s="422"/>
      <c r="X18" s="323" t="str">
        <f t="shared" si="1"/>
        <v/>
      </c>
    </row>
    <row r="19" spans="1:24" ht="15.75">
      <c r="A19" s="408"/>
      <c r="B19" s="411"/>
      <c r="C19" s="411"/>
      <c r="D19" s="404"/>
      <c r="E19" s="409"/>
      <c r="F19" s="410"/>
      <c r="G19" s="406"/>
      <c r="H19" s="407"/>
      <c r="I19" s="319" t="str">
        <f t="shared" si="0"/>
        <v/>
      </c>
      <c r="J19" s="320" t="str">
        <f>IFERROR(INDEX(Calculs_CABS!$F$7:$AI$7,1,ROW(E19)-ROW($E$8)),"")</f>
        <v/>
      </c>
      <c r="K19" s="321" t="str">
        <f t="array" ref="K19">IFERROR(INDEX(Calculs_CABS!$D$9:$E$900,MATCH(1,(Calculs_CABS!$C$9:$C$900=$E19)*(Calculs_CABS!$B$9:$B$900=K$8),0),2),"")</f>
        <v/>
      </c>
      <c r="L19" s="321" t="str">
        <f t="array" ref="L19">IFERROR(INDEX(Calculs_CABS!$D$9:$E$900,MATCH(1,(Calculs_CABS!$C$9:$C$900=$E19)*(Calculs_CABS!$B$9:$B$900=L$8),0),2),"")</f>
        <v/>
      </c>
      <c r="M19" s="321" t="str">
        <f t="array" ref="M19">IFERROR(INDEX(Calculs_CABS!$D$9:$E$900,MATCH(1,(Calculs_CABS!$C$9:$C$900=$E19)*(Calculs_CABS!$B$9:$B$900=M$8),0),2),"")</f>
        <v/>
      </c>
      <c r="N19" s="322" t="str">
        <f t="array" ref="N19">IFERROR(INDEX(Calculs_CABS!$D$9:$E$900,MATCH(1,(Calculs_CABS!$C$9:$C$900=$E19)*(Calculs_CABS!$B$9:$B$900=N$8),0),2),"")</f>
        <v/>
      </c>
      <c r="O19" s="321" t="str">
        <f t="array" ref="O19">IFERROR(INDEX(Calculs_CABS!$D$9:$E$900,MATCH(1,(Calculs_CABS!$C$9:$C$900=$E19)*(Calculs_CABS!$B$9:$B$900=O$8),0),1),"")</f>
        <v/>
      </c>
      <c r="P19" s="321" t="str">
        <f t="array" ref="P19">IFERROR(INDEX(Calculs_CABS!$D$9:$E910,MATCH(1,(Calculs_CABS!$C$9:$C$900=$E19)*(Calculs_CABS!$B$9:$B$900=O$8),0),2),"")</f>
        <v/>
      </c>
      <c r="Q19" s="422"/>
      <c r="R19" s="321" t="str">
        <f t="array" ref="R19">IFERROR(INDEX(Calculs_CABS!$D$9:$E$900,MATCH(1,(Calculs_CABS!$C$9:$C$900=$E19)*(Calculs_CABS!$B$9:$B$900=R$8),0),1),"")</f>
        <v/>
      </c>
      <c r="S19" s="321" t="str">
        <f t="array" ref="S19">IFERROR(INDEX(Calculs_CABS!$D$9:$E$900,MATCH(1,(Calculs_CABS!$C$9:$C$900=$E19)*(Calculs_CABS!$B$9:$B$900=R$8),0),2),"")</f>
        <v/>
      </c>
      <c r="T19" s="421"/>
      <c r="U19" s="321" t="str">
        <f t="array" ref="U19">IFERROR(INDEX(Calculs_CABS!$D$9:$E$900,MATCH(1,(Calculs_CABS!$C$9:$C$900=$E19)*(Calculs_CABS!$B$9:$B$900=U$8),0),1),"")</f>
        <v/>
      </c>
      <c r="V19" s="321" t="str">
        <f t="array" ref="V19">IFERROR(INDEX(Calculs_CABS!$D$9:$E$900,MATCH(1,(Calculs_CABS!$C$9:$C$900=$E19)*(Calculs_CABS!$B$9:$B$900=U$8),0),2),"")</f>
        <v/>
      </c>
      <c r="W19" s="421"/>
      <c r="X19" s="323" t="str">
        <f t="shared" si="1"/>
        <v/>
      </c>
    </row>
    <row r="20" spans="1:24" ht="15.75">
      <c r="A20" s="408"/>
      <c r="B20" s="411"/>
      <c r="C20" s="411"/>
      <c r="D20" s="404"/>
      <c r="E20" s="409"/>
      <c r="F20" s="410"/>
      <c r="G20" s="406"/>
      <c r="H20" s="407"/>
      <c r="I20" s="319" t="str">
        <f t="shared" si="0"/>
        <v/>
      </c>
      <c r="J20" s="320" t="str">
        <f>IFERROR(INDEX(Calculs_CABS!$F$7:$AI$7,1,ROW(E20)-ROW($E$8)),"")</f>
        <v/>
      </c>
      <c r="K20" s="321" t="str">
        <f t="array" ref="K20">IFERROR(INDEX(Calculs_CABS!$D$9:$E$900,MATCH(1,(Calculs_CABS!$C$9:$C$900=$E20)*(Calculs_CABS!$B$9:$B$900=K$8),0),2),"")</f>
        <v/>
      </c>
      <c r="L20" s="321" t="str">
        <f t="array" ref="L20">IFERROR(INDEX(Calculs_CABS!$D$9:$E$900,MATCH(1,(Calculs_CABS!$C$9:$C$900=$E20)*(Calculs_CABS!$B$9:$B$900=L$8),0),2),"")</f>
        <v/>
      </c>
      <c r="M20" s="321" t="str">
        <f t="array" ref="M20">IFERROR(INDEX(Calculs_CABS!$D$9:$E$900,MATCH(1,(Calculs_CABS!$C$9:$C$900=$E20)*(Calculs_CABS!$B$9:$B$900=M$8),0),2),"")</f>
        <v/>
      </c>
      <c r="N20" s="322" t="str">
        <f t="array" ref="N20">IFERROR(INDEX(Calculs_CABS!$D$9:$E$900,MATCH(1,(Calculs_CABS!$C$9:$C$900=$E20)*(Calculs_CABS!$B$9:$B$900=N$8),0),2),"")</f>
        <v/>
      </c>
      <c r="O20" s="321" t="str">
        <f t="array" ref="O20">IFERROR(INDEX(Calculs_CABS!$D$9:$E$900,MATCH(1,(Calculs_CABS!$C$9:$C$900=$E20)*(Calculs_CABS!$B$9:$B$900=O$8),0),1),"")</f>
        <v/>
      </c>
      <c r="P20" s="321" t="str">
        <f t="array" ref="P20">IFERROR(INDEX(Calculs_CABS!$D$9:$E911,MATCH(1,(Calculs_CABS!$C$9:$C$900=$E20)*(Calculs_CABS!$B$9:$B$900=O$8),0),2),"")</f>
        <v/>
      </c>
      <c r="Q20" s="421"/>
      <c r="R20" s="321" t="str">
        <f t="array" ref="R20">IFERROR(INDEX(Calculs_CABS!$D$9:$E$900,MATCH(1,(Calculs_CABS!$C$9:$C$900=$E20)*(Calculs_CABS!$B$9:$B$900=R$8),0),1),"")</f>
        <v/>
      </c>
      <c r="S20" s="321" t="str">
        <f t="array" ref="S20">IFERROR(INDEX(Calculs_CABS!$D$9:$E$900,MATCH(1,(Calculs_CABS!$C$9:$C$900=$E20)*(Calculs_CABS!$B$9:$B$900=R$8),0),2),"")</f>
        <v/>
      </c>
      <c r="T20" s="421"/>
      <c r="U20" s="321" t="str">
        <f t="array" ref="U20">IFERROR(INDEX(Calculs_CABS!$D$9:$E$900,MATCH(1,(Calculs_CABS!$C$9:$C$900=$E20)*(Calculs_CABS!$B$9:$B$900=U$8),0),1),"")</f>
        <v/>
      </c>
      <c r="V20" s="321" t="str">
        <f t="array" ref="V20">IFERROR(INDEX(Calculs_CABS!$D$9:$E$900,MATCH(1,(Calculs_CABS!$C$9:$C$900=$E20)*(Calculs_CABS!$B$9:$B$900=U$8),0),2),"")</f>
        <v/>
      </c>
      <c r="W20" s="421"/>
      <c r="X20" s="323" t="str">
        <f t="shared" si="1"/>
        <v/>
      </c>
    </row>
    <row r="21" spans="1:24" ht="15.75">
      <c r="A21" s="408"/>
      <c r="B21" s="411"/>
      <c r="C21" s="411"/>
      <c r="D21" s="404"/>
      <c r="E21" s="409"/>
      <c r="F21" s="410"/>
      <c r="G21" s="406"/>
      <c r="H21" s="407"/>
      <c r="I21" s="319" t="str">
        <f t="shared" si="0"/>
        <v/>
      </c>
      <c r="J21" s="320" t="str">
        <f>IFERROR(INDEX(Calculs_CABS!$F$7:$AI$7,1,ROW(E21)-ROW($E$8)),"")</f>
        <v/>
      </c>
      <c r="K21" s="321" t="str">
        <f t="array" ref="K21">IFERROR(INDEX(Calculs_CABS!$D$9:$E$900,MATCH(1,(Calculs_CABS!$C$9:$C$900=$E21)*(Calculs_CABS!$B$9:$B$900=K$8),0),2),"")</f>
        <v/>
      </c>
      <c r="L21" s="321" t="str">
        <f t="array" ref="L21">IFERROR(INDEX(Calculs_CABS!$D$9:$E$900,MATCH(1,(Calculs_CABS!$C$9:$C$900=$E21)*(Calculs_CABS!$B$9:$B$900=L$8),0),2),"")</f>
        <v/>
      </c>
      <c r="M21" s="321" t="str">
        <f t="array" ref="M21">IFERROR(INDEX(Calculs_CABS!$D$9:$E$900,MATCH(1,(Calculs_CABS!$C$9:$C$900=$E21)*(Calculs_CABS!$B$9:$B$900=M$8),0),2),"")</f>
        <v/>
      </c>
      <c r="N21" s="322" t="str">
        <f t="array" ref="N21">IFERROR(INDEX(Calculs_CABS!$D$9:$E$900,MATCH(1,(Calculs_CABS!$C$9:$C$900=$E21)*(Calculs_CABS!$B$9:$B$900=N$8),0),2),"")</f>
        <v/>
      </c>
      <c r="O21" s="321" t="str">
        <f t="array" ref="O21">IFERROR(INDEX(Calculs_CABS!$D$9:$E$900,MATCH(1,(Calculs_CABS!$C$9:$C$900=$E21)*(Calculs_CABS!$B$9:$B$900=O$8),0),1),"")</f>
        <v/>
      </c>
      <c r="P21" s="321" t="str">
        <f t="array" ref="P21">IFERROR(INDEX(Calculs_CABS!$D$9:$E912,MATCH(1,(Calculs_CABS!$C$9:$C$900=$E21)*(Calculs_CABS!$B$9:$B$900=O$8),0),2),"")</f>
        <v/>
      </c>
      <c r="Q21" s="421"/>
      <c r="R21" s="321" t="str">
        <f t="array" ref="R21">IFERROR(INDEX(Calculs_CABS!$D$9:$E$900,MATCH(1,(Calculs_CABS!$C$9:$C$900=$E21)*(Calculs_CABS!$B$9:$B$900=R$8),0),1),"")</f>
        <v/>
      </c>
      <c r="S21" s="321" t="str">
        <f t="array" ref="S21">IFERROR(INDEX(Calculs_CABS!$D$9:$E$900,MATCH(1,(Calculs_CABS!$C$9:$C$900=$E21)*(Calculs_CABS!$B$9:$B$900=R$8),0),2),"")</f>
        <v/>
      </c>
      <c r="T21" s="421"/>
      <c r="U21" s="321" t="str">
        <f t="array" ref="U21">IFERROR(INDEX(Calculs_CABS!$D$9:$E$900,MATCH(1,(Calculs_CABS!$C$9:$C$900=$E21)*(Calculs_CABS!$B$9:$B$900=U$8),0),1),"")</f>
        <v/>
      </c>
      <c r="V21" s="321" t="str">
        <f t="array" ref="V21">IFERROR(INDEX(Calculs_CABS!$D$9:$E$900,MATCH(1,(Calculs_CABS!$C$9:$C$900=$E21)*(Calculs_CABS!$B$9:$B$900=U$8),0),2),"")</f>
        <v/>
      </c>
      <c r="W21" s="421"/>
      <c r="X21" s="323" t="str">
        <f t="shared" si="1"/>
        <v/>
      </c>
    </row>
    <row r="22" spans="1:24" ht="15.75">
      <c r="A22" s="408"/>
      <c r="B22" s="411"/>
      <c r="C22" s="411"/>
      <c r="D22" s="404"/>
      <c r="E22" s="409"/>
      <c r="F22" s="410"/>
      <c r="G22" s="406"/>
      <c r="H22" s="407"/>
      <c r="I22" s="319" t="str">
        <f t="shared" si="0"/>
        <v/>
      </c>
      <c r="J22" s="320" t="str">
        <f>IFERROR(INDEX(Calculs_CABS!$F$7:$AI$7,1,ROW(E22)-ROW($E$8)),"")</f>
        <v/>
      </c>
      <c r="K22" s="321" t="str">
        <f t="array" ref="K22">IFERROR(INDEX(Calculs_CABS!$D$9:$E$900,MATCH(1,(Calculs_CABS!$C$9:$C$900=$E22)*(Calculs_CABS!$B$9:$B$900=K$8),0),2),"")</f>
        <v/>
      </c>
      <c r="L22" s="321" t="str">
        <f t="array" ref="L22">IFERROR(INDEX(Calculs_CABS!$D$9:$E$900,MATCH(1,(Calculs_CABS!$C$9:$C$900=$E22)*(Calculs_CABS!$B$9:$B$900=L$8),0),2),"")</f>
        <v/>
      </c>
      <c r="M22" s="321" t="str">
        <f t="array" ref="M22">IFERROR(INDEX(Calculs_CABS!$D$9:$E$900,MATCH(1,(Calculs_CABS!$C$9:$C$900=$E22)*(Calculs_CABS!$B$9:$B$900=M$8),0),2),"")</f>
        <v/>
      </c>
      <c r="N22" s="322" t="str">
        <f t="array" ref="N22">IFERROR(INDEX(Calculs_CABS!$D$9:$E$900,MATCH(1,(Calculs_CABS!$C$9:$C$900=$E22)*(Calculs_CABS!$B$9:$B$900=N$8),0),2),"")</f>
        <v/>
      </c>
      <c r="O22" s="321" t="str">
        <f t="array" ref="O22">IFERROR(INDEX(Calculs_CABS!$D$9:$E$900,MATCH(1,(Calculs_CABS!$C$9:$C$900=$E22)*(Calculs_CABS!$B$9:$B$900=O$8),0),1),"")</f>
        <v/>
      </c>
      <c r="P22" s="321" t="str">
        <f t="array" ref="P22">IFERROR(INDEX(Calculs_CABS!$D$9:$E913,MATCH(1,(Calculs_CABS!$C$9:$C$900=$E22)*(Calculs_CABS!$B$9:$B$900=O$8),0),2),"")</f>
        <v/>
      </c>
      <c r="Q22" s="422"/>
      <c r="R22" s="321" t="str">
        <f t="array" ref="R22">IFERROR(INDEX(Calculs_CABS!$D$9:$E$900,MATCH(1,(Calculs_CABS!$C$9:$C$900=$E22)*(Calculs_CABS!$B$9:$B$900=R$8),0),1),"")</f>
        <v/>
      </c>
      <c r="S22" s="321" t="str">
        <f t="array" ref="S22">IFERROR(INDEX(Calculs_CABS!$D$9:$E$900,MATCH(1,(Calculs_CABS!$C$9:$C$900=$E22)*(Calculs_CABS!$B$9:$B$900=R$8),0),2),"")</f>
        <v/>
      </c>
      <c r="T22" s="421"/>
      <c r="U22" s="321" t="str">
        <f t="array" ref="U22">IFERROR(INDEX(Calculs_CABS!$D$9:$E$900,MATCH(1,(Calculs_CABS!$C$9:$C$900=$E22)*(Calculs_CABS!$B$9:$B$900=U$8),0),1),"")</f>
        <v/>
      </c>
      <c r="V22" s="321" t="str">
        <f t="array" ref="V22">IFERROR(INDEX(Calculs_CABS!$D$9:$E$900,MATCH(1,(Calculs_CABS!$C$9:$C$900=$E22)*(Calculs_CABS!$B$9:$B$900=U$8),0),2),"")</f>
        <v/>
      </c>
      <c r="W22" s="421"/>
      <c r="X22" s="323" t="str">
        <f t="shared" si="1"/>
        <v/>
      </c>
    </row>
    <row r="23" spans="1:24" ht="15.75">
      <c r="A23" s="408"/>
      <c r="B23" s="411"/>
      <c r="C23" s="411"/>
      <c r="D23" s="404"/>
      <c r="E23" s="409"/>
      <c r="F23" s="410"/>
      <c r="G23" s="406"/>
      <c r="H23" s="407"/>
      <c r="I23" s="319" t="str">
        <f t="shared" si="0"/>
        <v/>
      </c>
      <c r="J23" s="320" t="str">
        <f>IFERROR(INDEX(Calculs_CABS!$F$7:$AI$7,1,ROW(E23)-ROW($E$8)),"")</f>
        <v/>
      </c>
      <c r="K23" s="321" t="str">
        <f t="array" ref="K23">IFERROR(INDEX(Calculs_CABS!$D$9:$E$900,MATCH(1,(Calculs_CABS!$C$9:$C$900=$E23)*(Calculs_CABS!$B$9:$B$900=K$8),0),2),"")</f>
        <v/>
      </c>
      <c r="L23" s="321" t="str">
        <f t="array" ref="L23">IFERROR(INDEX(Calculs_CABS!$D$9:$E$900,MATCH(1,(Calculs_CABS!$C$9:$C$900=$E23)*(Calculs_CABS!$B$9:$B$900=L$8),0),2),"")</f>
        <v/>
      </c>
      <c r="M23" s="321" t="str">
        <f t="array" ref="M23">IFERROR(INDEX(Calculs_CABS!$D$9:$E$900,MATCH(1,(Calculs_CABS!$C$9:$C$900=$E23)*(Calculs_CABS!$B$9:$B$900=M$8),0),2),"")</f>
        <v/>
      </c>
      <c r="N23" s="322" t="str">
        <f t="array" ref="N23">IFERROR(INDEX(Calculs_CABS!$D$9:$E$900,MATCH(1,(Calculs_CABS!$C$9:$C$900=$E23)*(Calculs_CABS!$B$9:$B$900=N$8),0),2),"")</f>
        <v/>
      </c>
      <c r="O23" s="321" t="str">
        <f t="array" ref="O23">IFERROR(INDEX(Calculs_CABS!$D$9:$E$900,MATCH(1,(Calculs_CABS!$C$9:$C$900=$E23)*(Calculs_CABS!$B$9:$B$900=O$8),0),1),"")</f>
        <v/>
      </c>
      <c r="P23" s="321" t="str">
        <f t="array" ref="P23">IFERROR(INDEX(Calculs_CABS!$D$9:$E914,MATCH(1,(Calculs_CABS!$C$9:$C$900=$E23)*(Calculs_CABS!$B$9:$B$900=O$8),0),2),"")</f>
        <v/>
      </c>
      <c r="Q23" s="421"/>
      <c r="R23" s="321" t="str">
        <f t="array" ref="R23">IFERROR(INDEX(Calculs_CABS!$D$9:$E$900,MATCH(1,(Calculs_CABS!$C$9:$C$900=$E23)*(Calculs_CABS!$B$9:$B$900=R$8),0),1),"")</f>
        <v/>
      </c>
      <c r="S23" s="321" t="str">
        <f t="array" ref="S23">IFERROR(INDEX(Calculs_CABS!$D$9:$E$900,MATCH(1,(Calculs_CABS!$C$9:$C$900=$E23)*(Calculs_CABS!$B$9:$B$900=R$8),0),2),"")</f>
        <v/>
      </c>
      <c r="T23" s="421"/>
      <c r="U23" s="321" t="str">
        <f t="array" ref="U23">IFERROR(INDEX(Calculs_CABS!$D$9:$E$900,MATCH(1,(Calculs_CABS!$C$9:$C$900=$E23)*(Calculs_CABS!$B$9:$B$900=U$8),0),1),"")</f>
        <v/>
      </c>
      <c r="V23" s="321" t="str">
        <f t="array" ref="V23">IFERROR(INDEX(Calculs_CABS!$D$9:$E$900,MATCH(1,(Calculs_CABS!$C$9:$C$900=$E23)*(Calculs_CABS!$B$9:$B$900=U$8),0),2),"")</f>
        <v/>
      </c>
      <c r="W23" s="421"/>
      <c r="X23" s="323" t="str">
        <f t="shared" si="1"/>
        <v/>
      </c>
    </row>
    <row r="24" spans="1:24" ht="15.75">
      <c r="A24" s="408"/>
      <c r="B24" s="411"/>
      <c r="C24" s="411"/>
      <c r="D24" s="404"/>
      <c r="E24" s="409"/>
      <c r="F24" s="410"/>
      <c r="G24" s="406"/>
      <c r="H24" s="407"/>
      <c r="I24" s="319" t="str">
        <f t="shared" si="0"/>
        <v/>
      </c>
      <c r="J24" s="320" t="str">
        <f>IFERROR(INDEX(Calculs_CABS!$F$7:$AI$7,1,ROW(E24)-ROW($E$8)),"")</f>
        <v/>
      </c>
      <c r="K24" s="321" t="str">
        <f t="array" ref="K24">IFERROR(INDEX(Calculs_CABS!$D$9:$E$900,MATCH(1,(Calculs_CABS!$C$9:$C$900=$E24)*(Calculs_CABS!$B$9:$B$900=K$8),0),2),"")</f>
        <v/>
      </c>
      <c r="L24" s="321" t="str">
        <f t="array" ref="L24">IFERROR(INDEX(Calculs_CABS!$D$9:$E$900,MATCH(1,(Calculs_CABS!$C$9:$C$900=$E24)*(Calculs_CABS!$B$9:$B$900=L$8),0),2),"")</f>
        <v/>
      </c>
      <c r="M24" s="321" t="str">
        <f t="array" ref="M24">IFERROR(INDEX(Calculs_CABS!$D$9:$E$900,MATCH(1,(Calculs_CABS!$C$9:$C$900=$E24)*(Calculs_CABS!$B$9:$B$900=M$8),0),2),"")</f>
        <v/>
      </c>
      <c r="N24" s="322" t="str">
        <f t="array" ref="N24">IFERROR(INDEX(Calculs_CABS!$D$9:$E$900,MATCH(1,(Calculs_CABS!$C$9:$C$900=$E24)*(Calculs_CABS!$B$9:$B$900=N$8),0),2),"")</f>
        <v/>
      </c>
      <c r="O24" s="321" t="str">
        <f t="array" ref="O24">IFERROR(INDEX(Calculs_CABS!$D$9:$E$900,MATCH(1,(Calculs_CABS!$C$9:$C$900=$E24)*(Calculs_CABS!$B$9:$B$900=O$8),0),1),"")</f>
        <v/>
      </c>
      <c r="P24" s="321" t="str">
        <f t="array" ref="P24">IFERROR(INDEX(Calculs_CABS!$D$9:$E915,MATCH(1,(Calculs_CABS!$C$9:$C$900=$E24)*(Calculs_CABS!$B$9:$B$900=O$8),0),2),"")</f>
        <v/>
      </c>
      <c r="Q24" s="421"/>
      <c r="R24" s="321" t="str">
        <f t="array" ref="R24">IFERROR(INDEX(Calculs_CABS!$D$9:$E$900,MATCH(1,(Calculs_CABS!$C$9:$C$900=$E24)*(Calculs_CABS!$B$9:$B$900=R$8),0),1),"")</f>
        <v/>
      </c>
      <c r="S24" s="321" t="str">
        <f t="array" ref="S24">IFERROR(INDEX(Calculs_CABS!$D$9:$E$900,MATCH(1,(Calculs_CABS!$C$9:$C$900=$E24)*(Calculs_CABS!$B$9:$B$900=R$8),0),2),"")</f>
        <v/>
      </c>
      <c r="T24" s="421"/>
      <c r="U24" s="321" t="str">
        <f t="array" ref="U24">IFERROR(INDEX(Calculs_CABS!$D$9:$E$900,MATCH(1,(Calculs_CABS!$C$9:$C$900=$E24)*(Calculs_CABS!$B$9:$B$900=U$8),0),1),"")</f>
        <v/>
      </c>
      <c r="V24" s="321" t="str">
        <f t="array" ref="V24">IFERROR(INDEX(Calculs_CABS!$D$9:$E$900,MATCH(1,(Calculs_CABS!$C$9:$C$900=$E24)*(Calculs_CABS!$B$9:$B$900=U$8),0),2),"")</f>
        <v/>
      </c>
      <c r="W24" s="421"/>
      <c r="X24" s="323" t="str">
        <f t="shared" si="1"/>
        <v/>
      </c>
    </row>
    <row r="25" spans="1:24" ht="15.75">
      <c r="A25" s="408"/>
      <c r="B25" s="411"/>
      <c r="C25" s="411"/>
      <c r="D25" s="404"/>
      <c r="E25" s="409"/>
      <c r="F25" s="410"/>
      <c r="G25" s="406"/>
      <c r="H25" s="412"/>
      <c r="I25" s="319" t="str">
        <f t="shared" si="0"/>
        <v/>
      </c>
      <c r="J25" s="320" t="str">
        <f>IFERROR(INDEX(Calculs_CABS!$F$7:$AI$7,1,ROW(E25)-ROW($E$8)),"")</f>
        <v/>
      </c>
      <c r="K25" s="321" t="str">
        <f t="array" ref="K25">IFERROR(INDEX(Calculs_CABS!$D$9:$E$900,MATCH(1,(Calculs_CABS!$C$9:$C$900=$E25)*(Calculs_CABS!$B$9:$B$900=K$8),0),2),"")</f>
        <v/>
      </c>
      <c r="L25" s="321" t="str">
        <f t="array" ref="L25">IFERROR(INDEX(Calculs_CABS!$D$9:$E$900,MATCH(1,(Calculs_CABS!$C$9:$C$900=$E25)*(Calculs_CABS!$B$9:$B$900=L$8),0),2),"")</f>
        <v/>
      </c>
      <c r="M25" s="321" t="str">
        <f t="array" ref="M25">IFERROR(INDEX(Calculs_CABS!$D$9:$E$900,MATCH(1,(Calculs_CABS!$C$9:$C$900=$E25)*(Calculs_CABS!$B$9:$B$900=M$8),0),2),"")</f>
        <v/>
      </c>
      <c r="N25" s="322" t="str">
        <f t="array" ref="N25">IFERROR(INDEX(Calculs_CABS!$D$9:$E$900,MATCH(1,(Calculs_CABS!$C$9:$C$900=$E25)*(Calculs_CABS!$B$9:$B$900=N$8),0),2),"")</f>
        <v/>
      </c>
      <c r="O25" s="321" t="str">
        <f t="array" ref="O25">IFERROR(INDEX(Calculs_CABS!$D$9:$E$900,MATCH(1,(Calculs_CABS!$C$9:$C$900=$E25)*(Calculs_CABS!$B$9:$B$900=O$8),0),1),"")</f>
        <v/>
      </c>
      <c r="P25" s="321" t="str">
        <f t="array" ref="P25">IFERROR(INDEX(Calculs_CABS!$D$9:$E916,MATCH(1,(Calculs_CABS!$C$9:$C$900=$E25)*(Calculs_CABS!$B$9:$B$900=O$8),0),2),"")</f>
        <v/>
      </c>
      <c r="Q25" s="421"/>
      <c r="R25" s="321" t="str">
        <f t="array" ref="R25">IFERROR(INDEX(Calculs_CABS!$D$9:$E$900,MATCH(1,(Calculs_CABS!$C$9:$C$900=$E25)*(Calculs_CABS!$B$9:$B$900=R$8),0),1),"")</f>
        <v/>
      </c>
      <c r="S25" s="321" t="str">
        <f t="array" ref="S25">IFERROR(INDEX(Calculs_CABS!$D$9:$E$900,MATCH(1,(Calculs_CABS!$C$9:$C$900=$E25)*(Calculs_CABS!$B$9:$B$900=R$8),0),2),"")</f>
        <v/>
      </c>
      <c r="T25" s="421"/>
      <c r="U25" s="321" t="str">
        <f t="array" ref="U25">IFERROR(INDEX(Calculs_CABS!$D$9:$E$900,MATCH(1,(Calculs_CABS!$C$9:$C$900=$E25)*(Calculs_CABS!$B$9:$B$900=U$8),0),1),"")</f>
        <v/>
      </c>
      <c r="V25" s="321" t="str">
        <f t="array" ref="V25">IFERROR(INDEX(Calculs_CABS!$D$9:$E$900,MATCH(1,(Calculs_CABS!$C$9:$C$900=$E25)*(Calculs_CABS!$B$9:$B$900=U$8),0),2),"")</f>
        <v/>
      </c>
      <c r="W25" s="421"/>
      <c r="X25" s="323" t="str">
        <f t="shared" si="1"/>
        <v/>
      </c>
    </row>
    <row r="26" spans="1:24" ht="15.75">
      <c r="A26" s="408"/>
      <c r="B26" s="411"/>
      <c r="C26" s="411"/>
      <c r="D26" s="404"/>
      <c r="E26" s="409"/>
      <c r="F26" s="410"/>
      <c r="G26" s="406"/>
      <c r="H26" s="412"/>
      <c r="I26" s="319" t="str">
        <f t="shared" si="0"/>
        <v/>
      </c>
      <c r="J26" s="320" t="str">
        <f>IFERROR(INDEX(Calculs_CABS!$F$7:$AI$7,1,ROW(E26)-ROW($E$8)),"")</f>
        <v/>
      </c>
      <c r="K26" s="321" t="str">
        <f t="array" ref="K26">IFERROR(INDEX(Calculs_CABS!$D$9:$E$900,MATCH(1,(Calculs_CABS!$C$9:$C$900=$E26)*(Calculs_CABS!$B$9:$B$900=K$8),0),2),"")</f>
        <v/>
      </c>
      <c r="L26" s="321" t="str">
        <f t="array" ref="L26">IFERROR(INDEX(Calculs_CABS!$D$9:$E$900,MATCH(1,(Calculs_CABS!$C$9:$C$900=$E26)*(Calculs_CABS!$B$9:$B$900=L$8),0),2),"")</f>
        <v/>
      </c>
      <c r="M26" s="321" t="str">
        <f t="array" ref="M26">IFERROR(INDEX(Calculs_CABS!$D$9:$E$900,MATCH(1,(Calculs_CABS!$C$9:$C$900=$E26)*(Calculs_CABS!$B$9:$B$900=M$8),0),2),"")</f>
        <v/>
      </c>
      <c r="N26" s="322" t="str">
        <f t="array" ref="N26">IFERROR(INDEX(Calculs_CABS!$D$9:$E$900,MATCH(1,(Calculs_CABS!$C$9:$C$900=$E26)*(Calculs_CABS!$B$9:$B$900=N$8),0),2),"")</f>
        <v/>
      </c>
      <c r="O26" s="321" t="str">
        <f t="array" ref="O26">IFERROR(INDEX(Calculs_CABS!$D$9:$E$900,MATCH(1,(Calculs_CABS!$C$9:$C$900=$E26)*(Calculs_CABS!$B$9:$B$900=O$8),0),1),"")</f>
        <v/>
      </c>
      <c r="P26" s="321" t="str">
        <f t="array" ref="P26">IFERROR(INDEX(Calculs_CABS!$D$9:$E917,MATCH(1,(Calculs_CABS!$C$9:$C$900=$E26)*(Calculs_CABS!$B$9:$B$900=O$8),0),2),"")</f>
        <v/>
      </c>
      <c r="Q26" s="421"/>
      <c r="R26" s="321" t="str">
        <f t="array" ref="R26">IFERROR(INDEX(Calculs_CABS!$D$9:$E$900,MATCH(1,(Calculs_CABS!$C$9:$C$900=$E26)*(Calculs_CABS!$B$9:$B$900=R$8),0),1),"")</f>
        <v/>
      </c>
      <c r="S26" s="321" t="str">
        <f t="array" ref="S26">IFERROR(INDEX(Calculs_CABS!$D$9:$E$900,MATCH(1,(Calculs_CABS!$C$9:$C$900=$E26)*(Calculs_CABS!$B$9:$B$900=R$8),0),2),"")</f>
        <v/>
      </c>
      <c r="T26" s="421"/>
      <c r="U26" s="321" t="str">
        <f t="array" ref="U26">IFERROR(INDEX(Calculs_CABS!$D$9:$E$900,MATCH(1,(Calculs_CABS!$C$9:$C$900=$E26)*(Calculs_CABS!$B$9:$B$900=U$8),0),1),"")</f>
        <v/>
      </c>
      <c r="V26" s="321" t="str">
        <f t="array" ref="V26">IFERROR(INDEX(Calculs_CABS!$D$9:$E$900,MATCH(1,(Calculs_CABS!$C$9:$C$900=$E26)*(Calculs_CABS!$B$9:$B$900=U$8),0),2),"")</f>
        <v/>
      </c>
      <c r="W26" s="421"/>
      <c r="X26" s="323" t="str">
        <f t="shared" si="1"/>
        <v/>
      </c>
    </row>
    <row r="27" spans="1:24" ht="15.75">
      <c r="A27" s="408"/>
      <c r="B27" s="411"/>
      <c r="C27" s="411"/>
      <c r="D27" s="404"/>
      <c r="E27" s="409"/>
      <c r="F27" s="410"/>
      <c r="G27" s="406"/>
      <c r="H27" s="412"/>
      <c r="I27" s="319" t="str">
        <f t="shared" si="0"/>
        <v/>
      </c>
      <c r="J27" s="320" t="str">
        <f>IFERROR(INDEX(Calculs_CABS!$F$7:$AI$7,1,ROW(E27)-ROW($E$8)),"")</f>
        <v/>
      </c>
      <c r="K27" s="321" t="str">
        <f t="array" ref="K27">IFERROR(INDEX(Calculs_CABS!$D$9:$E$900,MATCH(1,(Calculs_CABS!$C$9:$C$900=$E27)*(Calculs_CABS!$B$9:$B$900=K$8),0),2),"")</f>
        <v/>
      </c>
      <c r="L27" s="321" t="str">
        <f t="array" ref="L27">IFERROR(INDEX(Calculs_CABS!$D$9:$E$900,MATCH(1,(Calculs_CABS!$C$9:$C$900=$E27)*(Calculs_CABS!$B$9:$B$900=L$8),0),2),"")</f>
        <v/>
      </c>
      <c r="M27" s="321" t="str">
        <f t="array" ref="M27">IFERROR(INDEX(Calculs_CABS!$D$9:$E$900,MATCH(1,(Calculs_CABS!$C$9:$C$900=$E27)*(Calculs_CABS!$B$9:$B$900=M$8),0),2),"")</f>
        <v/>
      </c>
      <c r="N27" s="322" t="str">
        <f t="array" ref="N27">IFERROR(INDEX(Calculs_CABS!$D$9:$E$900,MATCH(1,(Calculs_CABS!$C$9:$C$900=$E27)*(Calculs_CABS!$B$9:$B$900=N$8),0),2),"")</f>
        <v/>
      </c>
      <c r="O27" s="321" t="str">
        <f t="array" ref="O27">IFERROR(INDEX(Calculs_CABS!$D$9:$E$900,MATCH(1,(Calculs_CABS!$C$9:$C$900=$E27)*(Calculs_CABS!$B$9:$B$900=O$8),0),1),"")</f>
        <v/>
      </c>
      <c r="P27" s="321" t="str">
        <f t="array" ref="P27">IFERROR(INDEX(Calculs_CABS!$D$9:$E918,MATCH(1,(Calculs_CABS!$C$9:$C$900=$E27)*(Calculs_CABS!$B$9:$B$900=O$8),0),2),"")</f>
        <v/>
      </c>
      <c r="Q27" s="421"/>
      <c r="R27" s="321" t="str">
        <f t="array" ref="R27">IFERROR(INDEX(Calculs_CABS!$D$9:$E$900,MATCH(1,(Calculs_CABS!$C$9:$C$900=$E27)*(Calculs_CABS!$B$9:$B$900=R$8),0),1),"")</f>
        <v/>
      </c>
      <c r="S27" s="321" t="str">
        <f t="array" ref="S27">IFERROR(INDEX(Calculs_CABS!$D$9:$E$900,MATCH(1,(Calculs_CABS!$C$9:$C$900=$E27)*(Calculs_CABS!$B$9:$B$900=R$8),0),2),"")</f>
        <v/>
      </c>
      <c r="T27" s="421"/>
      <c r="U27" s="321" t="str">
        <f t="array" ref="U27">IFERROR(INDEX(Calculs_CABS!$D$9:$E$900,MATCH(1,(Calculs_CABS!$C$9:$C$900=$E27)*(Calculs_CABS!$B$9:$B$900=U$8),0),1),"")</f>
        <v/>
      </c>
      <c r="V27" s="321" t="str">
        <f t="array" ref="V27">IFERROR(INDEX(Calculs_CABS!$D$9:$E$900,MATCH(1,(Calculs_CABS!$C$9:$C$900=$E27)*(Calculs_CABS!$B$9:$B$900=U$8),0),2),"")</f>
        <v/>
      </c>
      <c r="W27" s="421"/>
      <c r="X27" s="323" t="str">
        <f t="shared" si="1"/>
        <v/>
      </c>
    </row>
    <row r="28" spans="1:24" ht="15.75">
      <c r="A28" s="408"/>
      <c r="B28" s="411"/>
      <c r="C28" s="411"/>
      <c r="D28" s="404"/>
      <c r="E28" s="409"/>
      <c r="F28" s="410"/>
      <c r="G28" s="406"/>
      <c r="H28" s="412"/>
      <c r="I28" s="319" t="str">
        <f t="shared" si="0"/>
        <v/>
      </c>
      <c r="J28" s="320" t="str">
        <f>IFERROR(INDEX(Calculs_CABS!$F$7:$AI$7,1,ROW(E28)-ROW($E$8)),"")</f>
        <v/>
      </c>
      <c r="K28" s="321" t="str">
        <f t="array" ref="K28">IFERROR(INDEX(Calculs_CABS!$D$9:$E$900,MATCH(1,(Calculs_CABS!$C$9:$C$900=$E28)*(Calculs_CABS!$B$9:$B$900=K$8),0),2),"")</f>
        <v/>
      </c>
      <c r="L28" s="321" t="str">
        <f t="array" ref="L28">IFERROR(INDEX(Calculs_CABS!$D$9:$E$900,MATCH(1,(Calculs_CABS!$C$9:$C$900=$E28)*(Calculs_CABS!$B$9:$B$900=L$8),0),2),"")</f>
        <v/>
      </c>
      <c r="M28" s="321" t="str">
        <f t="array" ref="M28">IFERROR(INDEX(Calculs_CABS!$D$9:$E$900,MATCH(1,(Calculs_CABS!$C$9:$C$900=$E28)*(Calculs_CABS!$B$9:$B$900=M$8),0),2),"")</f>
        <v/>
      </c>
      <c r="N28" s="322" t="str">
        <f t="array" ref="N28">IFERROR(INDEX(Calculs_CABS!$D$9:$E$900,MATCH(1,(Calculs_CABS!$C$9:$C$900=$E28)*(Calculs_CABS!$B$9:$B$900=N$8),0),2),"")</f>
        <v/>
      </c>
      <c r="O28" s="321" t="str">
        <f t="array" ref="O28">IFERROR(INDEX(Calculs_CABS!$D$9:$E$900,MATCH(1,(Calculs_CABS!$C$9:$C$900=$E28)*(Calculs_CABS!$B$9:$B$900=O$8),0),1),"")</f>
        <v/>
      </c>
      <c r="P28" s="321" t="str">
        <f t="array" ref="P28">IFERROR(INDEX(Calculs_CABS!$D$9:$E919,MATCH(1,(Calculs_CABS!$C$9:$C$900=$E28)*(Calculs_CABS!$B$9:$B$900=O$8),0),2),"")</f>
        <v/>
      </c>
      <c r="Q28" s="421"/>
      <c r="R28" s="321" t="str">
        <f t="array" ref="R28">IFERROR(INDEX(Calculs_CABS!$D$9:$E$900,MATCH(1,(Calculs_CABS!$C$9:$C$900=$E28)*(Calculs_CABS!$B$9:$B$900=R$8),0),1),"")</f>
        <v/>
      </c>
      <c r="S28" s="321" t="str">
        <f t="array" ref="S28">IFERROR(INDEX(Calculs_CABS!$D$9:$E$900,MATCH(1,(Calculs_CABS!$C$9:$C$900=$E28)*(Calculs_CABS!$B$9:$B$900=R$8),0),2),"")</f>
        <v/>
      </c>
      <c r="T28" s="421"/>
      <c r="U28" s="321" t="str">
        <f t="array" ref="U28">IFERROR(INDEX(Calculs_CABS!$D$9:$E$900,MATCH(1,(Calculs_CABS!$C$9:$C$900=$E28)*(Calculs_CABS!$B$9:$B$900=U$8),0),1),"")</f>
        <v/>
      </c>
      <c r="V28" s="321" t="str">
        <f t="array" ref="V28">IFERROR(INDEX(Calculs_CABS!$D$9:$E$900,MATCH(1,(Calculs_CABS!$C$9:$C$900=$E28)*(Calculs_CABS!$B$9:$B$900=U$8),0),2),"")</f>
        <v/>
      </c>
      <c r="W28" s="421"/>
      <c r="X28" s="323" t="str">
        <f t="shared" si="1"/>
        <v/>
      </c>
    </row>
    <row r="29" spans="1:24" ht="15.75">
      <c r="A29" s="408"/>
      <c r="B29" s="411"/>
      <c r="C29" s="411"/>
      <c r="D29" s="404"/>
      <c r="E29" s="409"/>
      <c r="F29" s="410"/>
      <c r="G29" s="406"/>
      <c r="H29" s="412"/>
      <c r="I29" s="319" t="str">
        <f t="shared" si="0"/>
        <v/>
      </c>
      <c r="J29" s="320" t="str">
        <f>IFERROR(INDEX(Calculs_CABS!$F$7:$AI$7,1,ROW(E29)-ROW($E$8)),"")</f>
        <v/>
      </c>
      <c r="K29" s="321" t="str">
        <f t="array" ref="K29">IFERROR(INDEX(Calculs_CABS!$D$9:$E$900,MATCH(1,(Calculs_CABS!$C$9:$C$900=$E29)*(Calculs_CABS!$B$9:$B$900=K$8),0),2),"")</f>
        <v/>
      </c>
      <c r="L29" s="321" t="str">
        <f t="array" ref="L29">IFERROR(INDEX(Calculs_CABS!$D$9:$E$900,MATCH(1,(Calculs_CABS!$C$9:$C$900=$E29)*(Calculs_CABS!$B$9:$B$900=L$8),0),2),"")</f>
        <v/>
      </c>
      <c r="M29" s="321" t="str">
        <f t="array" ref="M29">IFERROR(INDEX(Calculs_CABS!$D$9:$E$900,MATCH(1,(Calculs_CABS!$C$9:$C$900=$E29)*(Calculs_CABS!$B$9:$B$900=M$8),0),2),"")</f>
        <v/>
      </c>
      <c r="N29" s="322" t="str">
        <f t="array" ref="N29">IFERROR(INDEX(Calculs_CABS!$D$9:$E$900,MATCH(1,(Calculs_CABS!$C$9:$C$900=$E29)*(Calculs_CABS!$B$9:$B$900=N$8),0),2),"")</f>
        <v/>
      </c>
      <c r="O29" s="321" t="str">
        <f t="array" ref="O29">IFERROR(INDEX(Calculs_CABS!$D$9:$E$900,MATCH(1,(Calculs_CABS!$C$9:$C$900=$E29)*(Calculs_CABS!$B$9:$B$900=O$8),0),1),"")</f>
        <v/>
      </c>
      <c r="P29" s="321" t="str">
        <f t="array" ref="P29">IFERROR(INDEX(Calculs_CABS!$D$9:$E920,MATCH(1,(Calculs_CABS!$C$9:$C$900=$E29)*(Calculs_CABS!$B$9:$B$900=O$8),0),2),"")</f>
        <v/>
      </c>
      <c r="Q29" s="421"/>
      <c r="R29" s="321" t="str">
        <f t="array" ref="R29">IFERROR(INDEX(Calculs_CABS!$D$9:$E$900,MATCH(1,(Calculs_CABS!$C$9:$C$900=$E29)*(Calculs_CABS!$B$9:$B$900=R$8),0),1),"")</f>
        <v/>
      </c>
      <c r="S29" s="321" t="str">
        <f t="array" ref="S29">IFERROR(INDEX(Calculs_CABS!$D$9:$E$900,MATCH(1,(Calculs_CABS!$C$9:$C$900=$E29)*(Calculs_CABS!$B$9:$B$900=R$8),0),2),"")</f>
        <v/>
      </c>
      <c r="T29" s="421"/>
      <c r="U29" s="321" t="str">
        <f t="array" ref="U29">IFERROR(INDEX(Calculs_CABS!$D$9:$E$900,MATCH(1,(Calculs_CABS!$C$9:$C$900=$E29)*(Calculs_CABS!$B$9:$B$900=U$8),0),1),"")</f>
        <v/>
      </c>
      <c r="V29" s="321" t="str">
        <f t="array" ref="V29">IFERROR(INDEX(Calculs_CABS!$D$9:$E$900,MATCH(1,(Calculs_CABS!$C$9:$C$900=$E29)*(Calculs_CABS!$B$9:$B$900=U$8),0),2),"")</f>
        <v/>
      </c>
      <c r="W29" s="421"/>
      <c r="X29" s="323" t="str">
        <f t="shared" si="1"/>
        <v/>
      </c>
    </row>
    <row r="30" spans="1:24" ht="15.75">
      <c r="A30" s="408"/>
      <c r="B30" s="411"/>
      <c r="C30" s="411"/>
      <c r="D30" s="404"/>
      <c r="E30" s="409"/>
      <c r="F30" s="410"/>
      <c r="G30" s="406"/>
      <c r="H30" s="412"/>
      <c r="I30" s="319" t="str">
        <f t="shared" si="0"/>
        <v/>
      </c>
      <c r="J30" s="320" t="str">
        <f>IFERROR(INDEX(Calculs_CABS!$F$7:$AI$7,1,ROW(E30)-ROW($E$8)),"")</f>
        <v/>
      </c>
      <c r="K30" s="321" t="str">
        <f t="array" ref="K30">IFERROR(INDEX(Calculs_CABS!$D$9:$E$900,MATCH(1,(Calculs_CABS!$C$9:$C$900=$E30)*(Calculs_CABS!$B$9:$B$900=K$8),0),2),"")</f>
        <v/>
      </c>
      <c r="L30" s="321" t="str">
        <f t="array" ref="L30">IFERROR(INDEX(Calculs_CABS!$D$9:$E$900,MATCH(1,(Calculs_CABS!$C$9:$C$900=$E30)*(Calculs_CABS!$B$9:$B$900=L$8),0),2),"")</f>
        <v/>
      </c>
      <c r="M30" s="321" t="str">
        <f t="array" ref="M30">IFERROR(INDEX(Calculs_CABS!$D$9:$E$900,MATCH(1,(Calculs_CABS!$C$9:$C$900=$E30)*(Calculs_CABS!$B$9:$B$900=M$8),0),2),"")</f>
        <v/>
      </c>
      <c r="N30" s="322" t="str">
        <f t="array" ref="N30">IFERROR(INDEX(Calculs_CABS!$D$9:$E$900,MATCH(1,(Calculs_CABS!$C$9:$C$900=$E30)*(Calculs_CABS!$B$9:$B$900=N$8),0),2),"")</f>
        <v/>
      </c>
      <c r="O30" s="321" t="str">
        <f t="array" ref="O30">IFERROR(INDEX(Calculs_CABS!$D$9:$E$900,MATCH(1,(Calculs_CABS!$C$9:$C$900=$E30)*(Calculs_CABS!$B$9:$B$900=O$8),0),1),"")</f>
        <v/>
      </c>
      <c r="P30" s="321" t="str">
        <f t="array" ref="P30">IFERROR(INDEX(Calculs_CABS!$D$9:$E921,MATCH(1,(Calculs_CABS!$C$9:$C$900=$E30)*(Calculs_CABS!$B$9:$B$900=O$8),0),2),"")</f>
        <v/>
      </c>
      <c r="Q30" s="421"/>
      <c r="R30" s="321" t="str">
        <f t="array" ref="R30">IFERROR(INDEX(Calculs_CABS!$D$9:$E$900,MATCH(1,(Calculs_CABS!$C$9:$C$900=$E30)*(Calculs_CABS!$B$9:$B$900=R$8),0),1),"")</f>
        <v/>
      </c>
      <c r="S30" s="321" t="str">
        <f t="array" ref="S30">IFERROR(INDEX(Calculs_CABS!$D$9:$E$900,MATCH(1,(Calculs_CABS!$C$9:$C$900=$E30)*(Calculs_CABS!$B$9:$B$900=R$8),0),2),"")</f>
        <v/>
      </c>
      <c r="T30" s="421"/>
      <c r="U30" s="321" t="str">
        <f t="array" ref="U30">IFERROR(INDEX(Calculs_CABS!$D$9:$E$900,MATCH(1,(Calculs_CABS!$C$9:$C$900=$E30)*(Calculs_CABS!$B$9:$B$900=U$8),0),1),"")</f>
        <v/>
      </c>
      <c r="V30" s="321" t="str">
        <f t="array" ref="V30">IFERROR(INDEX(Calculs_CABS!$D$9:$E$900,MATCH(1,(Calculs_CABS!$C$9:$C$900=$E30)*(Calculs_CABS!$B$9:$B$900=U$8),0),2),"")</f>
        <v/>
      </c>
      <c r="W30" s="421"/>
      <c r="X30" s="323" t="str">
        <f t="shared" si="1"/>
        <v/>
      </c>
    </row>
    <row r="31" spans="1:24" ht="15.75">
      <c r="A31" s="408"/>
      <c r="B31" s="411"/>
      <c r="C31" s="411"/>
      <c r="D31" s="404"/>
      <c r="E31" s="409"/>
      <c r="F31" s="410"/>
      <c r="G31" s="406"/>
      <c r="H31" s="412"/>
      <c r="I31" s="319" t="str">
        <f t="shared" si="0"/>
        <v/>
      </c>
      <c r="J31" s="320" t="str">
        <f>IFERROR(INDEX(Calculs_CABS!$F$7:$AI$7,1,ROW(E31)-ROW($E$8)),"")</f>
        <v/>
      </c>
      <c r="K31" s="321" t="str">
        <f t="array" ref="K31">IFERROR(INDEX(Calculs_CABS!$D$9:$E$900,MATCH(1,(Calculs_CABS!$C$9:$C$900=$E31)*(Calculs_CABS!$B$9:$B$900=K$8),0),2),"")</f>
        <v/>
      </c>
      <c r="L31" s="321" t="str">
        <f t="array" ref="L31">IFERROR(INDEX(Calculs_CABS!$D$9:$E$900,MATCH(1,(Calculs_CABS!$C$9:$C$900=$E31)*(Calculs_CABS!$B$9:$B$900=L$8),0),2),"")</f>
        <v/>
      </c>
      <c r="M31" s="321" t="str">
        <f t="array" ref="M31">IFERROR(INDEX(Calculs_CABS!$D$9:$E$900,MATCH(1,(Calculs_CABS!$C$9:$C$900=$E31)*(Calculs_CABS!$B$9:$B$900=M$8),0),2),"")</f>
        <v/>
      </c>
      <c r="N31" s="322" t="str">
        <f t="array" ref="N31">IFERROR(INDEX(Calculs_CABS!$D$9:$E$900,MATCH(1,(Calculs_CABS!$C$9:$C$900=$E31)*(Calculs_CABS!$B$9:$B$900=N$8),0),2),"")</f>
        <v/>
      </c>
      <c r="O31" s="321" t="str">
        <f t="array" ref="O31">IFERROR(INDEX(Calculs_CABS!$D$9:$E$900,MATCH(1,(Calculs_CABS!$C$9:$C$900=$E31)*(Calculs_CABS!$B$9:$B$900=O$8),0),1),"")</f>
        <v/>
      </c>
      <c r="P31" s="321" t="str">
        <f t="array" ref="P31">IFERROR(INDEX(Calculs_CABS!$D$9:$E922,MATCH(1,(Calculs_CABS!$C$9:$C$900=$E31)*(Calculs_CABS!$B$9:$B$900=O$8),0),2),"")</f>
        <v/>
      </c>
      <c r="Q31" s="421"/>
      <c r="R31" s="321" t="str">
        <f t="array" ref="R31">IFERROR(INDEX(Calculs_CABS!$D$9:$E$900,MATCH(1,(Calculs_CABS!$C$9:$C$900=$E31)*(Calculs_CABS!$B$9:$B$900=R$8),0),1),"")</f>
        <v/>
      </c>
      <c r="S31" s="321" t="str">
        <f t="array" ref="S31">IFERROR(INDEX(Calculs_CABS!$D$9:$E$900,MATCH(1,(Calculs_CABS!$C$9:$C$900=$E31)*(Calculs_CABS!$B$9:$B$900=R$8),0),2),"")</f>
        <v/>
      </c>
      <c r="T31" s="421"/>
      <c r="U31" s="321" t="str">
        <f t="array" ref="U31">IFERROR(INDEX(Calculs_CABS!$D$9:$E$900,MATCH(1,(Calculs_CABS!$C$9:$C$900=$E31)*(Calculs_CABS!$B$9:$B$900=U$8),0),1),"")</f>
        <v/>
      </c>
      <c r="V31" s="321" t="str">
        <f t="array" ref="V31">IFERROR(INDEX(Calculs_CABS!$D$9:$E$900,MATCH(1,(Calculs_CABS!$C$9:$C$900=$E31)*(Calculs_CABS!$B$9:$B$900=U$8),0),2),"")</f>
        <v/>
      </c>
      <c r="W31" s="421"/>
      <c r="X31" s="323" t="str">
        <f t="shared" si="1"/>
        <v/>
      </c>
    </row>
    <row r="32" spans="1:24" ht="15.75">
      <c r="A32" s="408"/>
      <c r="B32" s="411"/>
      <c r="C32" s="411"/>
      <c r="D32" s="404"/>
      <c r="E32" s="409"/>
      <c r="F32" s="410"/>
      <c r="G32" s="406"/>
      <c r="H32" s="412"/>
      <c r="I32" s="319" t="str">
        <f t="shared" si="0"/>
        <v/>
      </c>
      <c r="J32" s="320" t="str">
        <f>IFERROR(INDEX(Calculs_CABS!$F$7:$AI$7,1,ROW(E32)-ROW($E$8)),"")</f>
        <v/>
      </c>
      <c r="K32" s="321" t="str">
        <f t="array" ref="K32">IFERROR(INDEX(Calculs_CABS!$D$9:$E$900,MATCH(1,(Calculs_CABS!$C$9:$C$900=$E32)*(Calculs_CABS!$B$9:$B$900=K$8),0),2),"")</f>
        <v/>
      </c>
      <c r="L32" s="321" t="str">
        <f t="array" ref="L32">IFERROR(INDEX(Calculs_CABS!$D$9:$E$900,MATCH(1,(Calculs_CABS!$C$9:$C$900=$E32)*(Calculs_CABS!$B$9:$B$900=L$8),0),2),"")</f>
        <v/>
      </c>
      <c r="M32" s="321" t="str">
        <f t="array" ref="M32">IFERROR(INDEX(Calculs_CABS!$D$9:$E$900,MATCH(1,(Calculs_CABS!$C$9:$C$900=$E32)*(Calculs_CABS!$B$9:$B$900=M$8),0),2),"")</f>
        <v/>
      </c>
      <c r="N32" s="322" t="str">
        <f t="array" ref="N32">IFERROR(INDEX(Calculs_CABS!$D$9:$E$900,MATCH(1,(Calculs_CABS!$C$9:$C$900=$E32)*(Calculs_CABS!$B$9:$B$900=N$8),0),2),"")</f>
        <v/>
      </c>
      <c r="O32" s="321" t="str">
        <f t="array" ref="O32">IFERROR(INDEX(Calculs_CABS!$D$9:$E$900,MATCH(1,(Calculs_CABS!$C$9:$C$900=$E32)*(Calculs_CABS!$B$9:$B$900=O$8),0),1),"")</f>
        <v/>
      </c>
      <c r="P32" s="321" t="str">
        <f t="array" ref="P32">IFERROR(INDEX(Calculs_CABS!$D$9:$E923,MATCH(1,(Calculs_CABS!$C$9:$C$900=$E32)*(Calculs_CABS!$B$9:$B$900=O$8),0),2),"")</f>
        <v/>
      </c>
      <c r="Q32" s="421"/>
      <c r="R32" s="321" t="str">
        <f t="array" ref="R32">IFERROR(INDEX(Calculs_CABS!$D$9:$E$900,MATCH(1,(Calculs_CABS!$C$9:$C$900=$E32)*(Calculs_CABS!$B$9:$B$900=R$8),0),1),"")</f>
        <v/>
      </c>
      <c r="S32" s="321" t="str">
        <f t="array" ref="S32">IFERROR(INDEX(Calculs_CABS!$D$9:$E$900,MATCH(1,(Calculs_CABS!$C$9:$C$900=$E32)*(Calculs_CABS!$B$9:$B$900=R$8),0),2),"")</f>
        <v/>
      </c>
      <c r="T32" s="421"/>
      <c r="U32" s="321" t="str">
        <f t="array" ref="U32">IFERROR(INDEX(Calculs_CABS!$D$9:$E$900,MATCH(1,(Calculs_CABS!$C$9:$C$900=$E32)*(Calculs_CABS!$B$9:$B$900=U$8),0),1),"")</f>
        <v/>
      </c>
      <c r="V32" s="321" t="str">
        <f t="array" ref="V32">IFERROR(INDEX(Calculs_CABS!$D$9:$E$900,MATCH(1,(Calculs_CABS!$C$9:$C$900=$E32)*(Calculs_CABS!$B$9:$B$900=U$8),0),2),"")</f>
        <v/>
      </c>
      <c r="W32" s="421"/>
      <c r="X32" s="323" t="str">
        <f t="shared" si="1"/>
        <v/>
      </c>
    </row>
    <row r="33" spans="1:24" ht="15.75">
      <c r="A33" s="408"/>
      <c r="B33" s="411"/>
      <c r="C33" s="411"/>
      <c r="D33" s="404"/>
      <c r="E33" s="409"/>
      <c r="F33" s="410"/>
      <c r="G33" s="406"/>
      <c r="H33" s="412"/>
      <c r="I33" s="319" t="str">
        <f t="shared" si="0"/>
        <v/>
      </c>
      <c r="J33" s="320" t="str">
        <f>IFERROR(INDEX(Calculs_CABS!$F$7:$AI$7,1,ROW(E33)-ROW($E$8)),"")</f>
        <v/>
      </c>
      <c r="K33" s="321" t="str">
        <f t="array" ref="K33">IFERROR(INDEX(Calculs_CABS!$D$9:$E$900,MATCH(1,(Calculs_CABS!$C$9:$C$900=$E33)*(Calculs_CABS!$B$9:$B$900=K$8),0),2),"")</f>
        <v/>
      </c>
      <c r="L33" s="321" t="str">
        <f t="array" ref="L33">IFERROR(INDEX(Calculs_CABS!$D$9:$E$900,MATCH(1,(Calculs_CABS!$C$9:$C$900=$E33)*(Calculs_CABS!$B$9:$B$900=L$8),0),2),"")</f>
        <v/>
      </c>
      <c r="M33" s="321" t="str">
        <f t="array" ref="M33">IFERROR(INDEX(Calculs_CABS!$D$9:$E$900,MATCH(1,(Calculs_CABS!$C$9:$C$900=$E33)*(Calculs_CABS!$B$9:$B$900=M$8),0),2),"")</f>
        <v/>
      </c>
      <c r="N33" s="322" t="str">
        <f t="array" ref="N33">IFERROR(INDEX(Calculs_CABS!$D$9:$E$900,MATCH(1,(Calculs_CABS!$C$9:$C$900=$E33)*(Calculs_CABS!$B$9:$B$900=N$8),0),2),"")</f>
        <v/>
      </c>
      <c r="O33" s="321" t="str">
        <f t="array" ref="O33">IFERROR(INDEX(Calculs_CABS!$D$9:$E$900,MATCH(1,(Calculs_CABS!$C$9:$C$900=$E33)*(Calculs_CABS!$B$9:$B$900=O$8),0),1),"")</f>
        <v/>
      </c>
      <c r="P33" s="321" t="str">
        <f t="array" ref="P33">IFERROR(INDEX(Calculs_CABS!$D$9:$E924,MATCH(1,(Calculs_CABS!$C$9:$C$900=$E33)*(Calculs_CABS!$B$9:$B$900=O$8),0),2),"")</f>
        <v/>
      </c>
      <c r="Q33" s="421"/>
      <c r="R33" s="321" t="str">
        <f t="array" ref="R33">IFERROR(INDEX(Calculs_CABS!$D$9:$E$900,MATCH(1,(Calculs_CABS!$C$9:$C$900=$E33)*(Calculs_CABS!$B$9:$B$900=R$8),0),1),"")</f>
        <v/>
      </c>
      <c r="S33" s="321" t="str">
        <f t="array" ref="S33">IFERROR(INDEX(Calculs_CABS!$D$9:$E$900,MATCH(1,(Calculs_CABS!$C$9:$C$900=$E33)*(Calculs_CABS!$B$9:$B$900=R$8),0),2),"")</f>
        <v/>
      </c>
      <c r="T33" s="421"/>
      <c r="U33" s="321" t="str">
        <f t="array" ref="U33">IFERROR(INDEX(Calculs_CABS!$D$9:$E$900,MATCH(1,(Calculs_CABS!$C$9:$C$900=$E33)*(Calculs_CABS!$B$9:$B$900=U$8),0),1),"")</f>
        <v/>
      </c>
      <c r="V33" s="321" t="str">
        <f t="array" ref="V33">IFERROR(INDEX(Calculs_CABS!$D$9:$E$900,MATCH(1,(Calculs_CABS!$C$9:$C$900=$E33)*(Calculs_CABS!$B$9:$B$900=U$8),0),2),"")</f>
        <v/>
      </c>
      <c r="W33" s="421"/>
      <c r="X33" s="323" t="str">
        <f t="shared" si="1"/>
        <v/>
      </c>
    </row>
    <row r="34" spans="1:24" ht="15.75">
      <c r="A34" s="408"/>
      <c r="B34" s="411"/>
      <c r="C34" s="411"/>
      <c r="D34" s="404"/>
      <c r="E34" s="409"/>
      <c r="F34" s="410"/>
      <c r="G34" s="406"/>
      <c r="H34" s="412"/>
      <c r="I34" s="319" t="str">
        <f t="shared" si="0"/>
        <v/>
      </c>
      <c r="J34" s="320" t="str">
        <f>IFERROR(INDEX(Calculs_CABS!$F$7:$AI$7,1,ROW(E34)-ROW($E$8)),"")</f>
        <v/>
      </c>
      <c r="K34" s="321" t="str">
        <f t="array" ref="K34">IFERROR(INDEX(Calculs_CABS!$D$9:$E$900,MATCH(1,(Calculs_CABS!$C$9:$C$900=$E34)*(Calculs_CABS!$B$9:$B$900=K$8),0),2),"")</f>
        <v/>
      </c>
      <c r="L34" s="321" t="str">
        <f t="array" ref="L34">IFERROR(INDEX(Calculs_CABS!$D$9:$E$900,MATCH(1,(Calculs_CABS!$C$9:$C$900=$E34)*(Calculs_CABS!$B$9:$B$900=L$8),0),2),"")</f>
        <v/>
      </c>
      <c r="M34" s="321" t="str">
        <f t="array" ref="M34">IFERROR(INDEX(Calculs_CABS!$D$9:$E$900,MATCH(1,(Calculs_CABS!$C$9:$C$900=$E34)*(Calculs_CABS!$B$9:$B$900=M$8),0),2),"")</f>
        <v/>
      </c>
      <c r="N34" s="322" t="str">
        <f t="array" ref="N34">IFERROR(INDEX(Calculs_CABS!$D$9:$E$900,MATCH(1,(Calculs_CABS!$C$9:$C$900=$E34)*(Calculs_CABS!$B$9:$B$900=N$8),0),2),"")</f>
        <v/>
      </c>
      <c r="O34" s="321" t="str">
        <f t="array" ref="O34">IFERROR(INDEX(Calculs_CABS!$D$9:$E$900,MATCH(1,(Calculs_CABS!$C$9:$C$900=$E34)*(Calculs_CABS!$B$9:$B$900=O$8),0),1),"")</f>
        <v/>
      </c>
      <c r="P34" s="321" t="str">
        <f t="array" ref="P34">IFERROR(INDEX(Calculs_CABS!$D$9:$E925,MATCH(1,(Calculs_CABS!$C$9:$C$900=$E34)*(Calculs_CABS!$B$9:$B$900=O$8),0),2),"")</f>
        <v/>
      </c>
      <c r="Q34" s="421"/>
      <c r="R34" s="321" t="str">
        <f t="array" ref="R34">IFERROR(INDEX(Calculs_CABS!$D$9:$E$900,MATCH(1,(Calculs_CABS!$C$9:$C$900=$E34)*(Calculs_CABS!$B$9:$B$900=R$8),0),1),"")</f>
        <v/>
      </c>
      <c r="S34" s="321" t="str">
        <f t="array" ref="S34">IFERROR(INDEX(Calculs_CABS!$D$9:$E$900,MATCH(1,(Calculs_CABS!$C$9:$C$900=$E34)*(Calculs_CABS!$B$9:$B$900=R$8),0),2),"")</f>
        <v/>
      </c>
      <c r="T34" s="421"/>
      <c r="U34" s="321" t="str">
        <f t="array" ref="U34">IFERROR(INDEX(Calculs_CABS!$D$9:$E$900,MATCH(1,(Calculs_CABS!$C$9:$C$900=$E34)*(Calculs_CABS!$B$9:$B$900=U$8),0),1),"")</f>
        <v/>
      </c>
      <c r="V34" s="321" t="str">
        <f t="array" ref="V34">IFERROR(INDEX(Calculs_CABS!$D$9:$E$900,MATCH(1,(Calculs_CABS!$C$9:$C$900=$E34)*(Calculs_CABS!$B$9:$B$900=U$8),0),2),"")</f>
        <v/>
      </c>
      <c r="W34" s="421"/>
      <c r="X34" s="323" t="str">
        <f t="shared" si="1"/>
        <v/>
      </c>
    </row>
    <row r="35" spans="1:24" ht="15.75">
      <c r="A35" s="408"/>
      <c r="B35" s="411"/>
      <c r="C35" s="411"/>
      <c r="D35" s="404"/>
      <c r="E35" s="409"/>
      <c r="F35" s="410"/>
      <c r="G35" s="406"/>
      <c r="H35" s="412"/>
      <c r="I35" s="319" t="str">
        <f t="shared" si="0"/>
        <v/>
      </c>
      <c r="J35" s="320" t="str">
        <f>IFERROR(INDEX(Calculs_CABS!$F$7:$AI$7,1,ROW(E35)-ROW($E$8)),"")</f>
        <v/>
      </c>
      <c r="K35" s="321" t="str">
        <f t="array" ref="K35">IFERROR(INDEX(Calculs_CABS!$D$9:$E$900,MATCH(1,(Calculs_CABS!$C$9:$C$900=$E35)*(Calculs_CABS!$B$9:$B$900=K$8),0),2),"")</f>
        <v/>
      </c>
      <c r="L35" s="321" t="str">
        <f t="array" ref="L35">IFERROR(INDEX(Calculs_CABS!$D$9:$E$900,MATCH(1,(Calculs_CABS!$C$9:$C$900=$E35)*(Calculs_CABS!$B$9:$B$900=L$8),0),2),"")</f>
        <v/>
      </c>
      <c r="M35" s="321" t="str">
        <f t="array" ref="M35">IFERROR(INDEX(Calculs_CABS!$D$9:$E$900,MATCH(1,(Calculs_CABS!$C$9:$C$900=$E35)*(Calculs_CABS!$B$9:$B$900=M$8),0),2),"")</f>
        <v/>
      </c>
      <c r="N35" s="322" t="str">
        <f t="array" ref="N35">IFERROR(INDEX(Calculs_CABS!$D$9:$E$900,MATCH(1,(Calculs_CABS!$C$9:$C$900=$E35)*(Calculs_CABS!$B$9:$B$900=N$8),0),2),"")</f>
        <v/>
      </c>
      <c r="O35" s="321" t="str">
        <f t="array" ref="O35">IFERROR(INDEX(Calculs_CABS!$D$9:$E$900,MATCH(1,(Calculs_CABS!$C$9:$C$900=$E35)*(Calculs_CABS!$B$9:$B$900=O$8),0),1),"")</f>
        <v/>
      </c>
      <c r="P35" s="321" t="str">
        <f t="array" ref="P35">IFERROR(INDEX(Calculs_CABS!$D$9:$E926,MATCH(1,(Calculs_CABS!$C$9:$C$900=$E35)*(Calculs_CABS!$B$9:$B$900=O$8),0),2),"")</f>
        <v/>
      </c>
      <c r="Q35" s="421"/>
      <c r="R35" s="321" t="str">
        <f t="array" ref="R35">IFERROR(INDEX(Calculs_CABS!$D$9:$E$900,MATCH(1,(Calculs_CABS!$C$9:$C$900=$E35)*(Calculs_CABS!$B$9:$B$900=R$8),0),1),"")</f>
        <v/>
      </c>
      <c r="S35" s="321" t="str">
        <f t="array" ref="S35">IFERROR(INDEX(Calculs_CABS!$D$9:$E$900,MATCH(1,(Calculs_CABS!$C$9:$C$900=$E35)*(Calculs_CABS!$B$9:$B$900=R$8),0),2),"")</f>
        <v/>
      </c>
      <c r="T35" s="421"/>
      <c r="U35" s="321" t="str">
        <f t="array" ref="U35">IFERROR(INDEX(Calculs_CABS!$D$9:$E$900,MATCH(1,(Calculs_CABS!$C$9:$C$900=$E35)*(Calculs_CABS!$B$9:$B$900=U$8),0),1),"")</f>
        <v/>
      </c>
      <c r="V35" s="321" t="str">
        <f t="array" ref="V35">IFERROR(INDEX(Calculs_CABS!$D$9:$E$900,MATCH(1,(Calculs_CABS!$C$9:$C$900=$E35)*(Calculs_CABS!$B$9:$B$900=U$8),0),2),"")</f>
        <v/>
      </c>
      <c r="W35" s="421"/>
      <c r="X35" s="323" t="str">
        <f t="shared" si="1"/>
        <v/>
      </c>
    </row>
    <row r="36" spans="1:24" ht="15.75">
      <c r="A36" s="408"/>
      <c r="B36" s="411"/>
      <c r="C36" s="411"/>
      <c r="D36" s="404"/>
      <c r="E36" s="409"/>
      <c r="F36" s="410"/>
      <c r="G36" s="406"/>
      <c r="H36" s="412"/>
      <c r="I36" s="319" t="str">
        <f t="shared" si="0"/>
        <v/>
      </c>
      <c r="J36" s="320" t="str">
        <f>IFERROR(INDEX(Calculs_CABS!$F$7:$AI$7,1,ROW(E36)-ROW($E$8)),"")</f>
        <v/>
      </c>
      <c r="K36" s="321" t="str">
        <f t="array" ref="K36">IFERROR(INDEX(Calculs_CABS!$D$9:$E$900,MATCH(1,(Calculs_CABS!$C$9:$C$900=$E36)*(Calculs_CABS!$B$9:$B$900=K$8),0),2),"")</f>
        <v/>
      </c>
      <c r="L36" s="321" t="str">
        <f t="array" ref="L36">IFERROR(INDEX(Calculs_CABS!$D$9:$E$900,MATCH(1,(Calculs_CABS!$C$9:$C$900=$E36)*(Calculs_CABS!$B$9:$B$900=L$8),0),2),"")</f>
        <v/>
      </c>
      <c r="M36" s="321" t="str">
        <f t="array" ref="M36">IFERROR(INDEX(Calculs_CABS!$D$9:$E$900,MATCH(1,(Calculs_CABS!$C$9:$C$900=$E36)*(Calculs_CABS!$B$9:$B$900=M$8),0),2),"")</f>
        <v/>
      </c>
      <c r="N36" s="322" t="str">
        <f t="array" ref="N36">IFERROR(INDEX(Calculs_CABS!$D$9:$E$900,MATCH(1,(Calculs_CABS!$C$9:$C$900=$E36)*(Calculs_CABS!$B$9:$B$900=N$8),0),2),"")</f>
        <v/>
      </c>
      <c r="O36" s="321" t="str">
        <f t="array" ref="O36">IFERROR(INDEX(Calculs_CABS!$D$9:$E$900,MATCH(1,(Calculs_CABS!$C$9:$C$900=$E36)*(Calculs_CABS!$B$9:$B$900=O$8),0),1),"")</f>
        <v/>
      </c>
      <c r="P36" s="321" t="str">
        <f t="array" ref="P36">IFERROR(INDEX(Calculs_CABS!$D$9:$E927,MATCH(1,(Calculs_CABS!$C$9:$C$900=$E36)*(Calculs_CABS!$B$9:$B$900=O$8),0),2),"")</f>
        <v/>
      </c>
      <c r="Q36" s="421"/>
      <c r="R36" s="321" t="str">
        <f t="array" ref="R36">IFERROR(INDEX(Calculs_CABS!$D$9:$E$900,MATCH(1,(Calculs_CABS!$C$9:$C$900=$E36)*(Calculs_CABS!$B$9:$B$900=R$8),0),1),"")</f>
        <v/>
      </c>
      <c r="S36" s="321" t="str">
        <f t="array" ref="S36">IFERROR(INDEX(Calculs_CABS!$D$9:$E$900,MATCH(1,(Calculs_CABS!$C$9:$C$900=$E36)*(Calculs_CABS!$B$9:$B$900=R$8),0),2),"")</f>
        <v/>
      </c>
      <c r="T36" s="421"/>
      <c r="U36" s="321" t="str">
        <f t="array" ref="U36">IFERROR(INDEX(Calculs_CABS!$D$9:$E$900,MATCH(1,(Calculs_CABS!$C$9:$C$900=$E36)*(Calculs_CABS!$B$9:$B$900=U$8),0),1),"")</f>
        <v/>
      </c>
      <c r="V36" s="321" t="str">
        <f t="array" ref="V36">IFERROR(INDEX(Calculs_CABS!$D$9:$E$900,MATCH(1,(Calculs_CABS!$C$9:$C$900=$E36)*(Calculs_CABS!$B$9:$B$900=U$8),0),2),"")</f>
        <v/>
      </c>
      <c r="W36" s="421"/>
      <c r="X36" s="323" t="str">
        <f t="shared" si="1"/>
        <v/>
      </c>
    </row>
    <row r="37" spans="1:24" ht="15.75">
      <c r="A37" s="408"/>
      <c r="B37" s="411"/>
      <c r="C37" s="411"/>
      <c r="D37" s="404"/>
      <c r="E37" s="409"/>
      <c r="F37" s="410"/>
      <c r="G37" s="406"/>
      <c r="H37" s="412"/>
      <c r="I37" s="319" t="str">
        <f t="shared" si="0"/>
        <v/>
      </c>
      <c r="J37" s="320" t="str">
        <f>IFERROR(INDEX(Calculs_CABS!$F$7:$AI$7,1,ROW(E37)-ROW($E$8)),"")</f>
        <v/>
      </c>
      <c r="K37" s="321" t="str">
        <f t="array" ref="K37">IFERROR(INDEX(Calculs_CABS!$D$9:$E$900,MATCH(1,(Calculs_CABS!$C$9:$C$900=$E37)*(Calculs_CABS!$B$9:$B$900=K$8),0),2),"")</f>
        <v/>
      </c>
      <c r="L37" s="321" t="str">
        <f t="array" ref="L37">IFERROR(INDEX(Calculs_CABS!$D$9:$E$900,MATCH(1,(Calculs_CABS!$C$9:$C$900=$E37)*(Calculs_CABS!$B$9:$B$900=L$8),0),2),"")</f>
        <v/>
      </c>
      <c r="M37" s="321" t="str">
        <f t="array" ref="M37">IFERROR(INDEX(Calculs_CABS!$D$9:$E$900,MATCH(1,(Calculs_CABS!$C$9:$C$900=$E37)*(Calculs_CABS!$B$9:$B$900=M$8),0),2),"")</f>
        <v/>
      </c>
      <c r="N37" s="322" t="str">
        <f t="array" ref="N37">IFERROR(INDEX(Calculs_CABS!$D$9:$E$900,MATCH(1,(Calculs_CABS!$C$9:$C$900=$E37)*(Calculs_CABS!$B$9:$B$900=N$8),0),2),"")</f>
        <v/>
      </c>
      <c r="O37" s="321" t="str">
        <f t="array" ref="O37">IFERROR(INDEX(Calculs_CABS!$D$9:$E$900,MATCH(1,(Calculs_CABS!$C$9:$C$900=$E37)*(Calculs_CABS!$B$9:$B$900=O$8),0),1),"")</f>
        <v/>
      </c>
      <c r="P37" s="321" t="str">
        <f t="array" ref="P37">IFERROR(INDEX(Calculs_CABS!$D$9:$E928,MATCH(1,(Calculs_CABS!$C$9:$C$900=$E37)*(Calculs_CABS!$B$9:$B$900=O$8),0),2),"")</f>
        <v/>
      </c>
      <c r="Q37" s="421"/>
      <c r="R37" s="321" t="str">
        <f t="array" ref="R37">IFERROR(INDEX(Calculs_CABS!$D$9:$E$900,MATCH(1,(Calculs_CABS!$C$9:$C$900=$E37)*(Calculs_CABS!$B$9:$B$900=R$8),0),1),"")</f>
        <v/>
      </c>
      <c r="S37" s="321" t="str">
        <f t="array" ref="S37">IFERROR(INDEX(Calculs_CABS!$D$9:$E$900,MATCH(1,(Calculs_CABS!$C$9:$C$900=$E37)*(Calculs_CABS!$B$9:$B$900=R$8),0),2),"")</f>
        <v/>
      </c>
      <c r="T37" s="421"/>
      <c r="U37" s="321" t="str">
        <f t="array" ref="U37">IFERROR(INDEX(Calculs_CABS!$D$9:$E$900,MATCH(1,(Calculs_CABS!$C$9:$C$900=$E37)*(Calculs_CABS!$B$9:$B$900=U$8),0),1),"")</f>
        <v/>
      </c>
      <c r="V37" s="321" t="str">
        <f t="array" ref="V37">IFERROR(INDEX(Calculs_CABS!$D$9:$E$900,MATCH(1,(Calculs_CABS!$C$9:$C$900=$E37)*(Calculs_CABS!$B$9:$B$900=U$8),0),2),"")</f>
        <v/>
      </c>
      <c r="W37" s="421"/>
      <c r="X37" s="323" t="str">
        <f t="shared" si="1"/>
        <v/>
      </c>
    </row>
    <row r="38" spans="1:24" ht="16.5" thickBot="1">
      <c r="A38" s="413"/>
      <c r="B38" s="414"/>
      <c r="C38" s="414"/>
      <c r="D38" s="415"/>
      <c r="E38" s="416"/>
      <c r="F38" s="417"/>
      <c r="G38" s="418"/>
      <c r="H38" s="419"/>
      <c r="I38" s="324" t="str">
        <f t="shared" si="0"/>
        <v/>
      </c>
      <c r="J38" s="325" t="str">
        <f>IFERROR(INDEX(Calculs_CABS!$F$7:$AI$7,1,ROW(E38)-ROW($E$8)),"")</f>
        <v/>
      </c>
      <c r="K38" s="326" t="str">
        <f t="array" ref="K38">IFERROR(INDEX(Calculs_CABS!$D$9:$E$900,MATCH(1,(Calculs_CABS!$C$9:$C$900=$E38)*(Calculs_CABS!$B$9:$B$900=K$8),0),2),"")</f>
        <v/>
      </c>
      <c r="L38" s="326" t="str">
        <f t="array" ref="L38">IFERROR(INDEX(Calculs_CABS!$D$9:$E$900,MATCH(1,(Calculs_CABS!$C$9:$C$900=$E38)*(Calculs_CABS!$B$9:$B$900=L$8),0),2),"")</f>
        <v/>
      </c>
      <c r="M38" s="326" t="str">
        <f t="array" ref="M38">IFERROR(INDEX(Calculs_CABS!$D$9:$E$900,MATCH(1,(Calculs_CABS!$C$9:$C$900=$E38)*(Calculs_CABS!$B$9:$B$900=M$8),0),2),"")</f>
        <v/>
      </c>
      <c r="N38" s="327" t="str">
        <f t="array" ref="N38">IFERROR(INDEX(Calculs_CABS!$D$9:$E$900,MATCH(1,(Calculs_CABS!$C$9:$C$900=$E38)*(Calculs_CABS!$B$9:$B$900=N$8),0),2),"")</f>
        <v/>
      </c>
      <c r="O38" s="326" t="str">
        <f t="array" ref="O38">IFERROR(INDEX(Calculs_CABS!$D$9:$E$900,MATCH(1,(Calculs_CABS!$C$9:$C$900=$E38)*(Calculs_CABS!$B$9:$B$900=O$8),0),1),"")</f>
        <v/>
      </c>
      <c r="P38" s="326" t="str">
        <f t="array" ref="P38">IFERROR(INDEX(Calculs_CABS!$D$9:$E929,MATCH(1,(Calculs_CABS!$C$9:$C$900=$E38)*(Calculs_CABS!$B$9:$B$900=O$8),0),2),"")</f>
        <v/>
      </c>
      <c r="Q38" s="423"/>
      <c r="R38" s="326" t="str">
        <f t="array" ref="R38">IFERROR(INDEX(Calculs_CABS!$D$9:$E$900,MATCH(1,(Calculs_CABS!$C$9:$C$900=$E38)*(Calculs_CABS!$B$9:$B$900=R$8),0),1),"")</f>
        <v/>
      </c>
      <c r="S38" s="326" t="str">
        <f t="array" ref="S38">IFERROR(INDEX(Calculs_CABS!$D$9:$E$900,MATCH(1,(Calculs_CABS!$C$9:$C$900=$E38)*(Calculs_CABS!$B$9:$B$900=R$8),0),2),"")</f>
        <v/>
      </c>
      <c r="T38" s="423"/>
      <c r="U38" s="326" t="str">
        <f t="array" ref="U38">IFERROR(INDEX(Calculs_CABS!$D$9:$E$900,MATCH(1,(Calculs_CABS!$C$9:$C$900=$E38)*(Calculs_CABS!$B$9:$B$900=U$8),0),1),"")</f>
        <v/>
      </c>
      <c r="V38" s="326" t="str">
        <f t="array" ref="V38">IFERROR(INDEX(Calculs_CABS!$D$9:$E$900,MATCH(1,(Calculs_CABS!$C$9:$C$900=$E38)*(Calculs_CABS!$B$9:$B$900=U$8),0),2),"")</f>
        <v/>
      </c>
      <c r="W38" s="423"/>
      <c r="X38" s="328" t="str">
        <f t="shared" si="1"/>
        <v/>
      </c>
    </row>
    <row r="39" spans="1:24">
      <c r="A39" s="401"/>
      <c r="B39" s="401"/>
      <c r="C39" s="401"/>
      <c r="D39" s="401"/>
      <c r="I39" s="401"/>
      <c r="J39" s="401"/>
      <c r="K39" s="401"/>
      <c r="L39" s="401"/>
      <c r="M39" s="401"/>
      <c r="N39" s="401"/>
      <c r="O39" s="401"/>
      <c r="R39" s="396"/>
    </row>
    <row r="40" spans="1:24">
      <c r="A40" s="401"/>
      <c r="B40" s="401"/>
      <c r="C40" s="401"/>
      <c r="D40" s="548" t="s">
        <v>898</v>
      </c>
      <c r="E40" s="548"/>
      <c r="F40" s="548"/>
      <c r="I40" s="401"/>
      <c r="J40" s="401"/>
      <c r="K40" s="401"/>
      <c r="L40" s="401"/>
      <c r="M40" s="401"/>
      <c r="N40" s="401"/>
      <c r="O40" s="401"/>
    </row>
    <row r="41" spans="1:24">
      <c r="A41" s="401"/>
      <c r="B41" s="401"/>
      <c r="C41" s="401"/>
      <c r="D41" s="401"/>
      <c r="E41" s="401"/>
      <c r="F41" s="401"/>
      <c r="G41" s="401"/>
      <c r="H41" s="401"/>
      <c r="I41" s="401"/>
      <c r="J41" s="401"/>
      <c r="K41" s="401"/>
      <c r="L41" s="401"/>
      <c r="M41" s="401"/>
      <c r="N41" s="401"/>
      <c r="O41" s="401"/>
    </row>
    <row r="42" spans="1:24">
      <c r="A42" s="401"/>
      <c r="B42" s="401"/>
      <c r="C42" s="401"/>
      <c r="D42" s="401"/>
      <c r="E42" s="401"/>
      <c r="F42" s="401"/>
      <c r="G42" s="401"/>
      <c r="H42" s="401"/>
      <c r="I42" s="401"/>
      <c r="J42" s="401"/>
      <c r="K42" s="401"/>
      <c r="L42" s="401"/>
      <c r="M42" s="401"/>
      <c r="N42" s="401"/>
      <c r="O42" s="401"/>
    </row>
  </sheetData>
  <sheetProtection sheet="1" objects="1" scenarios="1" formatColumns="0"/>
  <mergeCells count="3">
    <mergeCell ref="B5:B7"/>
    <mergeCell ref="C5:C7"/>
    <mergeCell ref="D40:F40"/>
  </mergeCells>
  <dataValidations count="1">
    <dataValidation type="list" allowBlank="1" showInputMessage="1" showErrorMessage="1" sqref="E9:E38" xr:uid="{00000000-0002-0000-0400-000000000000}">
      <formula1>INDIRECT($D9)</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1000000}">
          <x14:formula1>
            <xm:f>Liste_CABS!$F$3:$F$12</xm:f>
          </x14:formula1>
          <xm:sqref>D9:D38</xm:sqref>
        </x14:dataValidation>
        <x14:dataValidation type="list" allowBlank="1" showInputMessage="1" showErrorMessage="1" xr:uid="{00000000-0002-0000-0400-000002000000}">
          <x14:formula1>
            <xm:f>Liste!$S$16:$S$17</xm:f>
          </x14:formula1>
          <xm:sqref>G9:H38</xm:sqref>
        </x14:dataValidation>
        <x14:dataValidation type="list" allowBlank="1" showInputMessage="1" showErrorMessage="1" xr:uid="{ACE474C5-02A7-4AA2-95A6-DC2295E82648}">
          <x14:formula1>
            <xm:f>Liste!$A$54:$A$74</xm:f>
          </x14:formula1>
          <xm:sqref>B9:C38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3">
    <tabColor theme="9"/>
  </sheetPr>
  <dimension ref="A1:X645"/>
  <sheetViews>
    <sheetView zoomScale="70" zoomScaleNormal="70" workbookViewId="0">
      <selection activeCell="G15" sqref="G15"/>
    </sheetView>
  </sheetViews>
  <sheetFormatPr baseColWidth="10" defaultColWidth="11.42578125" defaultRowHeight="15"/>
  <cols>
    <col min="1" max="1" width="13.85546875" style="390" bestFit="1" customWidth="1"/>
    <col min="2" max="2" width="7.85546875" customWidth="1"/>
    <col min="3" max="3" width="6.5703125" customWidth="1"/>
    <col min="4" max="4" width="5" customWidth="1"/>
    <col min="5" max="5" width="18.85546875" customWidth="1"/>
    <col min="6" max="6" width="17.7109375" customWidth="1"/>
    <col min="7" max="7" width="11.42578125" style="476"/>
    <col min="8" max="8" width="26.140625" style="476" bestFit="1" customWidth="1"/>
    <col min="9" max="9" width="33.42578125" style="476" bestFit="1" customWidth="1"/>
    <col min="10" max="10" width="8.5703125" style="476" customWidth="1"/>
    <col min="11" max="11" width="0.7109375" style="476" customWidth="1"/>
    <col min="12" max="12" width="26.140625" style="476" bestFit="1" customWidth="1"/>
    <col min="13" max="13" width="31.42578125" style="476" bestFit="1" customWidth="1"/>
    <col min="14" max="14" width="9.7109375" style="476" customWidth="1"/>
    <col min="15" max="15" width="26.140625" style="476" bestFit="1" customWidth="1"/>
    <col min="16" max="16" width="33.85546875" style="476" bestFit="1" customWidth="1"/>
    <col min="17" max="17" width="31.85546875" style="476" bestFit="1" customWidth="1"/>
    <col min="18" max="20" width="7.7109375" style="476" bestFit="1" customWidth="1"/>
    <col min="21" max="21" width="7.7109375" style="275" bestFit="1" customWidth="1"/>
    <col min="22" max="22" width="14.140625" style="476" bestFit="1" customWidth="1"/>
    <col min="23" max="27" width="7.7109375" style="476" bestFit="1" customWidth="1"/>
    <col min="28" max="28" width="6.7109375" style="476" bestFit="1" customWidth="1"/>
    <col min="29" max="31" width="7.7109375" style="476" bestFit="1" customWidth="1"/>
    <col min="32" max="32" width="18.42578125" style="476" bestFit="1" customWidth="1"/>
    <col min="33" max="33" width="11.7109375" style="476" bestFit="1" customWidth="1"/>
    <col min="34" max="16384" width="11.42578125" style="476"/>
  </cols>
  <sheetData>
    <row r="1" spans="1:24">
      <c r="A1" s="515" t="s">
        <v>835</v>
      </c>
      <c r="B1" s="515" t="s">
        <v>263</v>
      </c>
      <c r="C1" s="515" t="s">
        <v>425</v>
      </c>
      <c r="D1" s="515" t="s">
        <v>426</v>
      </c>
      <c r="E1" s="515" t="s">
        <v>427</v>
      </c>
      <c r="F1" s="515" t="s">
        <v>428</v>
      </c>
      <c r="G1" s="186"/>
      <c r="H1" s="32" t="s">
        <v>443</v>
      </c>
      <c r="N1" s="476" t="s">
        <v>445</v>
      </c>
      <c r="U1" s="476"/>
    </row>
    <row r="2" spans="1:24" ht="20.65" customHeight="1">
      <c r="A2" s="456" t="s">
        <v>75</v>
      </c>
      <c r="B2" s="456">
        <v>2001</v>
      </c>
      <c r="C2" s="456" t="s">
        <v>73</v>
      </c>
      <c r="D2" s="456">
        <v>1</v>
      </c>
      <c r="E2" s="456">
        <v>382</v>
      </c>
      <c r="F2" s="456">
        <v>0</v>
      </c>
      <c r="G2" s="186"/>
      <c r="H2" s="476" t="s">
        <v>447</v>
      </c>
      <c r="M2" s="476" t="s">
        <v>448</v>
      </c>
      <c r="N2" s="160" t="s">
        <v>446</v>
      </c>
      <c r="U2" s="476"/>
    </row>
    <row r="3" spans="1:24" ht="44.25" customHeight="1">
      <c r="A3" s="456" t="s">
        <v>75</v>
      </c>
      <c r="B3" s="456">
        <v>2001</v>
      </c>
      <c r="C3" s="456" t="s">
        <v>887</v>
      </c>
      <c r="D3" s="456">
        <v>2</v>
      </c>
      <c r="E3" s="456">
        <v>322</v>
      </c>
      <c r="F3" s="456">
        <v>0</v>
      </c>
      <c r="H3" s="160"/>
      <c r="U3" s="476"/>
    </row>
    <row r="4" spans="1:24" ht="20.65" customHeight="1">
      <c r="A4" s="456" t="s">
        <v>75</v>
      </c>
      <c r="B4" s="456">
        <v>2001</v>
      </c>
      <c r="C4" s="456" t="s">
        <v>77</v>
      </c>
      <c r="D4" s="456">
        <v>3</v>
      </c>
      <c r="E4" s="456">
        <v>259</v>
      </c>
      <c r="F4" s="456">
        <v>0</v>
      </c>
      <c r="H4" s="88" t="s">
        <v>444</v>
      </c>
      <c r="U4" s="476"/>
    </row>
    <row r="5" spans="1:24" ht="20.65" customHeight="1">
      <c r="A5" s="456" t="s">
        <v>75</v>
      </c>
      <c r="B5" s="456">
        <v>2001</v>
      </c>
      <c r="C5" s="456" t="s">
        <v>79</v>
      </c>
      <c r="D5" s="456">
        <v>4</v>
      </c>
      <c r="E5" s="456">
        <v>246</v>
      </c>
      <c r="F5" s="456">
        <v>1</v>
      </c>
      <c r="H5" s="88" t="s">
        <v>836</v>
      </c>
      <c r="U5" s="476"/>
    </row>
    <row r="6" spans="1:24" ht="20.65" customHeight="1">
      <c r="A6" s="456" t="s">
        <v>75</v>
      </c>
      <c r="B6" s="456">
        <v>2001</v>
      </c>
      <c r="C6" s="456" t="s">
        <v>80</v>
      </c>
      <c r="D6" s="456">
        <v>5</v>
      </c>
      <c r="E6" s="456">
        <v>106</v>
      </c>
      <c r="F6" s="456">
        <v>37</v>
      </c>
      <c r="U6" s="476"/>
    </row>
    <row r="7" spans="1:24" ht="20.65" customHeight="1">
      <c r="A7" s="456" t="s">
        <v>75</v>
      </c>
      <c r="B7" s="456">
        <v>2001</v>
      </c>
      <c r="C7" s="456" t="s">
        <v>81</v>
      </c>
      <c r="D7" s="456">
        <v>6</v>
      </c>
      <c r="E7" s="456">
        <v>70</v>
      </c>
      <c r="F7" s="456">
        <v>60</v>
      </c>
      <c r="U7" s="476"/>
    </row>
    <row r="8" spans="1:24" ht="20.65" customHeight="1">
      <c r="A8" s="456" t="s">
        <v>75</v>
      </c>
      <c r="B8" s="456">
        <v>2001</v>
      </c>
      <c r="C8" s="456" t="s">
        <v>82</v>
      </c>
      <c r="D8" s="456">
        <v>7</v>
      </c>
      <c r="E8" s="456">
        <v>33</v>
      </c>
      <c r="F8" s="456">
        <v>92</v>
      </c>
      <c r="U8" s="476"/>
    </row>
    <row r="9" spans="1:24" ht="20.65" customHeight="1">
      <c r="A9" s="456" t="s">
        <v>75</v>
      </c>
      <c r="B9" s="456">
        <v>2001</v>
      </c>
      <c r="C9" s="456" t="s">
        <v>888</v>
      </c>
      <c r="D9" s="456">
        <v>8</v>
      </c>
      <c r="E9" s="456">
        <v>30</v>
      </c>
      <c r="F9" s="456">
        <v>99</v>
      </c>
      <c r="U9" s="476"/>
    </row>
    <row r="10" spans="1:24">
      <c r="A10" s="456" t="s">
        <v>75</v>
      </c>
      <c r="B10" s="456">
        <v>2001</v>
      </c>
      <c r="C10" s="456" t="s">
        <v>83</v>
      </c>
      <c r="D10" s="456">
        <v>9</v>
      </c>
      <c r="E10" s="456">
        <v>115</v>
      </c>
      <c r="F10" s="456">
        <v>11</v>
      </c>
      <c r="O10" s="32" t="s">
        <v>833</v>
      </c>
      <c r="U10" s="476"/>
    </row>
    <row r="11" spans="1:24">
      <c r="A11" s="456" t="s">
        <v>75</v>
      </c>
      <c r="B11" s="456">
        <v>2001</v>
      </c>
      <c r="C11" s="456" t="s">
        <v>84</v>
      </c>
      <c r="D11" s="456">
        <v>10</v>
      </c>
      <c r="E11" s="456">
        <v>87</v>
      </c>
      <c r="F11" s="456">
        <v>15</v>
      </c>
      <c r="H11" s="476" t="s">
        <v>713</v>
      </c>
      <c r="L11" s="476" t="s">
        <v>712</v>
      </c>
      <c r="O11" s="162" t="s">
        <v>834</v>
      </c>
      <c r="U11" s="476"/>
    </row>
    <row r="12" spans="1:24">
      <c r="A12" s="456" t="s">
        <v>75</v>
      </c>
      <c r="B12" s="456">
        <v>2001</v>
      </c>
      <c r="C12" s="456" t="s">
        <v>85</v>
      </c>
      <c r="D12" s="456">
        <v>11</v>
      </c>
      <c r="E12" s="456">
        <v>330</v>
      </c>
      <c r="F12" s="456">
        <v>0</v>
      </c>
      <c r="T12" s="275"/>
      <c r="V12" s="275"/>
      <c r="W12" s="275"/>
      <c r="X12" s="275"/>
    </row>
    <row r="13" spans="1:24">
      <c r="A13" s="456" t="s">
        <v>75</v>
      </c>
      <c r="B13" s="456">
        <v>2001</v>
      </c>
      <c r="C13" s="456" t="s">
        <v>889</v>
      </c>
      <c r="D13" s="456">
        <v>12</v>
      </c>
      <c r="E13" s="456">
        <v>443</v>
      </c>
      <c r="F13" s="456">
        <v>0</v>
      </c>
      <c r="H13" s="510" t="s">
        <v>64</v>
      </c>
      <c r="I13" s="186" t="s">
        <v>78</v>
      </c>
      <c r="L13" s="510" t="s">
        <v>64</v>
      </c>
      <c r="M13" s="186" t="s">
        <v>429</v>
      </c>
      <c r="O13" s="510" t="s">
        <v>64</v>
      </c>
      <c r="P13" s="186" t="s">
        <v>853</v>
      </c>
      <c r="Q13" s="186" t="s">
        <v>854</v>
      </c>
      <c r="T13" s="275"/>
      <c r="V13" s="275"/>
      <c r="W13" s="275"/>
      <c r="X13" s="275"/>
    </row>
    <row r="14" spans="1:24">
      <c r="A14" s="456" t="s">
        <v>75</v>
      </c>
      <c r="B14" s="456">
        <v>2002</v>
      </c>
      <c r="C14" s="456" t="s">
        <v>73</v>
      </c>
      <c r="D14" s="456">
        <v>1</v>
      </c>
      <c r="E14" s="456">
        <v>342</v>
      </c>
      <c r="F14" s="456">
        <v>0</v>
      </c>
      <c r="H14" s="511">
        <v>2001</v>
      </c>
      <c r="I14" s="512">
        <v>2423</v>
      </c>
      <c r="L14" s="511">
        <v>2001</v>
      </c>
      <c r="M14" s="512">
        <v>315</v>
      </c>
      <c r="O14" s="511">
        <v>2001</v>
      </c>
      <c r="P14" s="512">
        <v>12</v>
      </c>
      <c r="Q14" s="512">
        <v>12</v>
      </c>
      <c r="T14" s="275"/>
      <c r="V14" s="275"/>
      <c r="W14" s="275"/>
      <c r="X14" s="275"/>
    </row>
    <row r="15" spans="1:24">
      <c r="A15" s="456" t="s">
        <v>75</v>
      </c>
      <c r="B15" s="456">
        <v>2002</v>
      </c>
      <c r="C15" s="456" t="s">
        <v>887</v>
      </c>
      <c r="D15" s="456">
        <v>2</v>
      </c>
      <c r="E15" s="456">
        <v>262</v>
      </c>
      <c r="F15" s="456">
        <v>0</v>
      </c>
      <c r="H15" s="511">
        <v>2002</v>
      </c>
      <c r="I15" s="512">
        <v>2195</v>
      </c>
      <c r="L15" s="511">
        <v>2002</v>
      </c>
      <c r="M15" s="512">
        <v>234</v>
      </c>
      <c r="O15" s="511">
        <v>2002</v>
      </c>
      <c r="P15" s="512">
        <v>12</v>
      </c>
      <c r="Q15" s="512">
        <v>12</v>
      </c>
      <c r="T15" s="275"/>
      <c r="V15" s="275"/>
      <c r="W15" s="275"/>
      <c r="X15" s="275"/>
    </row>
    <row r="16" spans="1:24">
      <c r="A16" s="456" t="s">
        <v>75</v>
      </c>
      <c r="B16" s="456">
        <v>2002</v>
      </c>
      <c r="C16" s="456" t="s">
        <v>77</v>
      </c>
      <c r="D16" s="456">
        <v>3</v>
      </c>
      <c r="E16" s="456">
        <v>281</v>
      </c>
      <c r="F16" s="456">
        <v>0</v>
      </c>
      <c r="H16" s="511">
        <v>2003</v>
      </c>
      <c r="I16" s="512">
        <v>2384</v>
      </c>
      <c r="L16" s="511">
        <v>2003</v>
      </c>
      <c r="M16" s="512">
        <v>517</v>
      </c>
      <c r="O16" s="511">
        <v>2003</v>
      </c>
      <c r="P16" s="512">
        <v>12</v>
      </c>
      <c r="Q16" s="512">
        <v>12</v>
      </c>
      <c r="T16" s="275"/>
      <c r="V16" s="275"/>
      <c r="W16" s="275"/>
      <c r="X16" s="275"/>
    </row>
    <row r="17" spans="1:24">
      <c r="A17" s="456" t="s">
        <v>75</v>
      </c>
      <c r="B17" s="456">
        <v>2002</v>
      </c>
      <c r="C17" s="456" t="s">
        <v>79</v>
      </c>
      <c r="D17" s="456">
        <v>4</v>
      </c>
      <c r="E17" s="456">
        <v>202</v>
      </c>
      <c r="F17" s="456">
        <v>5</v>
      </c>
      <c r="H17" s="511">
        <v>2004</v>
      </c>
      <c r="I17" s="512">
        <v>2472</v>
      </c>
      <c r="L17" s="511">
        <v>2004</v>
      </c>
      <c r="M17" s="512">
        <v>341</v>
      </c>
      <c r="O17" s="511">
        <v>2004</v>
      </c>
      <c r="P17" s="512">
        <v>12</v>
      </c>
      <c r="Q17" s="512">
        <v>12</v>
      </c>
      <c r="T17" s="275"/>
      <c r="V17" s="275"/>
      <c r="W17" s="275"/>
      <c r="X17" s="275"/>
    </row>
    <row r="18" spans="1:24">
      <c r="A18" s="456" t="s">
        <v>75</v>
      </c>
      <c r="B18" s="456">
        <v>2002</v>
      </c>
      <c r="C18" s="456" t="s">
        <v>80</v>
      </c>
      <c r="D18" s="456">
        <v>5</v>
      </c>
      <c r="E18" s="456">
        <v>147</v>
      </c>
      <c r="F18" s="456">
        <v>14</v>
      </c>
      <c r="H18" s="511">
        <v>2005</v>
      </c>
      <c r="I18" s="512">
        <v>2428</v>
      </c>
      <c r="L18" s="511">
        <v>2005</v>
      </c>
      <c r="M18" s="512">
        <v>414</v>
      </c>
      <c r="O18" s="511">
        <v>2005</v>
      </c>
      <c r="P18" s="512">
        <v>12</v>
      </c>
      <c r="Q18" s="512">
        <v>12</v>
      </c>
      <c r="S18" s="160"/>
      <c r="T18" s="275"/>
      <c r="V18" s="275"/>
      <c r="W18" s="275"/>
      <c r="X18" s="275"/>
    </row>
    <row r="19" spans="1:24">
      <c r="A19" s="456" t="s">
        <v>75</v>
      </c>
      <c r="B19" s="456">
        <v>2002</v>
      </c>
      <c r="C19" s="456" t="s">
        <v>81</v>
      </c>
      <c r="D19" s="456">
        <v>6</v>
      </c>
      <c r="E19" s="456">
        <v>59</v>
      </c>
      <c r="F19" s="456">
        <v>55</v>
      </c>
      <c r="H19" s="511">
        <v>2006</v>
      </c>
      <c r="I19" s="512">
        <v>2355</v>
      </c>
      <c r="L19" s="511">
        <v>2006</v>
      </c>
      <c r="M19" s="512">
        <v>454</v>
      </c>
      <c r="O19" s="511">
        <v>2006</v>
      </c>
      <c r="P19" s="512">
        <v>12</v>
      </c>
      <c r="Q19" s="512">
        <v>12</v>
      </c>
      <c r="T19" s="275"/>
      <c r="V19" s="275"/>
      <c r="W19" s="275"/>
      <c r="X19" s="275"/>
    </row>
    <row r="20" spans="1:24">
      <c r="A20" s="456" t="s">
        <v>75</v>
      </c>
      <c r="B20" s="456">
        <v>2002</v>
      </c>
      <c r="C20" s="456" t="s">
        <v>82</v>
      </c>
      <c r="D20" s="456">
        <v>7</v>
      </c>
      <c r="E20" s="456">
        <v>50</v>
      </c>
      <c r="F20" s="456">
        <v>67</v>
      </c>
      <c r="H20" s="511">
        <v>2007</v>
      </c>
      <c r="I20" s="512">
        <v>2261</v>
      </c>
      <c r="L20" s="511">
        <v>2007</v>
      </c>
      <c r="M20" s="512">
        <v>229</v>
      </c>
      <c r="O20" s="511">
        <v>2007</v>
      </c>
      <c r="P20" s="512">
        <v>12</v>
      </c>
      <c r="Q20" s="512">
        <v>12</v>
      </c>
      <c r="T20" s="275"/>
      <c r="V20" s="275"/>
      <c r="W20" s="275"/>
      <c r="X20" s="275"/>
    </row>
    <row r="21" spans="1:24">
      <c r="A21" s="456" t="s">
        <v>75</v>
      </c>
      <c r="B21" s="456">
        <v>2002</v>
      </c>
      <c r="C21" s="456" t="s">
        <v>888</v>
      </c>
      <c r="D21" s="456">
        <v>8</v>
      </c>
      <c r="E21" s="456">
        <v>39</v>
      </c>
      <c r="F21" s="456">
        <v>63</v>
      </c>
      <c r="H21" s="511">
        <v>2008</v>
      </c>
      <c r="I21" s="512">
        <v>2436</v>
      </c>
      <c r="L21" s="511">
        <v>2008</v>
      </c>
      <c r="M21" s="512">
        <v>262</v>
      </c>
      <c r="O21" s="511">
        <v>2008</v>
      </c>
      <c r="P21" s="512">
        <v>12</v>
      </c>
      <c r="Q21" s="512">
        <v>12</v>
      </c>
      <c r="T21" s="275"/>
      <c r="V21" s="275"/>
      <c r="W21" s="275"/>
      <c r="X21" s="275"/>
    </row>
    <row r="22" spans="1:24">
      <c r="A22" s="456" t="s">
        <v>75</v>
      </c>
      <c r="B22" s="456">
        <v>2002</v>
      </c>
      <c r="C22" s="456" t="s">
        <v>83</v>
      </c>
      <c r="D22" s="456">
        <v>9</v>
      </c>
      <c r="E22" s="456">
        <v>92</v>
      </c>
      <c r="F22" s="456">
        <v>27</v>
      </c>
      <c r="H22" s="511">
        <v>2009</v>
      </c>
      <c r="I22" s="512">
        <v>2448</v>
      </c>
      <c r="L22" s="511">
        <v>2009</v>
      </c>
      <c r="M22" s="512">
        <v>359</v>
      </c>
      <c r="O22" s="511">
        <v>2009</v>
      </c>
      <c r="P22" s="512">
        <v>12</v>
      </c>
      <c r="Q22" s="512">
        <v>12</v>
      </c>
      <c r="T22" s="275"/>
      <c r="V22" s="275"/>
      <c r="W22" s="275"/>
      <c r="X22" s="275"/>
    </row>
    <row r="23" spans="1:24">
      <c r="A23" s="456" t="s">
        <v>75</v>
      </c>
      <c r="B23" s="456">
        <v>2002</v>
      </c>
      <c r="C23" s="456" t="s">
        <v>84</v>
      </c>
      <c r="D23" s="456">
        <v>10</v>
      </c>
      <c r="E23" s="456">
        <v>158</v>
      </c>
      <c r="F23" s="456">
        <v>3</v>
      </c>
      <c r="H23" s="511">
        <v>2010</v>
      </c>
      <c r="I23" s="512">
        <v>2751</v>
      </c>
      <c r="L23" s="511">
        <v>2010</v>
      </c>
      <c r="M23" s="512">
        <v>350</v>
      </c>
      <c r="O23" s="511">
        <v>2010</v>
      </c>
      <c r="P23" s="512">
        <v>12</v>
      </c>
      <c r="Q23" s="512">
        <v>12</v>
      </c>
      <c r="T23" s="275"/>
      <c r="V23" s="275"/>
      <c r="W23" s="275"/>
      <c r="X23" s="275"/>
    </row>
    <row r="24" spans="1:24">
      <c r="A24" s="456" t="s">
        <v>75</v>
      </c>
      <c r="B24" s="456">
        <v>2002</v>
      </c>
      <c r="C24" s="456" t="s">
        <v>85</v>
      </c>
      <c r="D24" s="456">
        <v>11</v>
      </c>
      <c r="E24" s="456">
        <v>249</v>
      </c>
      <c r="F24" s="456">
        <v>0</v>
      </c>
      <c r="H24" s="511">
        <v>2011</v>
      </c>
      <c r="I24" s="512">
        <v>2034</v>
      </c>
      <c r="L24" s="511">
        <v>2011</v>
      </c>
      <c r="M24" s="512">
        <v>341</v>
      </c>
      <c r="O24" s="511">
        <v>2011</v>
      </c>
      <c r="P24" s="512">
        <v>12</v>
      </c>
      <c r="Q24" s="512">
        <v>12</v>
      </c>
      <c r="T24" s="275"/>
      <c r="V24" s="275"/>
      <c r="W24" s="275"/>
      <c r="X24" s="275"/>
    </row>
    <row r="25" spans="1:24">
      <c r="A25" s="456" t="s">
        <v>75</v>
      </c>
      <c r="B25" s="456">
        <v>2002</v>
      </c>
      <c r="C25" s="456" t="s">
        <v>889</v>
      </c>
      <c r="D25" s="456">
        <v>12</v>
      </c>
      <c r="E25" s="456">
        <v>314</v>
      </c>
      <c r="F25" s="456">
        <v>0</v>
      </c>
      <c r="H25" s="511">
        <v>2012</v>
      </c>
      <c r="I25" s="512">
        <v>2459</v>
      </c>
      <c r="L25" s="511">
        <v>2012</v>
      </c>
      <c r="M25" s="512">
        <v>289</v>
      </c>
      <c r="O25" s="511">
        <v>2012</v>
      </c>
      <c r="P25" s="512">
        <v>12</v>
      </c>
      <c r="Q25" s="512">
        <v>12</v>
      </c>
      <c r="T25" s="275"/>
      <c r="V25" s="275"/>
      <c r="W25" s="275"/>
      <c r="X25" s="275"/>
    </row>
    <row r="26" spans="1:24">
      <c r="A26" s="456" t="s">
        <v>75</v>
      </c>
      <c r="B26" s="456">
        <v>2003</v>
      </c>
      <c r="C26" s="456" t="s">
        <v>73</v>
      </c>
      <c r="D26" s="456">
        <v>1</v>
      </c>
      <c r="E26" s="456">
        <v>451</v>
      </c>
      <c r="F26" s="456">
        <v>0</v>
      </c>
      <c r="H26" s="511">
        <v>2013</v>
      </c>
      <c r="I26" s="512">
        <v>2576</v>
      </c>
      <c r="L26" s="511">
        <v>2013</v>
      </c>
      <c r="M26" s="512">
        <v>354</v>
      </c>
      <c r="O26" s="511">
        <v>2013</v>
      </c>
      <c r="P26" s="512">
        <v>12</v>
      </c>
      <c r="Q26" s="512">
        <v>12</v>
      </c>
      <c r="T26" s="275"/>
      <c r="V26" s="275"/>
      <c r="W26" s="275"/>
      <c r="X26" s="275"/>
    </row>
    <row r="27" spans="1:24">
      <c r="A27" s="456" t="s">
        <v>75</v>
      </c>
      <c r="B27" s="456">
        <v>2003</v>
      </c>
      <c r="C27" s="456" t="s">
        <v>887</v>
      </c>
      <c r="D27" s="456">
        <v>2</v>
      </c>
      <c r="E27" s="456">
        <v>368</v>
      </c>
      <c r="F27" s="456">
        <v>0</v>
      </c>
      <c r="H27" s="511">
        <v>2014</v>
      </c>
      <c r="I27" s="512">
        <v>2064</v>
      </c>
      <c r="L27" s="511">
        <v>2014</v>
      </c>
      <c r="M27" s="512">
        <v>315</v>
      </c>
      <c r="O27" s="511">
        <v>2014</v>
      </c>
      <c r="P27" s="512">
        <v>12</v>
      </c>
      <c r="Q27" s="512">
        <v>12</v>
      </c>
      <c r="T27" s="275"/>
      <c r="V27" s="275"/>
      <c r="W27" s="275"/>
      <c r="X27" s="275"/>
    </row>
    <row r="28" spans="1:24">
      <c r="A28" s="456" t="s">
        <v>75</v>
      </c>
      <c r="B28" s="456">
        <v>2003</v>
      </c>
      <c r="C28" s="456" t="s">
        <v>77</v>
      </c>
      <c r="D28" s="456">
        <v>3</v>
      </c>
      <c r="E28" s="456">
        <v>234</v>
      </c>
      <c r="F28" s="456">
        <v>4</v>
      </c>
      <c r="H28" s="511">
        <v>2015</v>
      </c>
      <c r="I28" s="512">
        <v>2183</v>
      </c>
      <c r="L28" s="511">
        <v>2015</v>
      </c>
      <c r="M28" s="512">
        <v>374</v>
      </c>
      <c r="O28" s="511">
        <v>2015</v>
      </c>
      <c r="P28" s="512">
        <v>12</v>
      </c>
      <c r="Q28" s="512">
        <v>12</v>
      </c>
      <c r="T28" s="275"/>
      <c r="V28" s="275"/>
      <c r="W28" s="275"/>
      <c r="X28" s="275"/>
    </row>
    <row r="29" spans="1:24">
      <c r="A29" s="456" t="s">
        <v>75</v>
      </c>
      <c r="B29" s="456">
        <v>2003</v>
      </c>
      <c r="C29" s="456" t="s">
        <v>79</v>
      </c>
      <c r="D29" s="456">
        <v>4</v>
      </c>
      <c r="E29" s="456">
        <v>198</v>
      </c>
      <c r="F29" s="456">
        <v>13</v>
      </c>
      <c r="H29" s="511">
        <v>2016</v>
      </c>
      <c r="I29" s="512">
        <v>2421</v>
      </c>
      <c r="L29" s="511">
        <v>2016</v>
      </c>
      <c r="M29" s="512">
        <v>381</v>
      </c>
      <c r="O29" s="511">
        <v>2016</v>
      </c>
      <c r="P29" s="512">
        <v>12</v>
      </c>
      <c r="Q29" s="512">
        <v>12</v>
      </c>
      <c r="T29" s="275"/>
      <c r="V29" s="275"/>
      <c r="W29" s="275"/>
      <c r="X29" s="275"/>
    </row>
    <row r="30" spans="1:24">
      <c r="A30" s="456" t="s">
        <v>75</v>
      </c>
      <c r="B30" s="456">
        <v>2003</v>
      </c>
      <c r="C30" s="456" t="s">
        <v>80</v>
      </c>
      <c r="D30" s="456">
        <v>5</v>
      </c>
      <c r="E30" s="456">
        <v>127</v>
      </c>
      <c r="F30" s="456">
        <v>24</v>
      </c>
      <c r="H30" s="511">
        <v>2017</v>
      </c>
      <c r="I30" s="512">
        <v>2238</v>
      </c>
      <c r="L30" s="511">
        <v>2017</v>
      </c>
      <c r="M30" s="512">
        <v>421</v>
      </c>
      <c r="O30" s="511">
        <v>2017</v>
      </c>
      <c r="P30" s="512">
        <v>12</v>
      </c>
      <c r="Q30" s="512">
        <v>12</v>
      </c>
      <c r="T30" s="275"/>
      <c r="V30" s="275"/>
      <c r="W30" s="275"/>
      <c r="X30" s="275"/>
    </row>
    <row r="31" spans="1:24">
      <c r="A31" s="456" t="s">
        <v>75</v>
      </c>
      <c r="B31" s="456">
        <v>2003</v>
      </c>
      <c r="C31" s="456" t="s">
        <v>81</v>
      </c>
      <c r="D31" s="456">
        <v>6</v>
      </c>
      <c r="E31" s="456">
        <v>18</v>
      </c>
      <c r="F31" s="456">
        <v>112</v>
      </c>
      <c r="H31" s="511">
        <v>2018</v>
      </c>
      <c r="I31" s="512">
        <v>2147</v>
      </c>
      <c r="L31" s="511">
        <v>2018</v>
      </c>
      <c r="M31" s="512">
        <v>529</v>
      </c>
      <c r="O31" s="511">
        <v>2018</v>
      </c>
      <c r="P31" s="512">
        <v>12</v>
      </c>
      <c r="Q31" s="512">
        <v>12</v>
      </c>
      <c r="T31" s="275"/>
      <c r="V31" s="275"/>
      <c r="W31" s="275"/>
      <c r="X31" s="275"/>
    </row>
    <row r="32" spans="1:24">
      <c r="A32" s="456" t="s">
        <v>75</v>
      </c>
      <c r="B32" s="456">
        <v>2003</v>
      </c>
      <c r="C32" s="456" t="s">
        <v>82</v>
      </c>
      <c r="D32" s="456">
        <v>7</v>
      </c>
      <c r="E32" s="456">
        <v>22</v>
      </c>
      <c r="F32" s="456">
        <v>102</v>
      </c>
      <c r="H32" s="511">
        <v>2019</v>
      </c>
      <c r="I32" s="512">
        <v>2213</v>
      </c>
      <c r="L32" s="511">
        <v>2019</v>
      </c>
      <c r="M32" s="512">
        <v>452</v>
      </c>
      <c r="O32" s="511">
        <v>2019</v>
      </c>
      <c r="P32" s="512">
        <v>12</v>
      </c>
      <c r="Q32" s="512">
        <v>12</v>
      </c>
      <c r="T32" s="275"/>
      <c r="V32" s="275"/>
      <c r="W32" s="275"/>
      <c r="X32" s="275"/>
    </row>
    <row r="33" spans="1:24">
      <c r="A33" s="456" t="s">
        <v>75</v>
      </c>
      <c r="B33" s="456">
        <v>2003</v>
      </c>
      <c r="C33" s="456" t="s">
        <v>888</v>
      </c>
      <c r="D33" s="456">
        <v>8</v>
      </c>
      <c r="E33" s="456">
        <v>17</v>
      </c>
      <c r="F33" s="456">
        <v>205</v>
      </c>
      <c r="H33" s="511">
        <v>2020</v>
      </c>
      <c r="I33" s="512">
        <v>1971</v>
      </c>
      <c r="L33" s="511">
        <v>2020</v>
      </c>
      <c r="M33" s="512">
        <v>468</v>
      </c>
      <c r="O33" s="511">
        <v>2020</v>
      </c>
      <c r="P33" s="512">
        <v>12</v>
      </c>
      <c r="Q33" s="512">
        <v>12</v>
      </c>
      <c r="T33" s="275"/>
      <c r="V33" s="275"/>
      <c r="W33" s="275"/>
      <c r="X33" s="275"/>
    </row>
    <row r="34" spans="1:24">
      <c r="A34" s="456" t="s">
        <v>75</v>
      </c>
      <c r="B34" s="456">
        <v>2003</v>
      </c>
      <c r="C34" s="456" t="s">
        <v>83</v>
      </c>
      <c r="D34" s="456">
        <v>9</v>
      </c>
      <c r="E34" s="456">
        <v>78</v>
      </c>
      <c r="F34" s="456">
        <v>52</v>
      </c>
      <c r="H34" s="511">
        <v>2021</v>
      </c>
      <c r="I34" s="512">
        <v>2380</v>
      </c>
      <c r="L34" s="511">
        <v>2021</v>
      </c>
      <c r="M34" s="512">
        <v>324</v>
      </c>
      <c r="O34" s="511">
        <v>2021</v>
      </c>
      <c r="P34" s="512">
        <v>12</v>
      </c>
      <c r="Q34" s="512">
        <v>12</v>
      </c>
      <c r="T34" s="275"/>
      <c r="V34" s="275"/>
      <c r="W34" s="275"/>
      <c r="X34" s="275"/>
    </row>
    <row r="35" spans="1:24">
      <c r="A35" s="456" t="s">
        <v>75</v>
      </c>
      <c r="B35" s="456">
        <v>2003</v>
      </c>
      <c r="C35" s="456" t="s">
        <v>84</v>
      </c>
      <c r="D35" s="456">
        <v>10</v>
      </c>
      <c r="E35" s="456">
        <v>234</v>
      </c>
      <c r="F35" s="456">
        <v>5</v>
      </c>
      <c r="H35" s="511">
        <v>2022</v>
      </c>
      <c r="I35" s="512">
        <v>2014</v>
      </c>
      <c r="L35" s="511">
        <v>2022</v>
      </c>
      <c r="M35" s="512">
        <v>571</v>
      </c>
      <c r="O35" s="511">
        <v>2022</v>
      </c>
      <c r="P35" s="512">
        <v>12</v>
      </c>
      <c r="Q35" s="512">
        <v>12</v>
      </c>
      <c r="T35" s="275"/>
      <c r="V35" s="275"/>
      <c r="W35" s="275"/>
      <c r="X35" s="275"/>
    </row>
    <row r="36" spans="1:24">
      <c r="A36" s="456" t="s">
        <v>75</v>
      </c>
      <c r="B36" s="456">
        <v>2003</v>
      </c>
      <c r="C36" s="456" t="s">
        <v>85</v>
      </c>
      <c r="D36" s="456">
        <v>11</v>
      </c>
      <c r="E36" s="456">
        <v>257</v>
      </c>
      <c r="F36" s="456">
        <v>0</v>
      </c>
      <c r="H36" s="511">
        <v>2023</v>
      </c>
      <c r="I36" s="512">
        <v>1959</v>
      </c>
      <c r="L36" s="511">
        <v>2023</v>
      </c>
      <c r="M36" s="512">
        <v>522</v>
      </c>
      <c r="O36" s="511">
        <v>2023</v>
      </c>
      <c r="P36" s="512">
        <v>12</v>
      </c>
      <c r="Q36" s="512">
        <v>12</v>
      </c>
      <c r="T36" s="275"/>
      <c r="V36" s="275"/>
      <c r="W36" s="275"/>
      <c r="X36" s="275"/>
    </row>
    <row r="37" spans="1:24">
      <c r="A37" s="456" t="s">
        <v>75</v>
      </c>
      <c r="B37" s="456">
        <v>2003</v>
      </c>
      <c r="C37" s="456" t="s">
        <v>889</v>
      </c>
      <c r="D37" s="456">
        <v>12</v>
      </c>
      <c r="E37" s="456">
        <v>380</v>
      </c>
      <c r="F37" s="456">
        <v>0</v>
      </c>
      <c r="H37" s="511">
        <v>2024</v>
      </c>
      <c r="I37" s="512">
        <v>2090</v>
      </c>
      <c r="L37" s="511">
        <v>2024</v>
      </c>
      <c r="M37" s="512">
        <v>327</v>
      </c>
      <c r="O37" s="511">
        <v>2024</v>
      </c>
      <c r="P37" s="512">
        <v>12</v>
      </c>
      <c r="Q37" s="512">
        <v>12</v>
      </c>
      <c r="T37" s="275"/>
      <c r="V37" s="275"/>
      <c r="W37" s="275"/>
      <c r="X37" s="275"/>
    </row>
    <row r="38" spans="1:24">
      <c r="A38" s="456" t="s">
        <v>75</v>
      </c>
      <c r="B38" s="456">
        <v>2004</v>
      </c>
      <c r="C38" s="456" t="s">
        <v>73</v>
      </c>
      <c r="D38" s="456">
        <v>1</v>
      </c>
      <c r="E38" s="456">
        <v>372</v>
      </c>
      <c r="F38" s="456">
        <v>0</v>
      </c>
      <c r="H38" s="511">
        <v>2025</v>
      </c>
      <c r="I38" s="512">
        <v>2045.9</v>
      </c>
      <c r="L38" s="511">
        <v>2025</v>
      </c>
      <c r="M38" s="512">
        <v>506.3</v>
      </c>
      <c r="O38" s="511">
        <v>2025</v>
      </c>
      <c r="P38" s="512">
        <v>12</v>
      </c>
      <c r="Q38" s="512">
        <v>12</v>
      </c>
      <c r="T38" s="275"/>
      <c r="V38" s="275"/>
      <c r="W38" s="275"/>
      <c r="X38" s="275"/>
    </row>
    <row r="39" spans="1:24">
      <c r="A39" s="456" t="s">
        <v>75</v>
      </c>
      <c r="B39" s="456">
        <v>2004</v>
      </c>
      <c r="C39" s="456" t="s">
        <v>887</v>
      </c>
      <c r="D39" s="456">
        <v>2</v>
      </c>
      <c r="E39" s="456">
        <v>346</v>
      </c>
      <c r="F39" s="456">
        <v>0</v>
      </c>
      <c r="H39" s="513">
        <v>1</v>
      </c>
      <c r="I39" s="512">
        <v>407</v>
      </c>
      <c r="L39" s="513">
        <v>1</v>
      </c>
      <c r="M39" s="512">
        <v>0</v>
      </c>
      <c r="O39" s="511" t="s">
        <v>76</v>
      </c>
      <c r="P39" s="512"/>
      <c r="Q39" s="512"/>
      <c r="T39" s="275"/>
      <c r="V39" s="275"/>
      <c r="W39" s="275"/>
      <c r="X39" s="275"/>
    </row>
    <row r="40" spans="1:24">
      <c r="A40" s="456" t="s">
        <v>75</v>
      </c>
      <c r="B40" s="456">
        <v>2004</v>
      </c>
      <c r="C40" s="456" t="s">
        <v>77</v>
      </c>
      <c r="D40" s="456">
        <v>3</v>
      </c>
      <c r="E40" s="456">
        <v>335</v>
      </c>
      <c r="F40" s="456">
        <v>2</v>
      </c>
      <c r="H40" s="513">
        <v>2</v>
      </c>
      <c r="I40" s="512">
        <v>329</v>
      </c>
      <c r="J40" s="484"/>
      <c r="L40" s="513">
        <v>2</v>
      </c>
      <c r="M40" s="512">
        <v>0</v>
      </c>
      <c r="O40" s="511">
        <v>2026</v>
      </c>
      <c r="P40" s="512">
        <v>2</v>
      </c>
      <c r="Q40" s="512">
        <v>2</v>
      </c>
      <c r="T40" s="275"/>
      <c r="V40" s="275"/>
      <c r="W40" s="275"/>
      <c r="X40" s="275"/>
    </row>
    <row r="41" spans="1:24">
      <c r="A41" s="456" t="s">
        <v>75</v>
      </c>
      <c r="B41" s="456">
        <v>2004</v>
      </c>
      <c r="C41" s="456" t="s">
        <v>79</v>
      </c>
      <c r="D41" s="456">
        <v>4</v>
      </c>
      <c r="E41" s="456">
        <v>210</v>
      </c>
      <c r="F41" s="456">
        <v>3</v>
      </c>
      <c r="H41" s="513">
        <v>3</v>
      </c>
      <c r="I41" s="512">
        <v>260</v>
      </c>
      <c r="J41" s="484"/>
      <c r="L41" s="513">
        <v>3</v>
      </c>
      <c r="M41" s="512">
        <v>1</v>
      </c>
      <c r="T41" s="275"/>
      <c r="V41" s="275"/>
      <c r="W41" s="275"/>
      <c r="X41" s="275"/>
    </row>
    <row r="42" spans="1:24">
      <c r="A42" s="456" t="s">
        <v>75</v>
      </c>
      <c r="B42" s="456">
        <v>2004</v>
      </c>
      <c r="C42" s="456" t="s">
        <v>80</v>
      </c>
      <c r="D42" s="456">
        <v>5</v>
      </c>
      <c r="E42" s="456">
        <v>141</v>
      </c>
      <c r="F42" s="456">
        <v>23</v>
      </c>
      <c r="H42" s="513">
        <v>4</v>
      </c>
      <c r="I42" s="512">
        <v>142</v>
      </c>
      <c r="J42" s="484"/>
      <c r="L42" s="513">
        <v>4</v>
      </c>
      <c r="M42" s="512">
        <v>17</v>
      </c>
      <c r="T42" s="275"/>
      <c r="V42" s="275"/>
      <c r="W42" s="275"/>
      <c r="X42" s="275"/>
    </row>
    <row r="43" spans="1:24">
      <c r="A43" s="456" t="s">
        <v>75</v>
      </c>
      <c r="B43" s="456">
        <v>2004</v>
      </c>
      <c r="C43" s="456" t="s">
        <v>81</v>
      </c>
      <c r="D43" s="456">
        <v>6</v>
      </c>
      <c r="E43" s="456">
        <v>53</v>
      </c>
      <c r="F43" s="456">
        <v>71</v>
      </c>
      <c r="H43" s="513">
        <v>5</v>
      </c>
      <c r="I43" s="512">
        <v>91</v>
      </c>
      <c r="J43" s="484"/>
      <c r="L43" s="513">
        <v>5</v>
      </c>
      <c r="M43" s="512">
        <v>45</v>
      </c>
      <c r="T43" s="275"/>
      <c r="V43" s="275"/>
      <c r="W43" s="275"/>
      <c r="X43" s="275"/>
    </row>
    <row r="44" spans="1:24">
      <c r="A44" s="456" t="s">
        <v>75</v>
      </c>
      <c r="B44" s="456">
        <v>2004</v>
      </c>
      <c r="C44" s="456" t="s">
        <v>82</v>
      </c>
      <c r="D44" s="456">
        <v>7</v>
      </c>
      <c r="E44" s="456">
        <v>41</v>
      </c>
      <c r="F44" s="456">
        <v>80</v>
      </c>
      <c r="H44" s="513">
        <v>6</v>
      </c>
      <c r="I44" s="512">
        <v>24</v>
      </c>
      <c r="J44" s="484"/>
      <c r="L44" s="513">
        <v>6</v>
      </c>
      <c r="M44" s="512">
        <v>140</v>
      </c>
      <c r="T44" s="275"/>
      <c r="V44" s="275"/>
      <c r="W44" s="275"/>
      <c r="X44" s="275"/>
    </row>
    <row r="45" spans="1:24">
      <c r="A45" s="456" t="s">
        <v>75</v>
      </c>
      <c r="B45" s="456">
        <v>2004</v>
      </c>
      <c r="C45" s="456" t="s">
        <v>888</v>
      </c>
      <c r="D45" s="456">
        <v>8</v>
      </c>
      <c r="E45" s="456">
        <v>25</v>
      </c>
      <c r="F45" s="456">
        <v>96</v>
      </c>
      <c r="H45" s="513">
        <v>7</v>
      </c>
      <c r="I45" s="512">
        <v>18</v>
      </c>
      <c r="J45" s="484"/>
      <c r="L45" s="513">
        <v>7</v>
      </c>
      <c r="M45" s="512">
        <v>133</v>
      </c>
      <c r="T45" s="275"/>
      <c r="V45" s="275"/>
      <c r="W45" s="275"/>
      <c r="X45" s="275"/>
    </row>
    <row r="46" spans="1:24">
      <c r="A46" s="456" t="s">
        <v>75</v>
      </c>
      <c r="B46" s="456">
        <v>2004</v>
      </c>
      <c r="C46" s="456" t="s">
        <v>83</v>
      </c>
      <c r="D46" s="456">
        <v>9</v>
      </c>
      <c r="E46" s="456">
        <v>71</v>
      </c>
      <c r="F46" s="456">
        <v>60</v>
      </c>
      <c r="H46" s="513">
        <v>8</v>
      </c>
      <c r="I46" s="512">
        <v>22</v>
      </c>
      <c r="J46" s="484"/>
      <c r="L46" s="513">
        <v>8</v>
      </c>
      <c r="M46" s="512">
        <v>125</v>
      </c>
      <c r="T46" s="275"/>
      <c r="V46" s="275"/>
      <c r="W46" s="275"/>
      <c r="X46" s="275"/>
    </row>
    <row r="47" spans="1:24">
      <c r="A47" s="456" t="s">
        <v>75</v>
      </c>
      <c r="B47" s="456">
        <v>2004</v>
      </c>
      <c r="C47" s="456" t="s">
        <v>84</v>
      </c>
      <c r="D47" s="456">
        <v>10</v>
      </c>
      <c r="E47" s="456">
        <v>156</v>
      </c>
      <c r="F47" s="456">
        <v>6</v>
      </c>
      <c r="H47" s="513">
        <v>9</v>
      </c>
      <c r="I47" s="512">
        <v>72.900000000000006</v>
      </c>
      <c r="J47" s="484"/>
      <c r="L47" s="513">
        <v>9</v>
      </c>
      <c r="M47" s="512">
        <v>39.299999999999997</v>
      </c>
      <c r="T47" s="275"/>
      <c r="V47" s="275"/>
      <c r="W47" s="275"/>
      <c r="X47" s="275"/>
    </row>
    <row r="48" spans="1:24">
      <c r="A48" s="456" t="s">
        <v>75</v>
      </c>
      <c r="B48" s="456">
        <v>2004</v>
      </c>
      <c r="C48" s="456" t="s">
        <v>85</v>
      </c>
      <c r="D48" s="456">
        <v>11</v>
      </c>
      <c r="E48" s="456">
        <v>298</v>
      </c>
      <c r="F48" s="456">
        <v>0</v>
      </c>
      <c r="H48" s="513">
        <v>10</v>
      </c>
      <c r="I48" s="512">
        <v>140</v>
      </c>
      <c r="J48" s="484"/>
      <c r="L48" s="513">
        <v>10</v>
      </c>
      <c r="M48" s="512">
        <v>4</v>
      </c>
      <c r="T48" s="275"/>
      <c r="V48" s="275"/>
      <c r="W48" s="275"/>
      <c r="X48" s="275"/>
    </row>
    <row r="49" spans="1:24">
      <c r="A49" s="456" t="s">
        <v>75</v>
      </c>
      <c r="B49" s="456">
        <v>2004</v>
      </c>
      <c r="C49" s="456" t="s">
        <v>889</v>
      </c>
      <c r="D49" s="456">
        <v>12</v>
      </c>
      <c r="E49" s="456">
        <v>424</v>
      </c>
      <c r="F49" s="456">
        <v>0</v>
      </c>
      <c r="H49" s="513">
        <v>11</v>
      </c>
      <c r="I49" s="512">
        <v>231</v>
      </c>
      <c r="J49" s="484"/>
      <c r="L49" s="513">
        <v>11</v>
      </c>
      <c r="M49" s="512">
        <v>2</v>
      </c>
      <c r="T49" s="275"/>
      <c r="V49" s="275"/>
      <c r="W49" s="275"/>
      <c r="X49" s="275"/>
    </row>
    <row r="50" spans="1:24">
      <c r="A50" s="456" t="s">
        <v>75</v>
      </c>
      <c r="B50" s="456">
        <v>2005</v>
      </c>
      <c r="C50" s="456" t="s">
        <v>73</v>
      </c>
      <c r="D50" s="456">
        <v>1</v>
      </c>
      <c r="E50" s="456">
        <v>363</v>
      </c>
      <c r="F50" s="456">
        <v>0</v>
      </c>
      <c r="H50" s="513">
        <v>12</v>
      </c>
      <c r="I50" s="512">
        <v>309</v>
      </c>
      <c r="J50" s="484"/>
      <c r="L50" s="513">
        <v>12</v>
      </c>
      <c r="M50" s="512">
        <v>0</v>
      </c>
      <c r="T50" s="275"/>
      <c r="V50" s="275"/>
      <c r="W50" s="275"/>
      <c r="X50" s="275"/>
    </row>
    <row r="51" spans="1:24">
      <c r="A51" s="456" t="s">
        <v>75</v>
      </c>
      <c r="B51" s="456">
        <v>2005</v>
      </c>
      <c r="C51" s="456" t="s">
        <v>887</v>
      </c>
      <c r="D51" s="456">
        <v>2</v>
      </c>
      <c r="E51" s="456">
        <v>386</v>
      </c>
      <c r="F51" s="456">
        <v>0</v>
      </c>
      <c r="H51" s="511" t="s">
        <v>76</v>
      </c>
      <c r="I51" s="512"/>
      <c r="J51" s="484"/>
      <c r="L51" s="511" t="s">
        <v>76</v>
      </c>
      <c r="M51" s="512"/>
      <c r="T51" s="275"/>
      <c r="V51" s="275"/>
      <c r="W51" s="275"/>
      <c r="X51" s="275"/>
    </row>
    <row r="52" spans="1:24">
      <c r="A52" s="456" t="s">
        <v>75</v>
      </c>
      <c r="B52" s="456">
        <v>2005</v>
      </c>
      <c r="C52" s="456" t="s">
        <v>77</v>
      </c>
      <c r="D52" s="456">
        <v>3</v>
      </c>
      <c r="E52" s="456">
        <v>312</v>
      </c>
      <c r="F52" s="456">
        <v>4</v>
      </c>
      <c r="H52" s="513" t="s">
        <v>76</v>
      </c>
      <c r="I52" s="512"/>
      <c r="L52" s="511">
        <v>2026</v>
      </c>
      <c r="M52" s="512">
        <v>1</v>
      </c>
      <c r="T52" s="275"/>
      <c r="V52" s="275"/>
      <c r="W52" s="275"/>
      <c r="X52" s="275"/>
    </row>
    <row r="53" spans="1:24">
      <c r="A53" s="456" t="s">
        <v>75</v>
      </c>
      <c r="B53" s="456">
        <v>2005</v>
      </c>
      <c r="C53" s="456" t="s">
        <v>79</v>
      </c>
      <c r="D53" s="456">
        <v>4</v>
      </c>
      <c r="E53" s="456">
        <v>206</v>
      </c>
      <c r="F53" s="456">
        <v>5</v>
      </c>
      <c r="H53" s="514" t="s">
        <v>76</v>
      </c>
      <c r="I53" s="512"/>
      <c r="L53" s="511" t="s">
        <v>86</v>
      </c>
      <c r="M53" s="512">
        <v>9650.2999999999993</v>
      </c>
      <c r="T53" s="275"/>
      <c r="V53" s="275"/>
      <c r="W53" s="275"/>
      <c r="X53" s="275"/>
    </row>
    <row r="54" spans="1:24">
      <c r="A54" s="456" t="s">
        <v>75</v>
      </c>
      <c r="B54" s="456">
        <v>2005</v>
      </c>
      <c r="C54" s="456" t="s">
        <v>80</v>
      </c>
      <c r="D54" s="456">
        <v>5</v>
      </c>
      <c r="E54" s="456">
        <v>129</v>
      </c>
      <c r="F54" s="456">
        <v>25</v>
      </c>
      <c r="H54" s="511">
        <v>2026</v>
      </c>
      <c r="I54" s="512">
        <v>567</v>
      </c>
      <c r="T54" s="275"/>
      <c r="V54" s="275"/>
      <c r="W54" s="275"/>
      <c r="X54" s="275"/>
    </row>
    <row r="55" spans="1:24">
      <c r="A55" s="456" t="s">
        <v>75</v>
      </c>
      <c r="B55" s="456">
        <v>2005</v>
      </c>
      <c r="C55" s="456" t="s">
        <v>81</v>
      </c>
      <c r="D55" s="456">
        <v>6</v>
      </c>
      <c r="E55" s="456">
        <v>47</v>
      </c>
      <c r="F55" s="456">
        <v>111</v>
      </c>
      <c r="H55" s="513">
        <v>1</v>
      </c>
      <c r="I55" s="512">
        <v>338</v>
      </c>
      <c r="T55" s="275"/>
      <c r="V55" s="275"/>
      <c r="W55" s="275"/>
      <c r="X55" s="275"/>
    </row>
    <row r="56" spans="1:24">
      <c r="A56" s="456" t="s">
        <v>75</v>
      </c>
      <c r="B56" s="456">
        <v>2005</v>
      </c>
      <c r="C56" s="456" t="s">
        <v>82</v>
      </c>
      <c r="D56" s="456">
        <v>7</v>
      </c>
      <c r="E56" s="456">
        <v>23</v>
      </c>
      <c r="F56" s="456">
        <v>102</v>
      </c>
      <c r="H56" s="513">
        <v>2</v>
      </c>
      <c r="I56" s="512">
        <v>229</v>
      </c>
      <c r="T56" s="275"/>
      <c r="V56" s="275"/>
      <c r="W56" s="275"/>
      <c r="X56" s="275"/>
    </row>
    <row r="57" spans="1:24">
      <c r="A57" s="456" t="s">
        <v>75</v>
      </c>
      <c r="B57" s="456">
        <v>2005</v>
      </c>
      <c r="C57" s="456" t="s">
        <v>888</v>
      </c>
      <c r="D57" s="456">
        <v>8</v>
      </c>
      <c r="E57" s="456">
        <v>52</v>
      </c>
      <c r="F57" s="456">
        <v>81</v>
      </c>
      <c r="H57" s="511" t="s">
        <v>86</v>
      </c>
      <c r="I57" s="512">
        <v>57514.9</v>
      </c>
      <c r="T57" s="275"/>
      <c r="V57" s="275"/>
      <c r="W57" s="275"/>
      <c r="X57" s="275"/>
    </row>
    <row r="58" spans="1:24">
      <c r="A58" s="456" t="s">
        <v>75</v>
      </c>
      <c r="B58" s="456">
        <v>2005</v>
      </c>
      <c r="C58" s="456" t="s">
        <v>83</v>
      </c>
      <c r="D58" s="456">
        <v>9</v>
      </c>
      <c r="E58" s="456">
        <v>69</v>
      </c>
      <c r="F58" s="456">
        <v>61</v>
      </c>
      <c r="H58"/>
      <c r="I58"/>
      <c r="T58" s="275"/>
      <c r="V58" s="275"/>
      <c r="W58" s="275"/>
      <c r="X58" s="275"/>
    </row>
    <row r="59" spans="1:24">
      <c r="A59" s="456" t="s">
        <v>75</v>
      </c>
      <c r="B59" s="456">
        <v>2005</v>
      </c>
      <c r="C59" s="456" t="s">
        <v>84</v>
      </c>
      <c r="D59" s="456">
        <v>10</v>
      </c>
      <c r="E59" s="456">
        <v>74</v>
      </c>
      <c r="F59" s="456">
        <v>25</v>
      </c>
      <c r="H59"/>
      <c r="I59"/>
      <c r="T59" s="275"/>
      <c r="V59" s="275"/>
      <c r="W59" s="275"/>
      <c r="X59" s="275"/>
    </row>
    <row r="60" spans="1:24">
      <c r="A60" s="456" t="s">
        <v>75</v>
      </c>
      <c r="B60" s="456">
        <v>2005</v>
      </c>
      <c r="C60" s="456" t="s">
        <v>85</v>
      </c>
      <c r="D60" s="456">
        <v>11</v>
      </c>
      <c r="E60" s="456">
        <v>327</v>
      </c>
      <c r="F60" s="456">
        <v>0</v>
      </c>
      <c r="H60"/>
      <c r="I60"/>
      <c r="T60" s="275"/>
      <c r="V60" s="275"/>
      <c r="W60" s="275"/>
      <c r="X60" s="275"/>
    </row>
    <row r="61" spans="1:24">
      <c r="A61" s="456" t="s">
        <v>75</v>
      </c>
      <c r="B61" s="456">
        <v>2005</v>
      </c>
      <c r="C61" s="456" t="s">
        <v>889</v>
      </c>
      <c r="D61" s="456">
        <v>12</v>
      </c>
      <c r="E61" s="456">
        <v>440</v>
      </c>
      <c r="F61" s="456">
        <v>0</v>
      </c>
      <c r="H61"/>
      <c r="I61"/>
      <c r="T61" s="275"/>
      <c r="V61" s="275"/>
      <c r="W61" s="275"/>
      <c r="X61" s="275"/>
    </row>
    <row r="62" spans="1:24">
      <c r="A62" s="456" t="s">
        <v>75</v>
      </c>
      <c r="B62" s="456">
        <v>2006</v>
      </c>
      <c r="C62" s="456" t="s">
        <v>73</v>
      </c>
      <c r="D62" s="456">
        <v>1</v>
      </c>
      <c r="E62" s="456">
        <v>432</v>
      </c>
      <c r="F62" s="456">
        <v>0</v>
      </c>
      <c r="H62"/>
      <c r="I62"/>
      <c r="T62" s="275"/>
      <c r="V62" s="275"/>
      <c r="W62" s="275"/>
      <c r="X62" s="275"/>
    </row>
    <row r="63" spans="1:24">
      <c r="A63" s="456" t="s">
        <v>75</v>
      </c>
      <c r="B63" s="456">
        <v>2006</v>
      </c>
      <c r="C63" s="456" t="s">
        <v>887</v>
      </c>
      <c r="D63" s="456">
        <v>2</v>
      </c>
      <c r="E63" s="456">
        <v>396</v>
      </c>
      <c r="F63" s="456">
        <v>0</v>
      </c>
      <c r="H63"/>
      <c r="I63"/>
      <c r="T63" s="275"/>
      <c r="V63" s="275"/>
      <c r="W63" s="275"/>
      <c r="X63" s="275"/>
    </row>
    <row r="64" spans="1:24">
      <c r="A64" s="456" t="s">
        <v>75</v>
      </c>
      <c r="B64" s="456">
        <v>2006</v>
      </c>
      <c r="C64" s="456" t="s">
        <v>77</v>
      </c>
      <c r="D64" s="456">
        <v>3</v>
      </c>
      <c r="E64" s="456">
        <v>331</v>
      </c>
      <c r="F64" s="456">
        <v>1</v>
      </c>
      <c r="H64"/>
      <c r="I64"/>
      <c r="T64" s="275"/>
      <c r="V64" s="275"/>
      <c r="W64" s="275"/>
      <c r="X64" s="275"/>
    </row>
    <row r="65" spans="1:24">
      <c r="A65" s="456" t="s">
        <v>75</v>
      </c>
      <c r="B65" s="456">
        <v>2006</v>
      </c>
      <c r="C65" s="456" t="s">
        <v>79</v>
      </c>
      <c r="D65" s="456">
        <v>4</v>
      </c>
      <c r="E65" s="456">
        <v>217</v>
      </c>
      <c r="F65" s="456">
        <v>5</v>
      </c>
      <c r="H65"/>
      <c r="I65"/>
      <c r="T65" s="275"/>
      <c r="V65" s="275"/>
      <c r="W65" s="275"/>
      <c r="X65" s="275"/>
    </row>
    <row r="66" spans="1:24">
      <c r="A66" s="456" t="s">
        <v>75</v>
      </c>
      <c r="B66" s="456">
        <v>2006</v>
      </c>
      <c r="C66" s="456" t="s">
        <v>80</v>
      </c>
      <c r="D66" s="456">
        <v>5</v>
      </c>
      <c r="E66" s="456">
        <v>114</v>
      </c>
      <c r="F66" s="456">
        <v>20</v>
      </c>
      <c r="H66"/>
      <c r="I66"/>
      <c r="T66" s="275"/>
      <c r="V66" s="275"/>
      <c r="W66" s="275"/>
      <c r="X66" s="275"/>
    </row>
    <row r="67" spans="1:24">
      <c r="A67" s="456" t="s">
        <v>75</v>
      </c>
      <c r="B67" s="456">
        <v>2006</v>
      </c>
      <c r="C67" s="456" t="s">
        <v>81</v>
      </c>
      <c r="D67" s="456">
        <v>6</v>
      </c>
      <c r="E67" s="456">
        <v>42</v>
      </c>
      <c r="F67" s="456">
        <v>93</v>
      </c>
      <c r="H67"/>
      <c r="I67"/>
      <c r="T67" s="275"/>
      <c r="V67" s="275"/>
      <c r="W67" s="275"/>
      <c r="X67" s="275"/>
    </row>
    <row r="68" spans="1:24">
      <c r="A68" s="456" t="s">
        <v>75</v>
      </c>
      <c r="B68" s="456">
        <v>2006</v>
      </c>
      <c r="C68" s="456" t="s">
        <v>82</v>
      </c>
      <c r="D68" s="456">
        <v>7</v>
      </c>
      <c r="E68" s="456">
        <v>5</v>
      </c>
      <c r="F68" s="456">
        <v>193</v>
      </c>
      <c r="H68"/>
      <c r="I68"/>
      <c r="T68" s="275"/>
      <c r="V68" s="275"/>
      <c r="W68" s="275"/>
      <c r="X68" s="275"/>
    </row>
    <row r="69" spans="1:24">
      <c r="A69" s="456" t="s">
        <v>75</v>
      </c>
      <c r="B69" s="456">
        <v>2006</v>
      </c>
      <c r="C69" s="456" t="s">
        <v>888</v>
      </c>
      <c r="D69" s="456">
        <v>8</v>
      </c>
      <c r="E69" s="456">
        <v>51</v>
      </c>
      <c r="F69" s="456">
        <v>53</v>
      </c>
      <c r="H69"/>
      <c r="I69"/>
      <c r="T69" s="275"/>
      <c r="V69" s="275"/>
      <c r="W69" s="275"/>
      <c r="X69" s="275"/>
    </row>
    <row r="70" spans="1:24">
      <c r="A70" s="456" t="s">
        <v>75</v>
      </c>
      <c r="B70" s="456">
        <v>2006</v>
      </c>
      <c r="C70" s="456" t="s">
        <v>83</v>
      </c>
      <c r="D70" s="456">
        <v>9</v>
      </c>
      <c r="E70" s="456">
        <v>33</v>
      </c>
      <c r="F70" s="456">
        <v>81</v>
      </c>
      <c r="H70"/>
      <c r="I70"/>
      <c r="T70" s="275"/>
      <c r="V70" s="275"/>
      <c r="W70" s="275"/>
      <c r="X70" s="275"/>
    </row>
    <row r="71" spans="1:24">
      <c r="A71" s="456" t="s">
        <v>75</v>
      </c>
      <c r="B71" s="456">
        <v>2006</v>
      </c>
      <c r="C71" s="456" t="s">
        <v>84</v>
      </c>
      <c r="D71" s="456">
        <v>10</v>
      </c>
      <c r="E71" s="456">
        <v>95</v>
      </c>
      <c r="F71" s="456">
        <v>8</v>
      </c>
      <c r="H71"/>
      <c r="I71"/>
      <c r="T71" s="275"/>
      <c r="V71" s="275"/>
      <c r="W71" s="275"/>
      <c r="X71" s="275"/>
    </row>
    <row r="72" spans="1:24">
      <c r="A72" s="456" t="s">
        <v>75</v>
      </c>
      <c r="B72" s="456">
        <v>2006</v>
      </c>
      <c r="C72" s="456" t="s">
        <v>85</v>
      </c>
      <c r="D72" s="456">
        <v>11</v>
      </c>
      <c r="E72" s="456">
        <v>252</v>
      </c>
      <c r="F72" s="456">
        <v>0</v>
      </c>
      <c r="H72"/>
      <c r="I72"/>
      <c r="T72" s="275"/>
      <c r="V72" s="275"/>
      <c r="W72" s="275"/>
      <c r="X72" s="275"/>
    </row>
    <row r="73" spans="1:24">
      <c r="A73" s="456" t="s">
        <v>75</v>
      </c>
      <c r="B73" s="456">
        <v>2006</v>
      </c>
      <c r="C73" s="456" t="s">
        <v>889</v>
      </c>
      <c r="D73" s="456">
        <v>12</v>
      </c>
      <c r="E73" s="456">
        <v>387</v>
      </c>
      <c r="F73" s="456">
        <v>0</v>
      </c>
      <c r="H73"/>
      <c r="I73"/>
      <c r="T73" s="275"/>
      <c r="V73" s="275"/>
      <c r="W73" s="275"/>
      <c r="X73" s="275"/>
    </row>
    <row r="74" spans="1:24">
      <c r="A74" s="456" t="s">
        <v>75</v>
      </c>
      <c r="B74" s="456">
        <v>2007</v>
      </c>
      <c r="C74" s="456" t="s">
        <v>73</v>
      </c>
      <c r="D74" s="456">
        <v>1</v>
      </c>
      <c r="E74" s="456">
        <v>320</v>
      </c>
      <c r="F74" s="456">
        <v>0</v>
      </c>
      <c r="H74"/>
      <c r="I74"/>
      <c r="T74" s="275"/>
      <c r="V74" s="275"/>
      <c r="W74" s="275"/>
      <c r="X74" s="275"/>
    </row>
    <row r="75" spans="1:24">
      <c r="A75" s="456" t="s">
        <v>75</v>
      </c>
      <c r="B75" s="456">
        <v>2007</v>
      </c>
      <c r="C75" s="456" t="s">
        <v>887</v>
      </c>
      <c r="D75" s="456">
        <v>2</v>
      </c>
      <c r="E75" s="456">
        <v>263</v>
      </c>
      <c r="F75" s="456">
        <v>0</v>
      </c>
      <c r="H75"/>
      <c r="I75"/>
      <c r="T75" s="275"/>
      <c r="V75" s="275"/>
      <c r="W75" s="275"/>
      <c r="X75" s="275"/>
    </row>
    <row r="76" spans="1:24">
      <c r="A76" s="456" t="s">
        <v>75</v>
      </c>
      <c r="B76" s="456">
        <v>2007</v>
      </c>
      <c r="C76" s="456" t="s">
        <v>77</v>
      </c>
      <c r="D76" s="456">
        <v>3</v>
      </c>
      <c r="E76" s="456">
        <v>309</v>
      </c>
      <c r="F76" s="456">
        <v>0</v>
      </c>
      <c r="H76"/>
      <c r="I76"/>
      <c r="T76" s="275"/>
      <c r="V76" s="275"/>
      <c r="W76" s="275"/>
      <c r="X76" s="275"/>
    </row>
    <row r="77" spans="1:24">
      <c r="A77" s="456" t="s">
        <v>75</v>
      </c>
      <c r="B77" s="456">
        <v>2007</v>
      </c>
      <c r="C77" s="456" t="s">
        <v>79</v>
      </c>
      <c r="D77" s="456">
        <v>4</v>
      </c>
      <c r="E77" s="456">
        <v>123</v>
      </c>
      <c r="F77" s="456">
        <v>32</v>
      </c>
      <c r="H77"/>
      <c r="I77"/>
      <c r="T77" s="275"/>
      <c r="V77" s="275"/>
      <c r="W77" s="275"/>
      <c r="X77" s="275"/>
    </row>
    <row r="78" spans="1:24">
      <c r="A78" s="456" t="s">
        <v>75</v>
      </c>
      <c r="B78" s="456">
        <v>2007</v>
      </c>
      <c r="C78" s="456" t="s">
        <v>80</v>
      </c>
      <c r="D78" s="456">
        <v>5</v>
      </c>
      <c r="E78" s="456">
        <v>94</v>
      </c>
      <c r="F78" s="456">
        <v>21</v>
      </c>
      <c r="H78"/>
      <c r="I78"/>
      <c r="T78" s="275"/>
      <c r="V78" s="275"/>
      <c r="W78" s="275"/>
      <c r="X78" s="275"/>
    </row>
    <row r="79" spans="1:24">
      <c r="A79" s="456" t="s">
        <v>75</v>
      </c>
      <c r="B79" s="456">
        <v>2007</v>
      </c>
      <c r="C79" s="456" t="s">
        <v>81</v>
      </c>
      <c r="D79" s="456">
        <v>6</v>
      </c>
      <c r="E79" s="456">
        <v>47</v>
      </c>
      <c r="F79" s="456">
        <v>46</v>
      </c>
      <c r="H79"/>
      <c r="I79"/>
      <c r="T79" s="275"/>
      <c r="V79" s="275"/>
      <c r="W79" s="275"/>
      <c r="X79" s="275"/>
    </row>
    <row r="80" spans="1:24">
      <c r="A80" s="456" t="s">
        <v>75</v>
      </c>
      <c r="B80" s="456">
        <v>2007</v>
      </c>
      <c r="C80" s="456" t="s">
        <v>82</v>
      </c>
      <c r="D80" s="456">
        <v>7</v>
      </c>
      <c r="E80" s="456">
        <v>42</v>
      </c>
      <c r="F80" s="456">
        <v>51</v>
      </c>
      <c r="H80"/>
      <c r="I80"/>
      <c r="T80" s="275"/>
      <c r="V80" s="275"/>
      <c r="W80" s="275"/>
      <c r="X80" s="275"/>
    </row>
    <row r="81" spans="1:24">
      <c r="A81" s="456" t="s">
        <v>75</v>
      </c>
      <c r="B81" s="456">
        <v>2007</v>
      </c>
      <c r="C81" s="456" t="s">
        <v>888</v>
      </c>
      <c r="D81" s="456">
        <v>8</v>
      </c>
      <c r="E81" s="456">
        <v>47</v>
      </c>
      <c r="F81" s="456">
        <v>48</v>
      </c>
      <c r="H81"/>
      <c r="I81"/>
      <c r="T81" s="275"/>
      <c r="V81" s="275"/>
      <c r="W81" s="275"/>
      <c r="X81" s="275"/>
    </row>
    <row r="82" spans="1:24">
      <c r="A82" s="456" t="s">
        <v>75</v>
      </c>
      <c r="B82" s="456">
        <v>2007</v>
      </c>
      <c r="C82" s="456" t="s">
        <v>83</v>
      </c>
      <c r="D82" s="456">
        <v>9</v>
      </c>
      <c r="E82" s="456">
        <v>109</v>
      </c>
      <c r="F82" s="456">
        <v>24</v>
      </c>
      <c r="H82"/>
      <c r="I82"/>
      <c r="T82" s="275"/>
      <c r="V82" s="275"/>
      <c r="W82" s="275"/>
      <c r="X82" s="275"/>
    </row>
    <row r="83" spans="1:24">
      <c r="A83" s="456" t="s">
        <v>75</v>
      </c>
      <c r="B83" s="456">
        <v>2007</v>
      </c>
      <c r="C83" s="456" t="s">
        <v>84</v>
      </c>
      <c r="D83" s="456">
        <v>10</v>
      </c>
      <c r="E83" s="456">
        <v>188</v>
      </c>
      <c r="F83" s="456">
        <v>7</v>
      </c>
      <c r="H83"/>
      <c r="I83"/>
      <c r="T83" s="275"/>
      <c r="V83" s="275"/>
      <c r="W83" s="275"/>
      <c r="X83" s="275"/>
    </row>
    <row r="84" spans="1:24">
      <c r="A84" s="456" t="s">
        <v>75</v>
      </c>
      <c r="B84" s="456">
        <v>2007</v>
      </c>
      <c r="C84" s="456" t="s">
        <v>85</v>
      </c>
      <c r="D84" s="456">
        <v>11</v>
      </c>
      <c r="E84" s="456">
        <v>316</v>
      </c>
      <c r="F84" s="456">
        <v>0</v>
      </c>
      <c r="H84"/>
      <c r="I84"/>
      <c r="T84" s="275"/>
      <c r="V84" s="275"/>
      <c r="W84" s="275"/>
      <c r="X84" s="275"/>
    </row>
    <row r="85" spans="1:24">
      <c r="A85" s="456" t="s">
        <v>75</v>
      </c>
      <c r="B85" s="456">
        <v>2007</v>
      </c>
      <c r="C85" s="456" t="s">
        <v>889</v>
      </c>
      <c r="D85" s="456">
        <v>12</v>
      </c>
      <c r="E85" s="456">
        <v>403</v>
      </c>
      <c r="F85" s="456">
        <v>0</v>
      </c>
      <c r="H85"/>
      <c r="I85"/>
      <c r="T85" s="275"/>
      <c r="V85" s="275"/>
      <c r="W85" s="275"/>
      <c r="X85" s="275"/>
    </row>
    <row r="86" spans="1:24">
      <c r="A86" s="456" t="s">
        <v>75</v>
      </c>
      <c r="B86" s="456">
        <v>2008</v>
      </c>
      <c r="C86" s="456" t="s">
        <v>73</v>
      </c>
      <c r="D86" s="456">
        <v>1</v>
      </c>
      <c r="E86" s="456">
        <v>337</v>
      </c>
      <c r="F86" s="456">
        <v>0</v>
      </c>
      <c r="H86"/>
      <c r="I86"/>
      <c r="T86" s="275"/>
      <c r="V86" s="275"/>
      <c r="W86" s="275"/>
      <c r="X86" s="275"/>
    </row>
    <row r="87" spans="1:24">
      <c r="A87" s="456" t="s">
        <v>75</v>
      </c>
      <c r="B87" s="456">
        <v>2008</v>
      </c>
      <c r="C87" s="456" t="s">
        <v>887</v>
      </c>
      <c r="D87" s="456">
        <v>2</v>
      </c>
      <c r="E87" s="456">
        <v>302</v>
      </c>
      <c r="F87" s="456">
        <v>0</v>
      </c>
      <c r="H87"/>
      <c r="I87"/>
      <c r="T87" s="275"/>
      <c r="V87" s="275"/>
      <c r="W87" s="275"/>
      <c r="X87" s="275"/>
    </row>
    <row r="88" spans="1:24">
      <c r="A88" s="456" t="s">
        <v>75</v>
      </c>
      <c r="B88" s="456">
        <v>2008</v>
      </c>
      <c r="C88" s="456" t="s">
        <v>77</v>
      </c>
      <c r="D88" s="456">
        <v>3</v>
      </c>
      <c r="E88" s="456">
        <v>305</v>
      </c>
      <c r="F88" s="456">
        <v>0</v>
      </c>
      <c r="H88"/>
      <c r="I88"/>
      <c r="T88" s="275"/>
      <c r="V88" s="275"/>
      <c r="W88" s="275"/>
      <c r="X88" s="275"/>
    </row>
    <row r="89" spans="1:24">
      <c r="A89" s="456" t="s">
        <v>75</v>
      </c>
      <c r="B89" s="456">
        <v>2008</v>
      </c>
      <c r="C89" s="456" t="s">
        <v>79</v>
      </c>
      <c r="D89" s="456">
        <v>4</v>
      </c>
      <c r="E89" s="456">
        <v>239</v>
      </c>
      <c r="F89" s="456">
        <v>3</v>
      </c>
      <c r="H89"/>
      <c r="I89"/>
      <c r="T89" s="275"/>
      <c r="V89" s="275"/>
      <c r="W89" s="275"/>
      <c r="X89" s="275"/>
    </row>
    <row r="90" spans="1:24">
      <c r="A90" s="456" t="s">
        <v>75</v>
      </c>
      <c r="B90" s="456">
        <v>2008</v>
      </c>
      <c r="C90" s="456" t="s">
        <v>80</v>
      </c>
      <c r="D90" s="456">
        <v>5</v>
      </c>
      <c r="E90" s="456">
        <v>84</v>
      </c>
      <c r="F90" s="456">
        <v>37</v>
      </c>
      <c r="H90"/>
      <c r="I90"/>
      <c r="T90" s="275"/>
      <c r="V90" s="275"/>
      <c r="W90" s="275"/>
      <c r="X90" s="275"/>
    </row>
    <row r="91" spans="1:24">
      <c r="A91" s="456" t="s">
        <v>75</v>
      </c>
      <c r="B91" s="456">
        <v>2008</v>
      </c>
      <c r="C91" s="456" t="s">
        <v>81</v>
      </c>
      <c r="D91" s="456">
        <v>6</v>
      </c>
      <c r="E91" s="456">
        <v>57</v>
      </c>
      <c r="F91" s="456">
        <v>55</v>
      </c>
      <c r="H91"/>
      <c r="I91"/>
      <c r="T91" s="275"/>
      <c r="V91" s="275"/>
      <c r="W91" s="275"/>
      <c r="X91" s="275"/>
    </row>
    <row r="92" spans="1:24">
      <c r="A92" s="456" t="s">
        <v>75</v>
      </c>
      <c r="B92" s="456">
        <v>2008</v>
      </c>
      <c r="C92" s="456" t="s">
        <v>82</v>
      </c>
      <c r="D92" s="456">
        <v>7</v>
      </c>
      <c r="E92" s="456">
        <v>40</v>
      </c>
      <c r="F92" s="456">
        <v>82</v>
      </c>
      <c r="H92"/>
      <c r="I92"/>
      <c r="T92" s="275"/>
      <c r="V92" s="275"/>
      <c r="W92" s="275"/>
      <c r="X92" s="275"/>
    </row>
    <row r="93" spans="1:24">
      <c r="A93" s="456" t="s">
        <v>75</v>
      </c>
      <c r="B93" s="456">
        <v>2008</v>
      </c>
      <c r="C93" s="456" t="s">
        <v>888</v>
      </c>
      <c r="D93" s="456">
        <v>8</v>
      </c>
      <c r="E93" s="456">
        <v>41</v>
      </c>
      <c r="F93" s="456">
        <v>64</v>
      </c>
      <c r="T93" s="275"/>
      <c r="V93" s="275"/>
      <c r="W93" s="275"/>
      <c r="X93" s="275"/>
    </row>
    <row r="94" spans="1:24">
      <c r="A94" s="456" t="s">
        <v>75</v>
      </c>
      <c r="B94" s="456">
        <v>2008</v>
      </c>
      <c r="C94" s="456" t="s">
        <v>83</v>
      </c>
      <c r="D94" s="456">
        <v>9</v>
      </c>
      <c r="E94" s="456">
        <v>107</v>
      </c>
      <c r="F94" s="456">
        <v>16</v>
      </c>
      <c r="T94" s="275"/>
      <c r="V94" s="275"/>
      <c r="W94" s="275"/>
      <c r="X94" s="275"/>
    </row>
    <row r="95" spans="1:24">
      <c r="A95" s="456" t="s">
        <v>75</v>
      </c>
      <c r="B95" s="456">
        <v>2008</v>
      </c>
      <c r="C95" s="456" t="s">
        <v>84</v>
      </c>
      <c r="D95" s="456">
        <v>10</v>
      </c>
      <c r="E95" s="456">
        <v>211</v>
      </c>
      <c r="F95" s="456">
        <v>5</v>
      </c>
      <c r="T95" s="275"/>
      <c r="V95" s="275"/>
      <c r="W95" s="275"/>
      <c r="X95" s="275"/>
    </row>
    <row r="96" spans="1:24">
      <c r="A96" s="456" t="s">
        <v>75</v>
      </c>
      <c r="B96" s="456">
        <v>2008</v>
      </c>
      <c r="C96" s="456" t="s">
        <v>85</v>
      </c>
      <c r="D96" s="456">
        <v>11</v>
      </c>
      <c r="E96" s="456">
        <v>284</v>
      </c>
      <c r="F96" s="456">
        <v>0</v>
      </c>
      <c r="T96" s="275"/>
      <c r="V96" s="275"/>
      <c r="W96" s="275"/>
      <c r="X96" s="275"/>
    </row>
    <row r="97" spans="1:24">
      <c r="A97" s="456" t="s">
        <v>75</v>
      </c>
      <c r="B97" s="456">
        <v>2008</v>
      </c>
      <c r="C97" s="456" t="s">
        <v>889</v>
      </c>
      <c r="D97" s="456">
        <v>12</v>
      </c>
      <c r="E97" s="456">
        <v>429</v>
      </c>
      <c r="F97" s="456">
        <v>0</v>
      </c>
      <c r="T97" s="275"/>
      <c r="V97" s="275"/>
      <c r="W97" s="275"/>
      <c r="X97" s="275"/>
    </row>
    <row r="98" spans="1:24">
      <c r="A98" s="456" t="s">
        <v>75</v>
      </c>
      <c r="B98" s="456">
        <v>2009</v>
      </c>
      <c r="C98" s="456" t="s">
        <v>73</v>
      </c>
      <c r="D98" s="456">
        <v>1</v>
      </c>
      <c r="E98" s="456">
        <v>492</v>
      </c>
      <c r="F98" s="456">
        <v>0</v>
      </c>
      <c r="T98" s="275"/>
      <c r="V98" s="275"/>
      <c r="W98" s="275"/>
      <c r="X98" s="275"/>
    </row>
    <row r="99" spans="1:24">
      <c r="A99" s="456" t="s">
        <v>75</v>
      </c>
      <c r="B99" s="456">
        <v>2009</v>
      </c>
      <c r="C99" s="456" t="s">
        <v>887</v>
      </c>
      <c r="D99" s="456">
        <v>2</v>
      </c>
      <c r="E99" s="456">
        <v>371</v>
      </c>
      <c r="F99" s="456">
        <v>0</v>
      </c>
      <c r="T99" s="275"/>
      <c r="V99" s="275"/>
      <c r="W99" s="275"/>
      <c r="X99" s="275"/>
    </row>
    <row r="100" spans="1:24">
      <c r="A100" s="456" t="s">
        <v>75</v>
      </c>
      <c r="B100" s="456">
        <v>2009</v>
      </c>
      <c r="C100" s="456" t="s">
        <v>77</v>
      </c>
      <c r="D100" s="456">
        <v>3</v>
      </c>
      <c r="E100" s="456">
        <v>310</v>
      </c>
      <c r="F100" s="456">
        <v>0</v>
      </c>
      <c r="T100" s="275"/>
      <c r="V100" s="275"/>
      <c r="W100" s="275"/>
      <c r="X100" s="275"/>
    </row>
    <row r="101" spans="1:24">
      <c r="A101" s="456" t="s">
        <v>75</v>
      </c>
      <c r="B101" s="456">
        <v>2009</v>
      </c>
      <c r="C101" s="456" t="s">
        <v>79</v>
      </c>
      <c r="D101" s="456">
        <v>4</v>
      </c>
      <c r="E101" s="456">
        <v>184</v>
      </c>
      <c r="F101" s="456">
        <v>3</v>
      </c>
      <c r="T101" s="275"/>
      <c r="V101" s="275"/>
      <c r="W101" s="275"/>
      <c r="X101" s="275"/>
    </row>
    <row r="102" spans="1:24">
      <c r="A102" s="456" t="s">
        <v>75</v>
      </c>
      <c r="B102" s="456">
        <v>2009</v>
      </c>
      <c r="C102" s="456" t="s">
        <v>80</v>
      </c>
      <c r="D102" s="456">
        <v>5</v>
      </c>
      <c r="E102" s="456">
        <v>106</v>
      </c>
      <c r="F102" s="456">
        <v>26</v>
      </c>
      <c r="T102" s="275"/>
      <c r="V102" s="275"/>
      <c r="W102" s="275"/>
      <c r="X102" s="275"/>
    </row>
    <row r="103" spans="1:24">
      <c r="A103" s="456" t="s">
        <v>75</v>
      </c>
      <c r="B103" s="456">
        <v>2009</v>
      </c>
      <c r="C103" s="456" t="s">
        <v>81</v>
      </c>
      <c r="D103" s="456">
        <v>6</v>
      </c>
      <c r="E103" s="456">
        <v>59</v>
      </c>
      <c r="F103" s="456">
        <v>65</v>
      </c>
      <c r="T103" s="275"/>
      <c r="V103" s="275"/>
      <c r="W103" s="275"/>
      <c r="X103" s="275"/>
    </row>
    <row r="104" spans="1:24">
      <c r="A104" s="456" t="s">
        <v>75</v>
      </c>
      <c r="B104" s="456">
        <v>2009</v>
      </c>
      <c r="C104" s="456" t="s">
        <v>82</v>
      </c>
      <c r="D104" s="456">
        <v>7</v>
      </c>
      <c r="E104" s="456">
        <v>35</v>
      </c>
      <c r="F104" s="456">
        <v>89</v>
      </c>
      <c r="T104" s="275"/>
      <c r="V104" s="275"/>
      <c r="W104" s="275"/>
      <c r="X104" s="275"/>
    </row>
    <row r="105" spans="1:24">
      <c r="A105" s="456" t="s">
        <v>75</v>
      </c>
      <c r="B105" s="456">
        <v>2009</v>
      </c>
      <c r="C105" s="456" t="s">
        <v>888</v>
      </c>
      <c r="D105" s="456">
        <v>8</v>
      </c>
      <c r="E105" s="456">
        <v>27</v>
      </c>
      <c r="F105" s="456">
        <v>118</v>
      </c>
      <c r="T105" s="275"/>
      <c r="V105" s="275"/>
      <c r="W105" s="275"/>
      <c r="X105" s="275"/>
    </row>
    <row r="106" spans="1:24">
      <c r="A106" s="456" t="s">
        <v>75</v>
      </c>
      <c r="B106" s="456">
        <v>2009</v>
      </c>
      <c r="C106" s="456" t="s">
        <v>83</v>
      </c>
      <c r="D106" s="456">
        <v>9</v>
      </c>
      <c r="E106" s="456">
        <v>64</v>
      </c>
      <c r="F106" s="456">
        <v>46</v>
      </c>
      <c r="T106" s="275"/>
      <c r="V106" s="275"/>
      <c r="W106" s="275"/>
      <c r="X106" s="275"/>
    </row>
    <row r="107" spans="1:24">
      <c r="A107" s="456" t="s">
        <v>75</v>
      </c>
      <c r="B107" s="456">
        <v>2009</v>
      </c>
      <c r="C107" s="456" t="s">
        <v>84</v>
      </c>
      <c r="D107" s="456">
        <v>10</v>
      </c>
      <c r="E107" s="456">
        <v>164</v>
      </c>
      <c r="F107" s="456">
        <v>12</v>
      </c>
      <c r="T107" s="275"/>
      <c r="V107" s="275"/>
      <c r="W107" s="275"/>
      <c r="X107" s="275"/>
    </row>
    <row r="108" spans="1:24">
      <c r="A108" s="456" t="s">
        <v>75</v>
      </c>
      <c r="B108" s="456">
        <v>2009</v>
      </c>
      <c r="C108" s="456" t="s">
        <v>85</v>
      </c>
      <c r="D108" s="456">
        <v>11</v>
      </c>
      <c r="E108" s="456">
        <v>222</v>
      </c>
      <c r="F108" s="456">
        <v>0</v>
      </c>
      <c r="T108" s="275"/>
      <c r="V108" s="275"/>
      <c r="W108" s="275"/>
      <c r="X108" s="275"/>
    </row>
    <row r="109" spans="1:24">
      <c r="A109" s="456" t="s">
        <v>75</v>
      </c>
      <c r="B109" s="456">
        <v>2009</v>
      </c>
      <c r="C109" s="456" t="s">
        <v>889</v>
      </c>
      <c r="D109" s="456">
        <v>12</v>
      </c>
      <c r="E109" s="456">
        <v>414</v>
      </c>
      <c r="F109" s="456">
        <v>0</v>
      </c>
      <c r="T109" s="275"/>
      <c r="V109" s="275"/>
      <c r="W109" s="275"/>
      <c r="X109" s="275"/>
    </row>
    <row r="110" spans="1:24">
      <c r="A110" s="456" t="s">
        <v>75</v>
      </c>
      <c r="B110" s="456">
        <v>2010</v>
      </c>
      <c r="C110" s="456" t="s">
        <v>73</v>
      </c>
      <c r="D110" s="456">
        <v>1</v>
      </c>
      <c r="E110" s="456">
        <v>501</v>
      </c>
      <c r="F110" s="456">
        <v>0</v>
      </c>
      <c r="T110" s="275"/>
      <c r="V110" s="275"/>
      <c r="W110" s="275"/>
      <c r="X110" s="275"/>
    </row>
    <row r="111" spans="1:24">
      <c r="A111" s="456" t="s">
        <v>75</v>
      </c>
      <c r="B111" s="456">
        <v>2010</v>
      </c>
      <c r="C111" s="456" t="s">
        <v>887</v>
      </c>
      <c r="D111" s="456">
        <v>2</v>
      </c>
      <c r="E111" s="456">
        <v>370</v>
      </c>
      <c r="F111" s="456">
        <v>0</v>
      </c>
      <c r="T111" s="275"/>
      <c r="V111" s="275"/>
      <c r="W111" s="275"/>
      <c r="X111" s="275"/>
    </row>
    <row r="112" spans="1:24">
      <c r="A112" s="456" t="s">
        <v>75</v>
      </c>
      <c r="B112" s="456">
        <v>2010</v>
      </c>
      <c r="C112" s="456" t="s">
        <v>77</v>
      </c>
      <c r="D112" s="456">
        <v>3</v>
      </c>
      <c r="E112" s="456">
        <v>312</v>
      </c>
      <c r="F112" s="456">
        <v>1</v>
      </c>
      <c r="T112" s="275"/>
      <c r="V112" s="275"/>
      <c r="W112" s="275"/>
      <c r="X112" s="275"/>
    </row>
    <row r="113" spans="1:24">
      <c r="A113" s="456" t="s">
        <v>75</v>
      </c>
      <c r="B113" s="456">
        <v>2010</v>
      </c>
      <c r="C113" s="456" t="s">
        <v>79</v>
      </c>
      <c r="D113" s="456">
        <v>4</v>
      </c>
      <c r="E113" s="456">
        <v>199</v>
      </c>
      <c r="F113" s="456">
        <v>11</v>
      </c>
      <c r="T113" s="275"/>
      <c r="V113" s="275"/>
      <c r="W113" s="275"/>
      <c r="X113" s="275"/>
    </row>
    <row r="114" spans="1:24">
      <c r="A114" s="456" t="s">
        <v>75</v>
      </c>
      <c r="B114" s="456">
        <v>2010</v>
      </c>
      <c r="C114" s="456" t="s">
        <v>80</v>
      </c>
      <c r="D114" s="456">
        <v>5</v>
      </c>
      <c r="E114" s="456">
        <v>155</v>
      </c>
      <c r="F114" s="456">
        <v>22</v>
      </c>
      <c r="T114" s="275"/>
      <c r="V114" s="275"/>
      <c r="W114" s="275"/>
      <c r="X114" s="275"/>
    </row>
    <row r="115" spans="1:24">
      <c r="A115" s="456" t="s">
        <v>75</v>
      </c>
      <c r="B115" s="456">
        <v>2010</v>
      </c>
      <c r="C115" s="456" t="s">
        <v>81</v>
      </c>
      <c r="D115" s="456">
        <v>6</v>
      </c>
      <c r="E115" s="456">
        <v>46</v>
      </c>
      <c r="F115" s="456">
        <v>66</v>
      </c>
      <c r="T115" s="275"/>
      <c r="V115" s="275"/>
      <c r="W115" s="275"/>
      <c r="X115" s="275"/>
    </row>
    <row r="116" spans="1:24">
      <c r="A116" s="456" t="s">
        <v>75</v>
      </c>
      <c r="B116" s="456">
        <v>2010</v>
      </c>
      <c r="C116" s="456" t="s">
        <v>82</v>
      </c>
      <c r="D116" s="456">
        <v>7</v>
      </c>
      <c r="E116" s="456">
        <v>22</v>
      </c>
      <c r="F116" s="456">
        <v>129</v>
      </c>
      <c r="T116" s="275"/>
      <c r="V116" s="275"/>
      <c r="W116" s="275"/>
      <c r="X116" s="275"/>
    </row>
    <row r="117" spans="1:24">
      <c r="A117" s="456" t="s">
        <v>75</v>
      </c>
      <c r="B117" s="456">
        <v>2010</v>
      </c>
      <c r="C117" s="456" t="s">
        <v>888</v>
      </c>
      <c r="D117" s="456">
        <v>8</v>
      </c>
      <c r="E117" s="456">
        <v>41</v>
      </c>
      <c r="F117" s="456">
        <v>73</v>
      </c>
      <c r="T117" s="275"/>
      <c r="V117" s="275"/>
      <c r="W117" s="275"/>
      <c r="X117" s="275"/>
    </row>
    <row r="118" spans="1:24">
      <c r="A118" s="456" t="s">
        <v>75</v>
      </c>
      <c r="B118" s="456">
        <v>2010</v>
      </c>
      <c r="C118" s="456" t="s">
        <v>83</v>
      </c>
      <c r="D118" s="456">
        <v>9</v>
      </c>
      <c r="E118" s="456">
        <v>95</v>
      </c>
      <c r="F118" s="456">
        <v>38</v>
      </c>
      <c r="T118" s="275"/>
      <c r="V118" s="275"/>
      <c r="W118" s="275"/>
      <c r="X118" s="275"/>
    </row>
    <row r="119" spans="1:24">
      <c r="A119" s="456" t="s">
        <v>75</v>
      </c>
      <c r="B119" s="456">
        <v>2010</v>
      </c>
      <c r="C119" s="456" t="s">
        <v>84</v>
      </c>
      <c r="D119" s="456">
        <v>10</v>
      </c>
      <c r="E119" s="456">
        <v>190</v>
      </c>
      <c r="F119" s="456">
        <v>10</v>
      </c>
      <c r="T119" s="275"/>
      <c r="V119" s="275"/>
      <c r="W119" s="275"/>
      <c r="X119" s="275"/>
    </row>
    <row r="120" spans="1:24">
      <c r="A120" s="456" t="s">
        <v>75</v>
      </c>
      <c r="B120" s="456">
        <v>2010</v>
      </c>
      <c r="C120" s="456" t="s">
        <v>85</v>
      </c>
      <c r="D120" s="456">
        <v>11</v>
      </c>
      <c r="E120" s="456">
        <v>320</v>
      </c>
      <c r="F120" s="456">
        <v>0</v>
      </c>
      <c r="T120" s="275"/>
      <c r="V120" s="275"/>
      <c r="W120" s="275"/>
      <c r="X120" s="275"/>
    </row>
    <row r="121" spans="1:24">
      <c r="A121" s="456" t="s">
        <v>75</v>
      </c>
      <c r="B121" s="456">
        <v>2010</v>
      </c>
      <c r="C121" s="456" t="s">
        <v>889</v>
      </c>
      <c r="D121" s="456">
        <v>12</v>
      </c>
      <c r="E121" s="456">
        <v>500</v>
      </c>
      <c r="F121" s="456">
        <v>0</v>
      </c>
      <c r="T121" s="275"/>
      <c r="V121" s="275"/>
      <c r="W121" s="275"/>
      <c r="X121" s="275"/>
    </row>
    <row r="122" spans="1:24">
      <c r="A122" s="456" t="s">
        <v>75</v>
      </c>
      <c r="B122" s="456">
        <v>2011</v>
      </c>
      <c r="C122" s="456" t="s">
        <v>73</v>
      </c>
      <c r="D122" s="456">
        <v>1</v>
      </c>
      <c r="E122" s="456">
        <v>392</v>
      </c>
      <c r="F122" s="456">
        <v>0</v>
      </c>
      <c r="T122" s="275"/>
      <c r="V122" s="275"/>
      <c r="W122" s="275"/>
      <c r="X122" s="275"/>
    </row>
    <row r="123" spans="1:24">
      <c r="A123" s="456" t="s">
        <v>75</v>
      </c>
      <c r="B123" s="456">
        <v>2011</v>
      </c>
      <c r="C123" s="456" t="s">
        <v>887</v>
      </c>
      <c r="D123" s="456">
        <v>2</v>
      </c>
      <c r="E123" s="456">
        <v>298</v>
      </c>
      <c r="F123" s="456">
        <v>0</v>
      </c>
      <c r="T123" s="275"/>
      <c r="V123" s="275"/>
      <c r="W123" s="275"/>
      <c r="X123" s="275"/>
    </row>
    <row r="124" spans="1:24">
      <c r="A124" s="456" t="s">
        <v>75</v>
      </c>
      <c r="B124" s="456">
        <v>2011</v>
      </c>
      <c r="C124" s="456" t="s">
        <v>77</v>
      </c>
      <c r="D124" s="456">
        <v>3</v>
      </c>
      <c r="E124" s="456">
        <v>265</v>
      </c>
      <c r="F124" s="456">
        <v>2</v>
      </c>
      <c r="T124" s="275"/>
      <c r="V124" s="275"/>
      <c r="W124" s="275"/>
      <c r="X124" s="275"/>
    </row>
    <row r="125" spans="1:24">
      <c r="A125" s="456" t="s">
        <v>75</v>
      </c>
      <c r="B125" s="456">
        <v>2011</v>
      </c>
      <c r="C125" s="456" t="s">
        <v>79</v>
      </c>
      <c r="D125" s="456">
        <v>4</v>
      </c>
      <c r="E125" s="456">
        <v>136</v>
      </c>
      <c r="F125" s="456">
        <v>29</v>
      </c>
      <c r="T125" s="275"/>
      <c r="V125" s="275"/>
      <c r="W125" s="275"/>
      <c r="X125" s="275"/>
    </row>
    <row r="126" spans="1:24">
      <c r="A126" s="456" t="s">
        <v>75</v>
      </c>
      <c r="B126" s="456">
        <v>2011</v>
      </c>
      <c r="C126" s="456" t="s">
        <v>80</v>
      </c>
      <c r="D126" s="456">
        <v>5</v>
      </c>
      <c r="E126" s="456">
        <v>92</v>
      </c>
      <c r="F126" s="456">
        <v>38</v>
      </c>
      <c r="T126" s="275"/>
      <c r="V126" s="275"/>
      <c r="W126" s="275"/>
      <c r="X126" s="275"/>
    </row>
    <row r="127" spans="1:24">
      <c r="A127" s="456" t="s">
        <v>75</v>
      </c>
      <c r="B127" s="456">
        <v>2011</v>
      </c>
      <c r="C127" s="456" t="s">
        <v>81</v>
      </c>
      <c r="D127" s="456">
        <v>6</v>
      </c>
      <c r="E127" s="456">
        <v>56</v>
      </c>
      <c r="F127" s="456">
        <v>63</v>
      </c>
      <c r="T127" s="275"/>
      <c r="V127" s="275"/>
      <c r="W127" s="275"/>
      <c r="X127" s="275"/>
    </row>
    <row r="128" spans="1:24">
      <c r="A128" s="456" t="s">
        <v>75</v>
      </c>
      <c r="B128" s="456">
        <v>2011</v>
      </c>
      <c r="C128" s="456" t="s">
        <v>82</v>
      </c>
      <c r="D128" s="456">
        <v>7</v>
      </c>
      <c r="E128" s="456">
        <v>51</v>
      </c>
      <c r="F128" s="456">
        <v>54</v>
      </c>
      <c r="T128" s="275"/>
      <c r="V128" s="275"/>
      <c r="W128" s="275"/>
      <c r="X128" s="275"/>
    </row>
    <row r="129" spans="1:24">
      <c r="A129" s="456" t="s">
        <v>75</v>
      </c>
      <c r="B129" s="456">
        <v>2011</v>
      </c>
      <c r="C129" s="456" t="s">
        <v>888</v>
      </c>
      <c r="D129" s="456">
        <v>8</v>
      </c>
      <c r="E129" s="456">
        <v>35</v>
      </c>
      <c r="F129" s="456">
        <v>81</v>
      </c>
      <c r="T129" s="275"/>
      <c r="V129" s="275"/>
      <c r="W129" s="275"/>
      <c r="X129" s="275"/>
    </row>
    <row r="130" spans="1:24">
      <c r="A130" s="456" t="s">
        <v>75</v>
      </c>
      <c r="B130" s="456">
        <v>2011</v>
      </c>
      <c r="C130" s="456" t="s">
        <v>83</v>
      </c>
      <c r="D130" s="456">
        <v>9</v>
      </c>
      <c r="E130" s="456">
        <v>53</v>
      </c>
      <c r="F130" s="456">
        <v>57</v>
      </c>
      <c r="T130" s="275"/>
      <c r="V130" s="275"/>
      <c r="W130" s="275"/>
      <c r="X130" s="275"/>
    </row>
    <row r="131" spans="1:24">
      <c r="A131" s="456" t="s">
        <v>75</v>
      </c>
      <c r="B131" s="456">
        <v>2011</v>
      </c>
      <c r="C131" s="456" t="s">
        <v>84</v>
      </c>
      <c r="D131" s="456">
        <v>10</v>
      </c>
      <c r="E131" s="456">
        <v>145</v>
      </c>
      <c r="F131" s="456">
        <v>17</v>
      </c>
      <c r="T131" s="275"/>
      <c r="V131" s="275"/>
      <c r="W131" s="275"/>
      <c r="X131" s="275"/>
    </row>
    <row r="132" spans="1:24">
      <c r="A132" s="456" t="s">
        <v>75</v>
      </c>
      <c r="B132" s="456">
        <v>2011</v>
      </c>
      <c r="C132" s="456" t="s">
        <v>85</v>
      </c>
      <c r="D132" s="456">
        <v>11</v>
      </c>
      <c r="E132" s="456">
        <v>204</v>
      </c>
      <c r="F132" s="456">
        <v>0</v>
      </c>
      <c r="T132" s="275"/>
      <c r="V132" s="275"/>
      <c r="W132" s="275"/>
      <c r="X132" s="275"/>
    </row>
    <row r="133" spans="1:24">
      <c r="A133" s="456" t="s">
        <v>75</v>
      </c>
      <c r="B133" s="456">
        <v>2011</v>
      </c>
      <c r="C133" s="456" t="s">
        <v>889</v>
      </c>
      <c r="D133" s="456">
        <v>12</v>
      </c>
      <c r="E133" s="456">
        <v>307</v>
      </c>
      <c r="F133" s="456">
        <v>0</v>
      </c>
      <c r="T133" s="275"/>
      <c r="V133" s="275"/>
      <c r="W133" s="275"/>
      <c r="X133" s="275"/>
    </row>
    <row r="134" spans="1:24">
      <c r="A134" s="456" t="s">
        <v>75</v>
      </c>
      <c r="B134" s="456">
        <v>2012</v>
      </c>
      <c r="C134" s="456" t="s">
        <v>73</v>
      </c>
      <c r="D134" s="456">
        <v>1</v>
      </c>
      <c r="E134" s="456">
        <v>347</v>
      </c>
      <c r="F134" s="456">
        <v>0</v>
      </c>
      <c r="T134" s="275"/>
      <c r="V134" s="275"/>
      <c r="W134" s="275"/>
      <c r="X134" s="275"/>
    </row>
    <row r="135" spans="1:24">
      <c r="A135" s="456" t="s">
        <v>75</v>
      </c>
      <c r="B135" s="456">
        <v>2012</v>
      </c>
      <c r="C135" s="456" t="s">
        <v>887</v>
      </c>
      <c r="D135" s="456">
        <v>2</v>
      </c>
      <c r="E135" s="456">
        <v>469</v>
      </c>
      <c r="F135" s="456">
        <v>0</v>
      </c>
      <c r="T135" s="275"/>
      <c r="V135" s="275"/>
      <c r="W135" s="275"/>
      <c r="X135" s="275"/>
    </row>
    <row r="136" spans="1:24">
      <c r="A136" s="456" t="s">
        <v>75</v>
      </c>
      <c r="B136" s="456">
        <v>2012</v>
      </c>
      <c r="C136" s="456" t="s">
        <v>77</v>
      </c>
      <c r="D136" s="456">
        <v>3</v>
      </c>
      <c r="E136" s="456">
        <v>247</v>
      </c>
      <c r="F136" s="456">
        <v>8</v>
      </c>
      <c r="T136" s="275"/>
      <c r="V136" s="275"/>
      <c r="W136" s="275"/>
      <c r="X136" s="275"/>
    </row>
    <row r="137" spans="1:24">
      <c r="A137" s="456" t="s">
        <v>75</v>
      </c>
      <c r="B137" s="456">
        <v>2012</v>
      </c>
      <c r="C137" s="456" t="s">
        <v>79</v>
      </c>
      <c r="D137" s="456">
        <v>4</v>
      </c>
      <c r="E137" s="456">
        <v>253</v>
      </c>
      <c r="F137" s="456">
        <v>0</v>
      </c>
      <c r="T137" s="275"/>
      <c r="V137" s="275"/>
      <c r="W137" s="275"/>
      <c r="X137" s="275"/>
    </row>
    <row r="138" spans="1:24">
      <c r="A138" s="456" t="s">
        <v>75</v>
      </c>
      <c r="B138" s="456">
        <v>2012</v>
      </c>
      <c r="C138" s="456" t="s">
        <v>80</v>
      </c>
      <c r="D138" s="456">
        <v>5</v>
      </c>
      <c r="E138" s="456">
        <v>114</v>
      </c>
      <c r="F138" s="456">
        <v>35</v>
      </c>
      <c r="T138" s="275"/>
      <c r="V138" s="275"/>
      <c r="W138" s="275"/>
      <c r="X138" s="275"/>
    </row>
    <row r="139" spans="1:24">
      <c r="A139" s="456" t="s">
        <v>75</v>
      </c>
      <c r="B139" s="456">
        <v>2012</v>
      </c>
      <c r="C139" s="456" t="s">
        <v>81</v>
      </c>
      <c r="D139" s="456">
        <v>6</v>
      </c>
      <c r="E139" s="456">
        <v>59</v>
      </c>
      <c r="F139" s="456">
        <v>40</v>
      </c>
      <c r="T139" s="275"/>
      <c r="V139" s="275"/>
      <c r="W139" s="275"/>
      <c r="X139" s="275"/>
    </row>
    <row r="140" spans="1:24">
      <c r="A140" s="456" t="s">
        <v>75</v>
      </c>
      <c r="B140" s="456">
        <v>2012</v>
      </c>
      <c r="C140" s="456" t="s">
        <v>82</v>
      </c>
      <c r="D140" s="456">
        <v>7</v>
      </c>
      <c r="E140" s="456">
        <v>49</v>
      </c>
      <c r="F140" s="456">
        <v>62</v>
      </c>
      <c r="T140" s="275"/>
      <c r="V140" s="275"/>
      <c r="W140" s="275"/>
      <c r="X140" s="275"/>
    </row>
    <row r="141" spans="1:24">
      <c r="A141" s="456" t="s">
        <v>75</v>
      </c>
      <c r="B141" s="456">
        <v>2012</v>
      </c>
      <c r="C141" s="456" t="s">
        <v>888</v>
      </c>
      <c r="D141" s="456">
        <v>8</v>
      </c>
      <c r="E141" s="456">
        <v>28</v>
      </c>
      <c r="F141" s="456">
        <v>105</v>
      </c>
      <c r="T141" s="275"/>
      <c r="V141" s="275"/>
      <c r="W141" s="275"/>
      <c r="X141" s="275"/>
    </row>
    <row r="142" spans="1:24">
      <c r="A142" s="456" t="s">
        <v>75</v>
      </c>
      <c r="B142" s="456">
        <v>2012</v>
      </c>
      <c r="C142" s="456" t="s">
        <v>83</v>
      </c>
      <c r="D142" s="456">
        <v>9</v>
      </c>
      <c r="E142" s="456">
        <v>102</v>
      </c>
      <c r="F142" s="456">
        <v>35</v>
      </c>
      <c r="T142" s="275"/>
      <c r="V142" s="275"/>
      <c r="W142" s="275"/>
      <c r="X142" s="275"/>
    </row>
    <row r="143" spans="1:24">
      <c r="A143" s="456" t="s">
        <v>75</v>
      </c>
      <c r="B143" s="456">
        <v>2012</v>
      </c>
      <c r="C143" s="456" t="s">
        <v>84</v>
      </c>
      <c r="D143" s="456">
        <v>10</v>
      </c>
      <c r="E143" s="456">
        <v>161</v>
      </c>
      <c r="F143" s="456">
        <v>4</v>
      </c>
      <c r="T143" s="275"/>
      <c r="V143" s="275"/>
      <c r="W143" s="275"/>
      <c r="X143" s="275"/>
    </row>
    <row r="144" spans="1:24">
      <c r="A144" s="456" t="s">
        <v>75</v>
      </c>
      <c r="B144" s="456">
        <v>2012</v>
      </c>
      <c r="C144" s="456" t="s">
        <v>85</v>
      </c>
      <c r="D144" s="456">
        <v>11</v>
      </c>
      <c r="E144" s="456">
        <v>297</v>
      </c>
      <c r="F144" s="456">
        <v>0</v>
      </c>
      <c r="T144" s="275"/>
      <c r="V144" s="275"/>
      <c r="W144" s="275"/>
      <c r="X144" s="275"/>
    </row>
    <row r="145" spans="1:24">
      <c r="A145" s="456" t="s">
        <v>75</v>
      </c>
      <c r="B145" s="456">
        <v>2012</v>
      </c>
      <c r="C145" s="456" t="s">
        <v>889</v>
      </c>
      <c r="D145" s="456">
        <v>12</v>
      </c>
      <c r="E145" s="456">
        <v>333</v>
      </c>
      <c r="F145" s="456">
        <v>0</v>
      </c>
      <c r="T145" s="275"/>
      <c r="V145" s="275"/>
      <c r="W145" s="275"/>
      <c r="X145" s="275"/>
    </row>
    <row r="146" spans="1:24">
      <c r="A146" s="456" t="s">
        <v>75</v>
      </c>
      <c r="B146" s="456">
        <v>2013</v>
      </c>
      <c r="C146" s="456" t="s">
        <v>73</v>
      </c>
      <c r="D146" s="456">
        <v>1</v>
      </c>
      <c r="E146" s="456">
        <v>409</v>
      </c>
      <c r="F146" s="456">
        <v>0</v>
      </c>
      <c r="T146" s="275"/>
      <c r="V146" s="275"/>
      <c r="W146" s="275"/>
      <c r="X146" s="275"/>
    </row>
    <row r="147" spans="1:24">
      <c r="A147" s="456" t="s">
        <v>75</v>
      </c>
      <c r="B147" s="456">
        <v>2013</v>
      </c>
      <c r="C147" s="456" t="s">
        <v>887</v>
      </c>
      <c r="D147" s="456">
        <v>2</v>
      </c>
      <c r="E147" s="456">
        <v>388</v>
      </c>
      <c r="F147" s="456">
        <v>0</v>
      </c>
      <c r="T147" s="275"/>
      <c r="V147" s="275"/>
      <c r="W147" s="275"/>
      <c r="X147" s="275"/>
    </row>
    <row r="148" spans="1:24">
      <c r="A148" s="456" t="s">
        <v>75</v>
      </c>
      <c r="B148" s="456">
        <v>2013</v>
      </c>
      <c r="C148" s="456" t="s">
        <v>77</v>
      </c>
      <c r="D148" s="456">
        <v>3</v>
      </c>
      <c r="E148" s="456">
        <v>359</v>
      </c>
      <c r="F148" s="456">
        <v>0</v>
      </c>
      <c r="T148" s="275"/>
      <c r="V148" s="275"/>
      <c r="W148" s="275"/>
      <c r="X148" s="275"/>
    </row>
    <row r="149" spans="1:24">
      <c r="A149" s="456" t="s">
        <v>75</v>
      </c>
      <c r="B149" s="456">
        <v>2013</v>
      </c>
      <c r="C149" s="456" t="s">
        <v>79</v>
      </c>
      <c r="D149" s="456">
        <v>4</v>
      </c>
      <c r="E149" s="456">
        <v>247</v>
      </c>
      <c r="F149" s="456">
        <v>8</v>
      </c>
      <c r="T149" s="275"/>
      <c r="V149" s="275"/>
      <c r="W149" s="275"/>
      <c r="X149" s="275"/>
    </row>
    <row r="150" spans="1:24">
      <c r="A150" s="456" t="s">
        <v>75</v>
      </c>
      <c r="B150" s="456">
        <v>2013</v>
      </c>
      <c r="C150" s="456" t="s">
        <v>80</v>
      </c>
      <c r="D150" s="456">
        <v>5</v>
      </c>
      <c r="E150" s="456">
        <v>175</v>
      </c>
      <c r="F150" s="456">
        <v>4</v>
      </c>
      <c r="T150" s="275"/>
      <c r="V150" s="275"/>
      <c r="W150" s="275"/>
      <c r="X150" s="275"/>
    </row>
    <row r="151" spans="1:24">
      <c r="A151" s="456" t="s">
        <v>75</v>
      </c>
      <c r="B151" s="456">
        <v>2013</v>
      </c>
      <c r="C151" s="456" t="s">
        <v>81</v>
      </c>
      <c r="D151" s="456">
        <v>6</v>
      </c>
      <c r="E151" s="456">
        <v>68</v>
      </c>
      <c r="F151" s="456">
        <v>38</v>
      </c>
      <c r="T151" s="275"/>
      <c r="V151" s="275"/>
      <c r="W151" s="275"/>
      <c r="X151" s="275"/>
    </row>
    <row r="152" spans="1:24">
      <c r="A152" s="456" t="s">
        <v>75</v>
      </c>
      <c r="B152" s="456">
        <v>2013</v>
      </c>
      <c r="C152" s="456" t="s">
        <v>82</v>
      </c>
      <c r="D152" s="456">
        <v>7</v>
      </c>
      <c r="E152" s="456">
        <v>13</v>
      </c>
      <c r="F152" s="456">
        <v>152</v>
      </c>
      <c r="T152" s="275"/>
      <c r="V152" s="275"/>
      <c r="W152" s="275"/>
      <c r="X152" s="275"/>
    </row>
    <row r="153" spans="1:24">
      <c r="A153" s="456" t="s">
        <v>75</v>
      </c>
      <c r="B153" s="456">
        <v>2013</v>
      </c>
      <c r="C153" s="456" t="s">
        <v>888</v>
      </c>
      <c r="D153" s="456">
        <v>8</v>
      </c>
      <c r="E153" s="456">
        <v>38</v>
      </c>
      <c r="F153" s="456">
        <v>97</v>
      </c>
      <c r="T153" s="275"/>
      <c r="V153" s="275"/>
      <c r="W153" s="275"/>
      <c r="X153" s="275"/>
    </row>
    <row r="154" spans="1:24">
      <c r="A154" s="456" t="s">
        <v>75</v>
      </c>
      <c r="B154" s="456">
        <v>2013</v>
      </c>
      <c r="C154" s="456" t="s">
        <v>83</v>
      </c>
      <c r="D154" s="456">
        <v>9</v>
      </c>
      <c r="E154" s="456">
        <v>69</v>
      </c>
      <c r="F154" s="456">
        <v>44</v>
      </c>
      <c r="T154" s="275"/>
      <c r="V154" s="275"/>
      <c r="W154" s="275"/>
      <c r="X154" s="275"/>
    </row>
    <row r="155" spans="1:24">
      <c r="A155" s="456" t="s">
        <v>75</v>
      </c>
      <c r="B155" s="456">
        <v>2013</v>
      </c>
      <c r="C155" s="456" t="s">
        <v>84</v>
      </c>
      <c r="D155" s="456">
        <v>10</v>
      </c>
      <c r="E155" s="456">
        <v>122</v>
      </c>
      <c r="F155" s="456">
        <v>11</v>
      </c>
      <c r="T155" s="275"/>
      <c r="V155" s="275"/>
      <c r="W155" s="275"/>
      <c r="X155" s="275"/>
    </row>
    <row r="156" spans="1:24">
      <c r="A156" s="456" t="s">
        <v>75</v>
      </c>
      <c r="B156" s="456">
        <v>2013</v>
      </c>
      <c r="C156" s="456" t="s">
        <v>85</v>
      </c>
      <c r="D156" s="456">
        <v>11</v>
      </c>
      <c r="E156" s="456">
        <v>308</v>
      </c>
      <c r="F156" s="456">
        <v>0</v>
      </c>
      <c r="T156" s="275"/>
      <c r="V156" s="275"/>
      <c r="W156" s="275"/>
      <c r="X156" s="275"/>
    </row>
    <row r="157" spans="1:24">
      <c r="A157" s="456" t="s">
        <v>75</v>
      </c>
      <c r="B157" s="456">
        <v>2013</v>
      </c>
      <c r="C157" s="456" t="s">
        <v>889</v>
      </c>
      <c r="D157" s="456">
        <v>12</v>
      </c>
      <c r="E157" s="456">
        <v>380</v>
      </c>
      <c r="F157" s="456">
        <v>0</v>
      </c>
      <c r="T157" s="275"/>
      <c r="V157" s="275"/>
      <c r="W157" s="275"/>
      <c r="X157" s="275"/>
    </row>
    <row r="158" spans="1:24">
      <c r="A158" s="456" t="s">
        <v>75</v>
      </c>
      <c r="B158" s="456">
        <v>2014</v>
      </c>
      <c r="C158" s="456" t="s">
        <v>73</v>
      </c>
      <c r="D158" s="456">
        <v>1</v>
      </c>
      <c r="E158" s="456">
        <v>320</v>
      </c>
      <c r="F158" s="456">
        <v>0</v>
      </c>
      <c r="T158" s="275"/>
      <c r="V158" s="275"/>
      <c r="W158" s="275"/>
      <c r="X158" s="275"/>
    </row>
    <row r="159" spans="1:24">
      <c r="A159" s="456" t="s">
        <v>75</v>
      </c>
      <c r="B159" s="456">
        <v>2014</v>
      </c>
      <c r="C159" s="456" t="s">
        <v>887</v>
      </c>
      <c r="D159" s="456">
        <v>2</v>
      </c>
      <c r="E159" s="456">
        <v>280</v>
      </c>
      <c r="F159" s="456">
        <v>0</v>
      </c>
      <c r="T159" s="275"/>
      <c r="V159" s="275"/>
      <c r="W159" s="275"/>
      <c r="X159" s="275"/>
    </row>
    <row r="160" spans="1:24">
      <c r="A160" s="456" t="s">
        <v>75</v>
      </c>
      <c r="B160" s="456">
        <v>2014</v>
      </c>
      <c r="C160" s="456" t="s">
        <v>77</v>
      </c>
      <c r="D160" s="456">
        <v>3</v>
      </c>
      <c r="E160" s="456">
        <v>264</v>
      </c>
      <c r="F160" s="456">
        <v>3</v>
      </c>
      <c r="T160" s="275"/>
      <c r="V160" s="275"/>
      <c r="W160" s="275"/>
      <c r="X160" s="275"/>
    </row>
    <row r="161" spans="1:24">
      <c r="A161" s="456" t="s">
        <v>75</v>
      </c>
      <c r="B161" s="456">
        <v>2014</v>
      </c>
      <c r="C161" s="456" t="s">
        <v>79</v>
      </c>
      <c r="D161" s="456">
        <v>4</v>
      </c>
      <c r="E161" s="456">
        <v>174</v>
      </c>
      <c r="F161" s="456">
        <v>4</v>
      </c>
      <c r="T161" s="275"/>
      <c r="V161" s="275"/>
      <c r="W161" s="275"/>
      <c r="X161" s="275"/>
    </row>
    <row r="162" spans="1:24">
      <c r="A162" s="456" t="s">
        <v>75</v>
      </c>
      <c r="B162" s="456">
        <v>2014</v>
      </c>
      <c r="C162" s="456" t="s">
        <v>80</v>
      </c>
      <c r="D162" s="456">
        <v>5</v>
      </c>
      <c r="E162" s="456">
        <v>133</v>
      </c>
      <c r="F162" s="456">
        <v>11</v>
      </c>
      <c r="T162" s="275"/>
      <c r="V162" s="275"/>
      <c r="W162" s="275"/>
      <c r="X162" s="275"/>
    </row>
    <row r="163" spans="1:24">
      <c r="A163" s="456" t="s">
        <v>75</v>
      </c>
      <c r="B163" s="456">
        <v>2014</v>
      </c>
      <c r="C163" s="456" t="s">
        <v>81</v>
      </c>
      <c r="D163" s="456">
        <v>6</v>
      </c>
      <c r="E163" s="456">
        <v>48</v>
      </c>
      <c r="F163" s="456">
        <v>62</v>
      </c>
      <c r="T163" s="275"/>
      <c r="V163" s="275"/>
      <c r="W163" s="275"/>
      <c r="X163" s="275"/>
    </row>
    <row r="164" spans="1:24">
      <c r="A164" s="456" t="s">
        <v>75</v>
      </c>
      <c r="B164" s="456">
        <v>2014</v>
      </c>
      <c r="C164" s="456" t="s">
        <v>82</v>
      </c>
      <c r="D164" s="456">
        <v>7</v>
      </c>
      <c r="E164" s="456">
        <v>22</v>
      </c>
      <c r="F164" s="456">
        <v>106</v>
      </c>
      <c r="T164" s="275"/>
      <c r="V164" s="275"/>
      <c r="W164" s="275"/>
      <c r="X164" s="275"/>
    </row>
    <row r="165" spans="1:24">
      <c r="A165" s="456" t="s">
        <v>75</v>
      </c>
      <c r="B165" s="456">
        <v>2014</v>
      </c>
      <c r="C165" s="456" t="s">
        <v>888</v>
      </c>
      <c r="D165" s="456">
        <v>8</v>
      </c>
      <c r="E165" s="456">
        <v>52</v>
      </c>
      <c r="F165" s="456">
        <v>48</v>
      </c>
      <c r="T165" s="275"/>
      <c r="V165" s="275"/>
      <c r="W165" s="275"/>
      <c r="X165" s="275"/>
    </row>
    <row r="166" spans="1:24">
      <c r="A166" s="456" t="s">
        <v>75</v>
      </c>
      <c r="B166" s="456">
        <v>2014</v>
      </c>
      <c r="C166" s="456" t="s">
        <v>83</v>
      </c>
      <c r="D166" s="456">
        <v>9</v>
      </c>
      <c r="E166" s="456">
        <v>54</v>
      </c>
      <c r="F166" s="456">
        <v>64</v>
      </c>
      <c r="T166" s="275"/>
      <c r="V166" s="275"/>
      <c r="W166" s="275"/>
      <c r="X166" s="275"/>
    </row>
    <row r="167" spans="1:24">
      <c r="A167" s="456" t="s">
        <v>75</v>
      </c>
      <c r="B167" s="456">
        <v>2014</v>
      </c>
      <c r="C167" s="456" t="s">
        <v>84</v>
      </c>
      <c r="D167" s="456">
        <v>10</v>
      </c>
      <c r="E167" s="456">
        <v>124</v>
      </c>
      <c r="F167" s="456">
        <v>17</v>
      </c>
      <c r="T167" s="275"/>
      <c r="V167" s="275"/>
      <c r="W167" s="275"/>
      <c r="X167" s="275"/>
    </row>
    <row r="168" spans="1:24">
      <c r="A168" s="456" t="s">
        <v>75</v>
      </c>
      <c r="B168" s="456">
        <v>2014</v>
      </c>
      <c r="C168" s="456" t="s">
        <v>85</v>
      </c>
      <c r="D168" s="456">
        <v>11</v>
      </c>
      <c r="E168" s="456">
        <v>219</v>
      </c>
      <c r="F168" s="456">
        <v>0</v>
      </c>
      <c r="T168" s="275"/>
      <c r="V168" s="275"/>
      <c r="W168" s="275"/>
      <c r="X168" s="275"/>
    </row>
    <row r="169" spans="1:24">
      <c r="A169" s="456" t="s">
        <v>75</v>
      </c>
      <c r="B169" s="456">
        <v>2014</v>
      </c>
      <c r="C169" s="456" t="s">
        <v>889</v>
      </c>
      <c r="D169" s="456">
        <v>12</v>
      </c>
      <c r="E169" s="456">
        <v>374</v>
      </c>
      <c r="F169" s="456">
        <v>0</v>
      </c>
      <c r="T169" s="275"/>
      <c r="V169" s="275"/>
      <c r="W169" s="275"/>
      <c r="X169" s="275"/>
    </row>
    <row r="170" spans="1:24">
      <c r="A170" s="456" t="s">
        <v>75</v>
      </c>
      <c r="B170" s="456">
        <v>2015</v>
      </c>
      <c r="C170" s="456" t="s">
        <v>73</v>
      </c>
      <c r="D170" s="456">
        <v>1</v>
      </c>
      <c r="E170" s="456">
        <v>391</v>
      </c>
      <c r="F170" s="456">
        <v>0</v>
      </c>
      <c r="T170" s="275"/>
      <c r="V170" s="275"/>
      <c r="W170" s="275"/>
      <c r="X170" s="275"/>
    </row>
    <row r="171" spans="1:24">
      <c r="A171" s="456" t="s">
        <v>75</v>
      </c>
      <c r="B171" s="456">
        <v>2015</v>
      </c>
      <c r="C171" s="456" t="s">
        <v>887</v>
      </c>
      <c r="D171" s="456">
        <v>2</v>
      </c>
      <c r="E171" s="456">
        <v>366</v>
      </c>
      <c r="F171" s="456">
        <v>0</v>
      </c>
      <c r="T171" s="275"/>
      <c r="V171" s="275"/>
      <c r="W171" s="275"/>
      <c r="X171" s="275"/>
    </row>
    <row r="172" spans="1:24">
      <c r="A172" s="456" t="s">
        <v>75</v>
      </c>
      <c r="B172" s="456">
        <v>2015</v>
      </c>
      <c r="C172" s="456" t="s">
        <v>77</v>
      </c>
      <c r="D172" s="456">
        <v>3</v>
      </c>
      <c r="E172" s="456">
        <v>300</v>
      </c>
      <c r="F172" s="456">
        <v>0</v>
      </c>
      <c r="T172" s="275"/>
      <c r="V172" s="275"/>
      <c r="W172" s="275"/>
      <c r="X172" s="275"/>
    </row>
    <row r="173" spans="1:24">
      <c r="A173" s="456" t="s">
        <v>75</v>
      </c>
      <c r="B173" s="456">
        <v>2015</v>
      </c>
      <c r="C173" s="456" t="s">
        <v>79</v>
      </c>
      <c r="D173" s="456">
        <v>4</v>
      </c>
      <c r="E173" s="456">
        <v>166</v>
      </c>
      <c r="F173" s="456">
        <v>17</v>
      </c>
      <c r="T173" s="275"/>
      <c r="V173" s="275"/>
      <c r="W173" s="275"/>
      <c r="X173" s="275"/>
    </row>
    <row r="174" spans="1:24">
      <c r="A174" s="456" t="s">
        <v>75</v>
      </c>
      <c r="B174" s="456">
        <v>2015</v>
      </c>
      <c r="C174" s="456" t="s">
        <v>80</v>
      </c>
      <c r="D174" s="456">
        <v>5</v>
      </c>
      <c r="E174" s="456">
        <v>120</v>
      </c>
      <c r="F174" s="456">
        <v>16</v>
      </c>
      <c r="T174" s="275"/>
      <c r="V174" s="275"/>
      <c r="W174" s="275"/>
      <c r="X174" s="275"/>
    </row>
    <row r="175" spans="1:24">
      <c r="A175" s="456" t="s">
        <v>75</v>
      </c>
      <c r="B175" s="456">
        <v>2015</v>
      </c>
      <c r="C175" s="456" t="s">
        <v>81</v>
      </c>
      <c r="D175" s="456">
        <v>6</v>
      </c>
      <c r="E175" s="456">
        <v>52</v>
      </c>
      <c r="F175" s="456">
        <v>76</v>
      </c>
      <c r="T175" s="275"/>
      <c r="V175" s="275"/>
      <c r="W175" s="275"/>
      <c r="X175" s="275"/>
    </row>
    <row r="176" spans="1:24">
      <c r="A176" s="456" t="s">
        <v>75</v>
      </c>
      <c r="B176" s="456">
        <v>2015</v>
      </c>
      <c r="C176" s="456" t="s">
        <v>82</v>
      </c>
      <c r="D176" s="456">
        <v>7</v>
      </c>
      <c r="E176" s="456">
        <v>29</v>
      </c>
      <c r="F176" s="456">
        <v>127</v>
      </c>
      <c r="T176" s="275"/>
      <c r="V176" s="275"/>
      <c r="W176" s="275"/>
      <c r="X176" s="275"/>
    </row>
    <row r="177" spans="1:24">
      <c r="A177" s="456" t="s">
        <v>75</v>
      </c>
      <c r="B177" s="456">
        <v>2015</v>
      </c>
      <c r="C177" s="456" t="s">
        <v>888</v>
      </c>
      <c r="D177" s="456">
        <v>8</v>
      </c>
      <c r="E177" s="456">
        <v>32</v>
      </c>
      <c r="F177" s="456">
        <v>115</v>
      </c>
      <c r="T177" s="275"/>
      <c r="V177" s="275"/>
      <c r="W177" s="275"/>
      <c r="X177" s="275"/>
    </row>
    <row r="178" spans="1:24">
      <c r="A178" s="456" t="s">
        <v>75</v>
      </c>
      <c r="B178" s="456">
        <v>2015</v>
      </c>
      <c r="C178" s="456" t="s">
        <v>83</v>
      </c>
      <c r="D178" s="456">
        <v>9</v>
      </c>
      <c r="E178" s="456">
        <v>97</v>
      </c>
      <c r="F178" s="456">
        <v>17</v>
      </c>
      <c r="T178" s="275"/>
      <c r="V178" s="275"/>
      <c r="W178" s="275"/>
      <c r="X178" s="275"/>
    </row>
    <row r="179" spans="1:24">
      <c r="A179" s="456" t="s">
        <v>75</v>
      </c>
      <c r="B179" s="456">
        <v>2015</v>
      </c>
      <c r="C179" s="456" t="s">
        <v>84</v>
      </c>
      <c r="D179" s="456">
        <v>10</v>
      </c>
      <c r="E179" s="456">
        <v>181</v>
      </c>
      <c r="F179" s="456">
        <v>3</v>
      </c>
      <c r="T179" s="275"/>
      <c r="V179" s="275"/>
      <c r="W179" s="275"/>
      <c r="X179" s="275"/>
    </row>
    <row r="180" spans="1:24">
      <c r="A180" s="456" t="s">
        <v>75</v>
      </c>
      <c r="B180" s="456">
        <v>2015</v>
      </c>
      <c r="C180" s="456" t="s">
        <v>85</v>
      </c>
      <c r="D180" s="456">
        <v>11</v>
      </c>
      <c r="E180" s="456">
        <v>191</v>
      </c>
      <c r="F180" s="456">
        <v>3</v>
      </c>
      <c r="T180" s="275"/>
      <c r="V180" s="275"/>
      <c r="W180" s="275"/>
      <c r="X180" s="275"/>
    </row>
    <row r="181" spans="1:24">
      <c r="A181" s="456" t="s">
        <v>75</v>
      </c>
      <c r="B181" s="456">
        <v>2015</v>
      </c>
      <c r="C181" s="456" t="s">
        <v>889</v>
      </c>
      <c r="D181" s="456">
        <v>12</v>
      </c>
      <c r="E181" s="456">
        <v>258</v>
      </c>
      <c r="F181" s="456">
        <v>0</v>
      </c>
      <c r="T181" s="275"/>
      <c r="V181" s="275"/>
      <c r="W181" s="275"/>
      <c r="X181" s="275"/>
    </row>
    <row r="182" spans="1:24">
      <c r="A182" s="456" t="s">
        <v>75</v>
      </c>
      <c r="B182" s="456">
        <v>2016</v>
      </c>
      <c r="C182" s="456" t="s">
        <v>73</v>
      </c>
      <c r="D182" s="456">
        <v>1</v>
      </c>
      <c r="E182" s="456">
        <v>348</v>
      </c>
      <c r="F182" s="456">
        <v>0</v>
      </c>
      <c r="T182" s="275"/>
      <c r="V182" s="275"/>
      <c r="W182" s="275"/>
      <c r="X182" s="275"/>
    </row>
    <row r="183" spans="1:24">
      <c r="A183" s="456" t="s">
        <v>75</v>
      </c>
      <c r="B183" s="456">
        <v>2016</v>
      </c>
      <c r="C183" s="456" t="s">
        <v>887</v>
      </c>
      <c r="D183" s="456">
        <v>2</v>
      </c>
      <c r="E183" s="456">
        <v>319</v>
      </c>
      <c r="F183" s="456">
        <v>0</v>
      </c>
      <c r="T183" s="275"/>
      <c r="V183" s="275"/>
      <c r="W183" s="275"/>
      <c r="X183" s="275"/>
    </row>
    <row r="184" spans="1:24">
      <c r="A184" s="456" t="s">
        <v>75</v>
      </c>
      <c r="B184" s="456">
        <v>2016</v>
      </c>
      <c r="C184" s="456" t="s">
        <v>77</v>
      </c>
      <c r="D184" s="456">
        <v>3</v>
      </c>
      <c r="E184" s="456">
        <v>328</v>
      </c>
      <c r="F184" s="456">
        <v>0</v>
      </c>
      <c r="T184" s="275"/>
      <c r="V184" s="275"/>
      <c r="W184" s="275"/>
      <c r="X184" s="275"/>
    </row>
    <row r="185" spans="1:24">
      <c r="A185" s="456" t="s">
        <v>75</v>
      </c>
      <c r="B185" s="456">
        <v>2016</v>
      </c>
      <c r="C185" s="456" t="s">
        <v>79</v>
      </c>
      <c r="D185" s="456">
        <v>4</v>
      </c>
      <c r="E185" s="456">
        <v>252</v>
      </c>
      <c r="F185" s="456">
        <v>2</v>
      </c>
      <c r="T185" s="275"/>
      <c r="V185" s="275"/>
      <c r="W185" s="275"/>
      <c r="X185" s="275"/>
    </row>
    <row r="186" spans="1:24">
      <c r="A186" s="456" t="s">
        <v>75</v>
      </c>
      <c r="B186" s="456">
        <v>2016</v>
      </c>
      <c r="C186" s="456" t="s">
        <v>80</v>
      </c>
      <c r="D186" s="456">
        <v>5</v>
      </c>
      <c r="E186" s="456">
        <v>126</v>
      </c>
      <c r="F186" s="456">
        <v>19</v>
      </c>
      <c r="T186" s="275"/>
      <c r="V186" s="275"/>
      <c r="W186" s="275"/>
      <c r="X186" s="275"/>
    </row>
    <row r="187" spans="1:24">
      <c r="A187" s="456" t="s">
        <v>75</v>
      </c>
      <c r="B187" s="456">
        <v>2016</v>
      </c>
      <c r="C187" s="456" t="s">
        <v>81</v>
      </c>
      <c r="D187" s="456">
        <v>6</v>
      </c>
      <c r="E187" s="456">
        <v>48</v>
      </c>
      <c r="F187" s="456">
        <v>42</v>
      </c>
      <c r="T187" s="275"/>
      <c r="V187" s="275"/>
      <c r="W187" s="275"/>
      <c r="X187" s="275"/>
    </row>
    <row r="188" spans="1:24">
      <c r="A188" s="456" t="s">
        <v>75</v>
      </c>
      <c r="B188" s="456">
        <v>2016</v>
      </c>
      <c r="C188" s="456" t="s">
        <v>82</v>
      </c>
      <c r="D188" s="456">
        <v>7</v>
      </c>
      <c r="E188" s="456">
        <v>32</v>
      </c>
      <c r="F188" s="456">
        <v>107</v>
      </c>
      <c r="T188" s="275"/>
      <c r="V188" s="275"/>
      <c r="W188" s="275"/>
      <c r="X188" s="275"/>
    </row>
    <row r="189" spans="1:24">
      <c r="A189" s="456" t="s">
        <v>75</v>
      </c>
      <c r="B189" s="456">
        <v>2016</v>
      </c>
      <c r="C189" s="456" t="s">
        <v>888</v>
      </c>
      <c r="D189" s="456">
        <v>8</v>
      </c>
      <c r="E189" s="456">
        <v>34</v>
      </c>
      <c r="F189" s="456">
        <v>131</v>
      </c>
      <c r="T189" s="275"/>
      <c r="V189" s="275"/>
      <c r="W189" s="275"/>
      <c r="X189" s="275"/>
    </row>
    <row r="190" spans="1:24">
      <c r="A190" s="456" t="s">
        <v>75</v>
      </c>
      <c r="B190" s="456">
        <v>2016</v>
      </c>
      <c r="C190" s="456" t="s">
        <v>83</v>
      </c>
      <c r="D190" s="456">
        <v>9</v>
      </c>
      <c r="E190" s="456">
        <v>43</v>
      </c>
      <c r="F190" s="456">
        <v>78</v>
      </c>
      <c r="T190" s="275"/>
      <c r="V190" s="275"/>
      <c r="W190" s="275"/>
      <c r="X190" s="275"/>
    </row>
    <row r="191" spans="1:24">
      <c r="A191" s="456" t="s">
        <v>75</v>
      </c>
      <c r="B191" s="456">
        <v>2016</v>
      </c>
      <c r="C191" s="456" t="s">
        <v>84</v>
      </c>
      <c r="D191" s="456">
        <v>10</v>
      </c>
      <c r="E191" s="456">
        <v>202</v>
      </c>
      <c r="F191" s="456">
        <v>2</v>
      </c>
      <c r="T191" s="275"/>
      <c r="V191" s="275"/>
      <c r="W191" s="275"/>
      <c r="X191" s="275"/>
    </row>
    <row r="192" spans="1:24">
      <c r="A192" s="456" t="s">
        <v>75</v>
      </c>
      <c r="B192" s="456">
        <v>2016</v>
      </c>
      <c r="C192" s="456" t="s">
        <v>85</v>
      </c>
      <c r="D192" s="456">
        <v>11</v>
      </c>
      <c r="E192" s="456">
        <v>289</v>
      </c>
      <c r="F192" s="456">
        <v>0</v>
      </c>
      <c r="T192" s="275"/>
      <c r="V192" s="275"/>
      <c r="W192" s="275"/>
      <c r="X192" s="275"/>
    </row>
    <row r="193" spans="1:24">
      <c r="A193" s="456" t="s">
        <v>75</v>
      </c>
      <c r="B193" s="456">
        <v>2016</v>
      </c>
      <c r="C193" s="456" t="s">
        <v>889</v>
      </c>
      <c r="D193" s="456">
        <v>12</v>
      </c>
      <c r="E193" s="456">
        <v>400</v>
      </c>
      <c r="F193" s="456">
        <v>0</v>
      </c>
      <c r="T193" s="275"/>
      <c r="V193" s="275"/>
      <c r="W193" s="275"/>
      <c r="X193" s="275"/>
    </row>
    <row r="194" spans="1:24">
      <c r="A194" s="456" t="s">
        <v>75</v>
      </c>
      <c r="B194" s="456">
        <v>2017</v>
      </c>
      <c r="C194" s="456" t="s">
        <v>73</v>
      </c>
      <c r="D194" s="456">
        <v>1</v>
      </c>
      <c r="E194" s="456">
        <v>455</v>
      </c>
      <c r="F194" s="456">
        <v>0</v>
      </c>
      <c r="T194" s="275"/>
      <c r="V194" s="275"/>
      <c r="W194" s="275"/>
      <c r="X194" s="275"/>
    </row>
    <row r="195" spans="1:24">
      <c r="A195" s="456" t="s">
        <v>75</v>
      </c>
      <c r="B195" s="456">
        <v>2017</v>
      </c>
      <c r="C195" s="456" t="s">
        <v>887</v>
      </c>
      <c r="D195" s="456">
        <v>2</v>
      </c>
      <c r="E195" s="456">
        <v>288</v>
      </c>
      <c r="F195" s="456">
        <v>0</v>
      </c>
      <c r="T195" s="275"/>
      <c r="V195" s="275"/>
      <c r="W195" s="275"/>
      <c r="X195" s="275"/>
    </row>
    <row r="196" spans="1:24">
      <c r="A196" s="456" t="s">
        <v>75</v>
      </c>
      <c r="B196" s="456">
        <v>2017</v>
      </c>
      <c r="C196" s="456" t="s">
        <v>77</v>
      </c>
      <c r="D196" s="456">
        <v>3</v>
      </c>
      <c r="E196" s="456">
        <v>224</v>
      </c>
      <c r="F196" s="456">
        <v>4</v>
      </c>
      <c r="T196" s="275"/>
      <c r="V196" s="275"/>
      <c r="W196" s="275"/>
      <c r="X196" s="275"/>
    </row>
    <row r="197" spans="1:24">
      <c r="A197" s="456" t="s">
        <v>75</v>
      </c>
      <c r="B197" s="456">
        <v>2017</v>
      </c>
      <c r="C197" s="456" t="s">
        <v>79</v>
      </c>
      <c r="D197" s="456">
        <v>4</v>
      </c>
      <c r="E197" s="456">
        <v>227</v>
      </c>
      <c r="F197" s="456">
        <v>5</v>
      </c>
      <c r="T197" s="275"/>
      <c r="V197" s="275"/>
      <c r="W197" s="275"/>
      <c r="X197" s="275"/>
    </row>
    <row r="198" spans="1:24">
      <c r="A198" s="456" t="s">
        <v>75</v>
      </c>
      <c r="B198" s="456">
        <v>2017</v>
      </c>
      <c r="C198" s="456" t="s">
        <v>80</v>
      </c>
      <c r="D198" s="456">
        <v>5</v>
      </c>
      <c r="E198" s="456">
        <v>98</v>
      </c>
      <c r="F198" s="456">
        <v>49</v>
      </c>
      <c r="T198" s="275"/>
      <c r="V198" s="275"/>
      <c r="W198" s="275"/>
      <c r="X198" s="275"/>
    </row>
    <row r="199" spans="1:24">
      <c r="A199" s="456" t="s">
        <v>75</v>
      </c>
      <c r="B199" s="456">
        <v>2017</v>
      </c>
      <c r="C199" s="456" t="s">
        <v>81</v>
      </c>
      <c r="D199" s="456">
        <v>6</v>
      </c>
      <c r="E199" s="456">
        <v>30</v>
      </c>
      <c r="F199" s="456">
        <v>118</v>
      </c>
      <c r="T199" s="275"/>
      <c r="V199" s="275"/>
      <c r="W199" s="275"/>
      <c r="X199" s="275"/>
    </row>
    <row r="200" spans="1:24">
      <c r="A200" s="456" t="s">
        <v>75</v>
      </c>
      <c r="B200" s="456">
        <v>2017</v>
      </c>
      <c r="C200" s="456" t="s">
        <v>82</v>
      </c>
      <c r="D200" s="456">
        <v>7</v>
      </c>
      <c r="E200" s="456">
        <v>23</v>
      </c>
      <c r="F200" s="456">
        <v>112</v>
      </c>
      <c r="T200" s="275"/>
      <c r="V200" s="275"/>
      <c r="W200" s="275"/>
      <c r="X200" s="275"/>
    </row>
    <row r="201" spans="1:24">
      <c r="A201" s="456" t="s">
        <v>75</v>
      </c>
      <c r="B201" s="456">
        <v>2017</v>
      </c>
      <c r="C201" s="456" t="s">
        <v>888</v>
      </c>
      <c r="D201" s="456">
        <v>8</v>
      </c>
      <c r="E201" s="456">
        <v>32</v>
      </c>
      <c r="F201" s="456">
        <v>100</v>
      </c>
      <c r="T201" s="275"/>
      <c r="V201" s="275"/>
      <c r="W201" s="275"/>
      <c r="X201" s="275"/>
    </row>
    <row r="202" spans="1:24">
      <c r="A202" s="456" t="s">
        <v>75</v>
      </c>
      <c r="B202" s="456">
        <v>2017</v>
      </c>
      <c r="C202" s="456" t="s">
        <v>83</v>
      </c>
      <c r="D202" s="456">
        <v>9</v>
      </c>
      <c r="E202" s="456">
        <v>82</v>
      </c>
      <c r="F202" s="456">
        <v>19</v>
      </c>
      <c r="T202" s="275"/>
      <c r="V202" s="275"/>
      <c r="W202" s="275"/>
      <c r="X202" s="275"/>
    </row>
    <row r="203" spans="1:24">
      <c r="A203" s="456" t="s">
        <v>75</v>
      </c>
      <c r="B203" s="456">
        <v>2017</v>
      </c>
      <c r="C203" s="456" t="s">
        <v>84</v>
      </c>
      <c r="D203" s="456">
        <v>10</v>
      </c>
      <c r="E203" s="456">
        <v>126</v>
      </c>
      <c r="F203" s="456">
        <v>14</v>
      </c>
      <c r="T203" s="275"/>
      <c r="V203" s="275"/>
      <c r="W203" s="275"/>
      <c r="X203" s="275"/>
    </row>
    <row r="204" spans="1:24">
      <c r="A204" s="456" t="s">
        <v>75</v>
      </c>
      <c r="B204" s="456">
        <v>2017</v>
      </c>
      <c r="C204" s="456" t="s">
        <v>85</v>
      </c>
      <c r="D204" s="456">
        <v>11</v>
      </c>
      <c r="E204" s="456">
        <v>288</v>
      </c>
      <c r="F204" s="456">
        <v>0</v>
      </c>
      <c r="T204" s="275"/>
      <c r="V204" s="275"/>
      <c r="W204" s="275"/>
      <c r="X204" s="275"/>
    </row>
    <row r="205" spans="1:24">
      <c r="A205" s="456" t="s">
        <v>75</v>
      </c>
      <c r="B205" s="456">
        <v>2017</v>
      </c>
      <c r="C205" s="456" t="s">
        <v>889</v>
      </c>
      <c r="D205" s="456">
        <v>12</v>
      </c>
      <c r="E205" s="456">
        <v>365</v>
      </c>
      <c r="F205" s="456">
        <v>0</v>
      </c>
      <c r="T205" s="275"/>
      <c r="V205" s="275"/>
      <c r="W205" s="275"/>
      <c r="X205" s="275"/>
    </row>
    <row r="206" spans="1:24">
      <c r="A206" s="456" t="s">
        <v>75</v>
      </c>
      <c r="B206" s="456">
        <v>2018</v>
      </c>
      <c r="C206" s="456" t="s">
        <v>73</v>
      </c>
      <c r="D206" s="456">
        <v>1</v>
      </c>
      <c r="E206" s="456">
        <v>298</v>
      </c>
      <c r="F206" s="456">
        <v>0</v>
      </c>
      <c r="T206" s="275"/>
      <c r="V206" s="275"/>
      <c r="W206" s="275"/>
      <c r="X206" s="275"/>
    </row>
    <row r="207" spans="1:24">
      <c r="A207" s="456" t="s">
        <v>75</v>
      </c>
      <c r="B207" s="456">
        <v>2018</v>
      </c>
      <c r="C207" s="456" t="s">
        <v>887</v>
      </c>
      <c r="D207" s="456">
        <v>2</v>
      </c>
      <c r="E207" s="456">
        <v>414</v>
      </c>
      <c r="F207" s="456">
        <v>0</v>
      </c>
      <c r="T207" s="275"/>
      <c r="V207" s="275"/>
      <c r="W207" s="275"/>
      <c r="X207" s="275"/>
    </row>
    <row r="208" spans="1:24">
      <c r="A208" s="456" t="s">
        <v>75</v>
      </c>
      <c r="B208" s="456">
        <v>2018</v>
      </c>
      <c r="C208" s="456" t="s">
        <v>77</v>
      </c>
      <c r="D208" s="456">
        <v>3</v>
      </c>
      <c r="E208" s="456">
        <v>305</v>
      </c>
      <c r="F208" s="456">
        <v>0</v>
      </c>
      <c r="T208" s="275"/>
      <c r="V208" s="275"/>
      <c r="W208" s="275"/>
      <c r="X208" s="275"/>
    </row>
    <row r="209" spans="1:24">
      <c r="A209" s="456" t="s">
        <v>75</v>
      </c>
      <c r="B209" s="456">
        <v>2018</v>
      </c>
      <c r="C209" s="456" t="s">
        <v>79</v>
      </c>
      <c r="D209" s="456">
        <v>4</v>
      </c>
      <c r="E209" s="456">
        <v>152</v>
      </c>
      <c r="F209" s="456">
        <v>20</v>
      </c>
      <c r="T209" s="275"/>
      <c r="V209" s="275"/>
      <c r="W209" s="275"/>
      <c r="X209" s="275"/>
    </row>
    <row r="210" spans="1:24">
      <c r="A210" s="456" t="s">
        <v>75</v>
      </c>
      <c r="B210" s="456">
        <v>2018</v>
      </c>
      <c r="C210" s="456" t="s">
        <v>80</v>
      </c>
      <c r="D210" s="456">
        <v>5</v>
      </c>
      <c r="E210" s="456">
        <v>96</v>
      </c>
      <c r="F210" s="456">
        <v>49</v>
      </c>
      <c r="T210" s="275"/>
      <c r="V210" s="275"/>
      <c r="W210" s="275"/>
      <c r="X210" s="275"/>
    </row>
    <row r="211" spans="1:24">
      <c r="A211" s="456" t="s">
        <v>75</v>
      </c>
      <c r="B211" s="456">
        <v>2018</v>
      </c>
      <c r="C211" s="456" t="s">
        <v>81</v>
      </c>
      <c r="D211" s="456">
        <v>6</v>
      </c>
      <c r="E211" s="456">
        <v>25</v>
      </c>
      <c r="F211" s="456">
        <v>82</v>
      </c>
      <c r="T211" s="275"/>
      <c r="V211" s="275"/>
      <c r="W211" s="275"/>
      <c r="X211" s="275"/>
    </row>
    <row r="212" spans="1:24">
      <c r="A212" s="456" t="s">
        <v>75</v>
      </c>
      <c r="B212" s="456">
        <v>2018</v>
      </c>
      <c r="C212" s="456" t="s">
        <v>82</v>
      </c>
      <c r="D212" s="456">
        <v>7</v>
      </c>
      <c r="E212" s="456">
        <v>6</v>
      </c>
      <c r="F212" s="456">
        <v>169</v>
      </c>
      <c r="T212" s="275"/>
      <c r="V212" s="275"/>
      <c r="W212" s="275"/>
      <c r="X212" s="275"/>
    </row>
    <row r="213" spans="1:24">
      <c r="A213" s="456" t="s">
        <v>75</v>
      </c>
      <c r="B213" s="456">
        <v>2018</v>
      </c>
      <c r="C213" s="456" t="s">
        <v>888</v>
      </c>
      <c r="D213" s="456">
        <v>8</v>
      </c>
      <c r="E213" s="456">
        <v>26</v>
      </c>
      <c r="F213" s="456">
        <v>126</v>
      </c>
      <c r="T213" s="275"/>
      <c r="V213" s="275"/>
      <c r="W213" s="275"/>
      <c r="X213" s="275"/>
    </row>
    <row r="214" spans="1:24">
      <c r="A214" s="456" t="s">
        <v>75</v>
      </c>
      <c r="B214" s="456">
        <v>2018</v>
      </c>
      <c r="C214" s="456" t="s">
        <v>83</v>
      </c>
      <c r="D214" s="456">
        <v>9</v>
      </c>
      <c r="E214" s="456">
        <v>73</v>
      </c>
      <c r="F214" s="456">
        <v>59</v>
      </c>
      <c r="T214" s="275"/>
      <c r="V214" s="275"/>
      <c r="W214" s="275"/>
      <c r="X214" s="275"/>
    </row>
    <row r="215" spans="1:24">
      <c r="A215" s="456" t="s">
        <v>75</v>
      </c>
      <c r="B215" s="456">
        <v>2018</v>
      </c>
      <c r="C215" s="456" t="s">
        <v>84</v>
      </c>
      <c r="D215" s="456">
        <v>10</v>
      </c>
      <c r="E215" s="456">
        <v>157</v>
      </c>
      <c r="F215" s="456">
        <v>24</v>
      </c>
      <c r="T215" s="275"/>
      <c r="V215" s="275"/>
      <c r="W215" s="275"/>
      <c r="X215" s="275"/>
    </row>
    <row r="216" spans="1:24">
      <c r="A216" s="456" t="s">
        <v>75</v>
      </c>
      <c r="B216" s="456">
        <v>2018</v>
      </c>
      <c r="C216" s="456" t="s">
        <v>85</v>
      </c>
      <c r="D216" s="456">
        <v>11</v>
      </c>
      <c r="E216" s="456">
        <v>277</v>
      </c>
      <c r="F216" s="456">
        <v>0</v>
      </c>
      <c r="T216" s="275"/>
      <c r="V216" s="275"/>
      <c r="W216" s="275"/>
      <c r="X216" s="275"/>
    </row>
    <row r="217" spans="1:24">
      <c r="A217" s="456" t="s">
        <v>75</v>
      </c>
      <c r="B217" s="456">
        <v>2018</v>
      </c>
      <c r="C217" s="456" t="s">
        <v>889</v>
      </c>
      <c r="D217" s="456">
        <v>12</v>
      </c>
      <c r="E217" s="456">
        <v>318</v>
      </c>
      <c r="F217" s="456">
        <v>0</v>
      </c>
      <c r="T217" s="275"/>
      <c r="V217" s="275"/>
      <c r="W217" s="275"/>
      <c r="X217" s="275"/>
    </row>
    <row r="218" spans="1:24">
      <c r="A218" s="456" t="s">
        <v>75</v>
      </c>
      <c r="B218" s="456">
        <v>2019</v>
      </c>
      <c r="C218" s="456" t="s">
        <v>73</v>
      </c>
      <c r="D218" s="456">
        <v>1</v>
      </c>
      <c r="E218" s="456">
        <v>402</v>
      </c>
      <c r="F218" s="456">
        <v>0</v>
      </c>
      <c r="T218" s="275"/>
      <c r="V218" s="275"/>
      <c r="W218" s="275"/>
      <c r="X218" s="275"/>
    </row>
    <row r="219" spans="1:24">
      <c r="A219" s="456" t="s">
        <v>75</v>
      </c>
      <c r="B219" s="456">
        <v>2019</v>
      </c>
      <c r="C219" s="456" t="s">
        <v>887</v>
      </c>
      <c r="D219" s="456">
        <v>2</v>
      </c>
      <c r="E219" s="456">
        <v>297</v>
      </c>
      <c r="F219" s="456">
        <v>1</v>
      </c>
      <c r="T219" s="275"/>
      <c r="V219" s="275"/>
      <c r="W219" s="275"/>
      <c r="X219" s="275"/>
    </row>
    <row r="220" spans="1:24">
      <c r="A220" s="456" t="s">
        <v>75</v>
      </c>
      <c r="B220" s="456">
        <v>2019</v>
      </c>
      <c r="C220" s="456" t="s">
        <v>77</v>
      </c>
      <c r="D220" s="456">
        <v>3</v>
      </c>
      <c r="E220" s="456">
        <v>260</v>
      </c>
      <c r="F220" s="456">
        <v>1</v>
      </c>
      <c r="T220" s="275"/>
      <c r="V220" s="275"/>
      <c r="W220" s="275"/>
      <c r="X220" s="275"/>
    </row>
    <row r="221" spans="1:24">
      <c r="A221" s="456" t="s">
        <v>75</v>
      </c>
      <c r="B221" s="456">
        <v>2019</v>
      </c>
      <c r="C221" s="456" t="s">
        <v>79</v>
      </c>
      <c r="D221" s="456">
        <v>4</v>
      </c>
      <c r="E221" s="456">
        <v>201</v>
      </c>
      <c r="F221" s="456">
        <v>12</v>
      </c>
      <c r="T221" s="275"/>
      <c r="V221" s="275"/>
      <c r="W221" s="275"/>
      <c r="X221" s="275"/>
    </row>
    <row r="222" spans="1:24">
      <c r="A222" s="456" t="s">
        <v>75</v>
      </c>
      <c r="B222" s="456">
        <v>2019</v>
      </c>
      <c r="C222" s="456" t="s">
        <v>80</v>
      </c>
      <c r="D222" s="456">
        <v>5</v>
      </c>
      <c r="E222" s="456">
        <v>146</v>
      </c>
      <c r="F222" s="456">
        <v>14</v>
      </c>
      <c r="T222" s="275"/>
      <c r="V222" s="275"/>
      <c r="W222" s="275"/>
      <c r="X222" s="275"/>
    </row>
    <row r="223" spans="1:24">
      <c r="A223" s="456" t="s">
        <v>75</v>
      </c>
      <c r="B223" s="456">
        <v>2019</v>
      </c>
      <c r="C223" s="456" t="s">
        <v>81</v>
      </c>
      <c r="D223" s="456">
        <v>6</v>
      </c>
      <c r="E223" s="456">
        <v>54</v>
      </c>
      <c r="F223" s="456">
        <v>102</v>
      </c>
      <c r="T223" s="275"/>
      <c r="V223" s="275"/>
      <c r="W223" s="275"/>
      <c r="X223" s="275"/>
    </row>
    <row r="224" spans="1:24">
      <c r="A224" s="456" t="s">
        <v>75</v>
      </c>
      <c r="B224" s="456">
        <v>2019</v>
      </c>
      <c r="C224" s="456" t="s">
        <v>82</v>
      </c>
      <c r="D224" s="456">
        <v>7</v>
      </c>
      <c r="E224" s="456">
        <v>16</v>
      </c>
      <c r="F224" s="456">
        <v>158</v>
      </c>
      <c r="T224" s="275"/>
      <c r="V224" s="275"/>
      <c r="W224" s="275"/>
      <c r="X224" s="275"/>
    </row>
    <row r="225" spans="1:24">
      <c r="A225" s="456" t="s">
        <v>75</v>
      </c>
      <c r="B225" s="456">
        <v>2019</v>
      </c>
      <c r="C225" s="456" t="s">
        <v>888</v>
      </c>
      <c r="D225" s="456">
        <v>8</v>
      </c>
      <c r="E225" s="456">
        <v>30</v>
      </c>
      <c r="F225" s="456">
        <v>108</v>
      </c>
      <c r="T225" s="275"/>
      <c r="V225" s="275"/>
      <c r="W225" s="275"/>
      <c r="X225" s="275"/>
    </row>
    <row r="226" spans="1:24">
      <c r="A226" s="456" t="s">
        <v>75</v>
      </c>
      <c r="B226" s="456">
        <v>2019</v>
      </c>
      <c r="C226" s="456" t="s">
        <v>83</v>
      </c>
      <c r="D226" s="456">
        <v>9</v>
      </c>
      <c r="E226" s="456">
        <v>65</v>
      </c>
      <c r="F226" s="456">
        <v>47</v>
      </c>
      <c r="T226" s="275"/>
      <c r="V226" s="275"/>
      <c r="W226" s="275"/>
      <c r="X226" s="275"/>
    </row>
    <row r="227" spans="1:24">
      <c r="A227" s="456" t="s">
        <v>75</v>
      </c>
      <c r="B227" s="456">
        <v>2019</v>
      </c>
      <c r="C227" s="456" t="s">
        <v>84</v>
      </c>
      <c r="D227" s="456">
        <v>10</v>
      </c>
      <c r="E227" s="456">
        <v>128</v>
      </c>
      <c r="F227" s="456">
        <v>9</v>
      </c>
      <c r="T227" s="275"/>
      <c r="V227" s="275"/>
      <c r="W227" s="275"/>
      <c r="X227" s="275"/>
    </row>
    <row r="228" spans="1:24">
      <c r="A228" s="456" t="s">
        <v>75</v>
      </c>
      <c r="B228" s="456">
        <v>2019</v>
      </c>
      <c r="C228" s="456" t="s">
        <v>85</v>
      </c>
      <c r="D228" s="456">
        <v>11</v>
      </c>
      <c r="E228" s="456">
        <v>292</v>
      </c>
      <c r="F228" s="456">
        <v>0</v>
      </c>
      <c r="T228" s="275"/>
      <c r="V228" s="275"/>
      <c r="W228" s="275"/>
      <c r="X228" s="275"/>
    </row>
    <row r="229" spans="1:24">
      <c r="A229" s="456" t="s">
        <v>75</v>
      </c>
      <c r="B229" s="456">
        <v>2019</v>
      </c>
      <c r="C229" s="456" t="s">
        <v>889</v>
      </c>
      <c r="D229" s="456">
        <v>12</v>
      </c>
      <c r="E229" s="456">
        <v>322</v>
      </c>
      <c r="F229" s="456">
        <v>0</v>
      </c>
      <c r="T229" s="275"/>
      <c r="V229" s="275"/>
      <c r="W229" s="275"/>
      <c r="X229" s="275"/>
    </row>
    <row r="230" spans="1:24">
      <c r="A230" s="456" t="s">
        <v>75</v>
      </c>
      <c r="B230" s="456">
        <v>2020</v>
      </c>
      <c r="C230" s="456" t="s">
        <v>73</v>
      </c>
      <c r="D230" s="456">
        <v>1</v>
      </c>
      <c r="E230" s="456">
        <v>331</v>
      </c>
      <c r="F230" s="456">
        <v>0</v>
      </c>
      <c r="T230" s="275"/>
      <c r="V230" s="275"/>
      <c r="W230" s="275"/>
      <c r="X230" s="275"/>
    </row>
    <row r="231" spans="1:24">
      <c r="A231" s="456" t="s">
        <v>75</v>
      </c>
      <c r="B231" s="456">
        <v>2020</v>
      </c>
      <c r="C231" s="456" t="s">
        <v>887</v>
      </c>
      <c r="D231" s="456">
        <v>2</v>
      </c>
      <c r="E231" s="456">
        <v>251</v>
      </c>
      <c r="F231" s="456">
        <v>0</v>
      </c>
      <c r="T231" s="275"/>
      <c r="V231" s="275"/>
      <c r="W231" s="275"/>
      <c r="X231" s="275"/>
    </row>
    <row r="232" spans="1:24">
      <c r="A232" s="456" t="s">
        <v>75</v>
      </c>
      <c r="B232" s="456">
        <v>2020</v>
      </c>
      <c r="C232" s="456" t="s">
        <v>77</v>
      </c>
      <c r="D232" s="456">
        <v>3</v>
      </c>
      <c r="E232" s="456">
        <v>272</v>
      </c>
      <c r="F232" s="456">
        <v>1</v>
      </c>
      <c r="T232" s="275"/>
      <c r="V232" s="275"/>
      <c r="W232" s="275"/>
      <c r="X232" s="275"/>
    </row>
    <row r="233" spans="1:24">
      <c r="A233" s="456" t="s">
        <v>75</v>
      </c>
      <c r="B233" s="456">
        <v>2020</v>
      </c>
      <c r="C233" s="456" t="s">
        <v>79</v>
      </c>
      <c r="D233" s="456">
        <v>4</v>
      </c>
      <c r="E233" s="456">
        <v>126</v>
      </c>
      <c r="F233" s="456">
        <v>27</v>
      </c>
      <c r="T233" s="275"/>
      <c r="V233" s="275"/>
      <c r="W233" s="275"/>
      <c r="X233" s="275"/>
    </row>
    <row r="234" spans="1:24">
      <c r="A234" s="456" t="s">
        <v>75</v>
      </c>
      <c r="B234" s="456">
        <v>2020</v>
      </c>
      <c r="C234" s="456" t="s">
        <v>80</v>
      </c>
      <c r="D234" s="456">
        <v>5</v>
      </c>
      <c r="E234" s="456">
        <v>92</v>
      </c>
      <c r="F234" s="456">
        <v>45</v>
      </c>
      <c r="T234" s="275"/>
      <c r="V234" s="275"/>
      <c r="W234" s="275"/>
      <c r="X234" s="275"/>
    </row>
    <row r="235" spans="1:24">
      <c r="A235" s="456" t="s">
        <v>75</v>
      </c>
      <c r="B235" s="456">
        <v>2020</v>
      </c>
      <c r="C235" s="456" t="s">
        <v>81</v>
      </c>
      <c r="D235" s="456">
        <v>6</v>
      </c>
      <c r="E235" s="456">
        <v>55</v>
      </c>
      <c r="F235" s="456">
        <v>59</v>
      </c>
      <c r="T235" s="275"/>
      <c r="V235" s="275"/>
      <c r="W235" s="275"/>
      <c r="X235" s="275"/>
    </row>
    <row r="236" spans="1:24">
      <c r="A236" s="456" t="s">
        <v>75</v>
      </c>
      <c r="B236" s="456">
        <v>2020</v>
      </c>
      <c r="C236" s="456" t="s">
        <v>82</v>
      </c>
      <c r="D236" s="456">
        <v>7</v>
      </c>
      <c r="E236" s="456">
        <v>32</v>
      </c>
      <c r="F236" s="456">
        <v>107</v>
      </c>
      <c r="T236" s="275"/>
      <c r="V236" s="275"/>
      <c r="W236" s="275"/>
      <c r="X236" s="275"/>
    </row>
    <row r="237" spans="1:24">
      <c r="A237" s="456" t="s">
        <v>75</v>
      </c>
      <c r="B237" s="456">
        <v>2020</v>
      </c>
      <c r="C237" s="456" t="s">
        <v>888</v>
      </c>
      <c r="D237" s="456">
        <v>8</v>
      </c>
      <c r="E237" s="456">
        <v>28</v>
      </c>
      <c r="F237" s="456">
        <v>143</v>
      </c>
      <c r="T237" s="275"/>
      <c r="V237" s="275"/>
      <c r="W237" s="275"/>
      <c r="X237" s="275"/>
    </row>
    <row r="238" spans="1:24">
      <c r="A238" s="456" t="s">
        <v>75</v>
      </c>
      <c r="B238" s="456">
        <v>2020</v>
      </c>
      <c r="C238" s="456" t="s">
        <v>83</v>
      </c>
      <c r="D238" s="456">
        <v>9</v>
      </c>
      <c r="E238" s="456">
        <v>56</v>
      </c>
      <c r="F238" s="456">
        <v>84</v>
      </c>
      <c r="T238" s="275"/>
      <c r="V238" s="275"/>
      <c r="W238" s="275"/>
      <c r="X238" s="275"/>
    </row>
    <row r="239" spans="1:24">
      <c r="A239" s="456" t="s">
        <v>75</v>
      </c>
      <c r="B239" s="456">
        <v>2020</v>
      </c>
      <c r="C239" s="456" t="s">
        <v>84</v>
      </c>
      <c r="D239" s="456">
        <v>10</v>
      </c>
      <c r="E239" s="456">
        <v>158</v>
      </c>
      <c r="F239" s="456">
        <v>2</v>
      </c>
      <c r="T239" s="275"/>
      <c r="V239" s="275"/>
      <c r="W239" s="275"/>
      <c r="X239" s="275"/>
    </row>
    <row r="240" spans="1:24">
      <c r="A240" s="456" t="s">
        <v>75</v>
      </c>
      <c r="B240" s="456">
        <v>2020</v>
      </c>
      <c r="C240" s="456" t="s">
        <v>85</v>
      </c>
      <c r="D240" s="456">
        <v>11</v>
      </c>
      <c r="E240" s="456">
        <v>237</v>
      </c>
      <c r="F240" s="456">
        <v>0</v>
      </c>
      <c r="T240" s="275"/>
      <c r="V240" s="275"/>
      <c r="W240" s="275"/>
      <c r="X240" s="275"/>
    </row>
    <row r="241" spans="1:24">
      <c r="A241" s="456" t="s">
        <v>75</v>
      </c>
      <c r="B241" s="456">
        <v>2020</v>
      </c>
      <c r="C241" s="456" t="s">
        <v>889</v>
      </c>
      <c r="D241" s="456">
        <v>12</v>
      </c>
      <c r="E241" s="456">
        <v>333</v>
      </c>
      <c r="F241" s="456">
        <v>0</v>
      </c>
      <c r="T241" s="275"/>
      <c r="V241" s="275"/>
      <c r="W241" s="275"/>
      <c r="X241" s="275"/>
    </row>
    <row r="242" spans="1:24">
      <c r="A242" s="456" t="s">
        <v>75</v>
      </c>
      <c r="B242" s="456">
        <v>2021</v>
      </c>
      <c r="C242" s="456" t="s">
        <v>73</v>
      </c>
      <c r="D242" s="456">
        <v>1</v>
      </c>
      <c r="E242" s="456">
        <v>406</v>
      </c>
      <c r="F242" s="456">
        <v>0</v>
      </c>
      <c r="T242" s="275"/>
      <c r="V242" s="275"/>
      <c r="W242" s="275"/>
      <c r="X242" s="275"/>
    </row>
    <row r="243" spans="1:24">
      <c r="A243" s="456" t="s">
        <v>75</v>
      </c>
      <c r="B243" s="456">
        <v>2021</v>
      </c>
      <c r="C243" s="456" t="s">
        <v>887</v>
      </c>
      <c r="D243" s="456">
        <v>2</v>
      </c>
      <c r="E243" s="456">
        <v>299</v>
      </c>
      <c r="F243" s="456">
        <v>0</v>
      </c>
      <c r="T243" s="275"/>
      <c r="V243" s="275"/>
      <c r="W243" s="275"/>
      <c r="X243" s="275"/>
    </row>
    <row r="244" spans="1:24">
      <c r="A244" s="456" t="s">
        <v>75</v>
      </c>
      <c r="B244" s="456">
        <v>2021</v>
      </c>
      <c r="C244" s="456" t="s">
        <v>77</v>
      </c>
      <c r="D244" s="456">
        <v>3</v>
      </c>
      <c r="E244" s="456">
        <v>303</v>
      </c>
      <c r="F244" s="456">
        <v>5</v>
      </c>
      <c r="T244" s="275"/>
      <c r="V244" s="275"/>
      <c r="W244" s="275"/>
      <c r="X244" s="275"/>
    </row>
    <row r="245" spans="1:24">
      <c r="A245" s="456" t="s">
        <v>75</v>
      </c>
      <c r="B245" s="456">
        <v>2021</v>
      </c>
      <c r="C245" s="456" t="s">
        <v>79</v>
      </c>
      <c r="D245" s="456">
        <v>4</v>
      </c>
      <c r="E245" s="456">
        <v>242</v>
      </c>
      <c r="F245" s="456">
        <v>6</v>
      </c>
      <c r="T245" s="275"/>
      <c r="V245" s="275"/>
      <c r="W245" s="275"/>
      <c r="X245" s="275"/>
    </row>
    <row r="246" spans="1:24">
      <c r="A246" s="456" t="s">
        <v>75</v>
      </c>
      <c r="B246" s="456">
        <v>2021</v>
      </c>
      <c r="C246" s="456" t="s">
        <v>80</v>
      </c>
      <c r="D246" s="456">
        <v>5</v>
      </c>
      <c r="E246" s="456">
        <v>159</v>
      </c>
      <c r="F246" s="456">
        <v>11</v>
      </c>
      <c r="T246" s="275"/>
      <c r="V246" s="275"/>
      <c r="W246" s="275"/>
      <c r="X246" s="275"/>
    </row>
    <row r="247" spans="1:24">
      <c r="A247" s="456" t="s">
        <v>75</v>
      </c>
      <c r="B247" s="456">
        <v>2021</v>
      </c>
      <c r="C247" s="456" t="s">
        <v>81</v>
      </c>
      <c r="D247" s="456">
        <v>6</v>
      </c>
      <c r="E247" s="456">
        <v>33</v>
      </c>
      <c r="F247" s="456">
        <v>76</v>
      </c>
      <c r="T247" s="275"/>
      <c r="V247" s="275"/>
      <c r="W247" s="275"/>
      <c r="X247" s="275"/>
    </row>
    <row r="248" spans="1:24">
      <c r="A248" s="456" t="s">
        <v>75</v>
      </c>
      <c r="B248" s="456">
        <v>2021</v>
      </c>
      <c r="C248" s="456" t="s">
        <v>82</v>
      </c>
      <c r="D248" s="456">
        <v>7</v>
      </c>
      <c r="E248" s="456">
        <v>22</v>
      </c>
      <c r="F248" s="456">
        <v>87</v>
      </c>
      <c r="T248" s="275"/>
      <c r="V248" s="275"/>
      <c r="W248" s="275"/>
      <c r="X248" s="275"/>
    </row>
    <row r="249" spans="1:24">
      <c r="A249" s="456" t="s">
        <v>75</v>
      </c>
      <c r="B249" s="456">
        <v>2021</v>
      </c>
      <c r="C249" s="456" t="s">
        <v>888</v>
      </c>
      <c r="D249" s="456">
        <v>8</v>
      </c>
      <c r="E249" s="456">
        <v>36</v>
      </c>
      <c r="F249" s="456">
        <v>61</v>
      </c>
      <c r="T249" s="275"/>
      <c r="V249" s="275"/>
      <c r="W249" s="275"/>
      <c r="X249" s="275"/>
    </row>
    <row r="250" spans="1:24">
      <c r="A250" s="456" t="s">
        <v>75</v>
      </c>
      <c r="B250" s="456">
        <v>2021</v>
      </c>
      <c r="C250" s="456" t="s">
        <v>83</v>
      </c>
      <c r="D250" s="456">
        <v>9</v>
      </c>
      <c r="E250" s="456">
        <v>48</v>
      </c>
      <c r="F250" s="456">
        <v>73</v>
      </c>
      <c r="T250" s="275"/>
      <c r="V250" s="275"/>
      <c r="W250" s="275"/>
      <c r="X250" s="275"/>
    </row>
    <row r="251" spans="1:24">
      <c r="A251" s="456" t="s">
        <v>75</v>
      </c>
      <c r="B251" s="456">
        <v>2021</v>
      </c>
      <c r="C251" s="456" t="s">
        <v>84</v>
      </c>
      <c r="D251" s="456">
        <v>10</v>
      </c>
      <c r="E251" s="456">
        <v>170</v>
      </c>
      <c r="F251" s="456">
        <v>5</v>
      </c>
      <c r="T251" s="275"/>
      <c r="V251" s="275"/>
      <c r="W251" s="275"/>
      <c r="X251" s="275"/>
    </row>
    <row r="252" spans="1:24">
      <c r="A252" s="456" t="s">
        <v>75</v>
      </c>
      <c r="B252" s="456">
        <v>2021</v>
      </c>
      <c r="C252" s="456" t="s">
        <v>85</v>
      </c>
      <c r="D252" s="456">
        <v>11</v>
      </c>
      <c r="E252" s="456">
        <v>326</v>
      </c>
      <c r="F252" s="456">
        <v>0</v>
      </c>
      <c r="T252" s="275"/>
      <c r="V252" s="275"/>
      <c r="W252" s="275"/>
      <c r="X252" s="275"/>
    </row>
    <row r="253" spans="1:24">
      <c r="A253" s="456" t="s">
        <v>75</v>
      </c>
      <c r="B253" s="456">
        <v>2021</v>
      </c>
      <c r="C253" s="456" t="s">
        <v>889</v>
      </c>
      <c r="D253" s="456">
        <v>12</v>
      </c>
      <c r="E253" s="456">
        <v>336</v>
      </c>
      <c r="F253" s="456">
        <v>0</v>
      </c>
      <c r="T253" s="275"/>
      <c r="V253" s="275"/>
      <c r="W253" s="275"/>
      <c r="X253" s="275"/>
    </row>
    <row r="254" spans="1:24">
      <c r="A254" s="456" t="s">
        <v>75</v>
      </c>
      <c r="B254" s="456">
        <v>2022</v>
      </c>
      <c r="C254" s="456" t="s">
        <v>73</v>
      </c>
      <c r="D254" s="456">
        <v>1</v>
      </c>
      <c r="E254" s="456">
        <v>396</v>
      </c>
      <c r="F254" s="456">
        <v>0</v>
      </c>
      <c r="T254" s="275"/>
      <c r="V254" s="275"/>
      <c r="W254" s="275"/>
      <c r="X254" s="275"/>
    </row>
    <row r="255" spans="1:24">
      <c r="A255" s="456" t="s">
        <v>75</v>
      </c>
      <c r="B255" s="456">
        <v>2022</v>
      </c>
      <c r="C255" s="456" t="s">
        <v>887</v>
      </c>
      <c r="D255" s="456">
        <v>2</v>
      </c>
      <c r="E255" s="456">
        <v>285</v>
      </c>
      <c r="F255" s="456">
        <v>0</v>
      </c>
      <c r="T255" s="275"/>
      <c r="V255" s="275"/>
      <c r="W255" s="275"/>
      <c r="X255" s="275"/>
    </row>
    <row r="256" spans="1:24">
      <c r="A256" s="456" t="s">
        <v>75</v>
      </c>
      <c r="B256" s="456">
        <v>2022</v>
      </c>
      <c r="C256" s="456" t="s">
        <v>77</v>
      </c>
      <c r="D256" s="456">
        <v>3</v>
      </c>
      <c r="E256" s="456">
        <v>239</v>
      </c>
      <c r="F256" s="456">
        <v>3</v>
      </c>
      <c r="T256" s="275"/>
      <c r="V256" s="275"/>
      <c r="W256" s="275"/>
      <c r="X256" s="275"/>
    </row>
    <row r="257" spans="1:24">
      <c r="A257" s="456" t="s">
        <v>75</v>
      </c>
      <c r="B257" s="456">
        <v>2022</v>
      </c>
      <c r="C257" s="456" t="s">
        <v>79</v>
      </c>
      <c r="D257" s="456">
        <v>4</v>
      </c>
      <c r="E257" s="456">
        <v>192</v>
      </c>
      <c r="F257" s="456">
        <v>8</v>
      </c>
      <c r="T257" s="275"/>
      <c r="V257" s="275"/>
      <c r="W257" s="275"/>
      <c r="X257" s="275"/>
    </row>
    <row r="258" spans="1:24">
      <c r="A258" s="456" t="s">
        <v>75</v>
      </c>
      <c r="B258" s="456">
        <v>2022</v>
      </c>
      <c r="C258" s="456" t="s">
        <v>80</v>
      </c>
      <c r="D258" s="456">
        <v>5</v>
      </c>
      <c r="E258" s="456">
        <v>80</v>
      </c>
      <c r="F258" s="456">
        <v>50</v>
      </c>
      <c r="T258" s="275"/>
      <c r="V258" s="275"/>
      <c r="W258" s="275"/>
      <c r="X258" s="275"/>
    </row>
    <row r="259" spans="1:24">
      <c r="A259" s="456" t="s">
        <v>75</v>
      </c>
      <c r="B259" s="456">
        <v>2022</v>
      </c>
      <c r="C259" s="456" t="s">
        <v>81</v>
      </c>
      <c r="D259" s="456">
        <v>6</v>
      </c>
      <c r="E259" s="456">
        <v>37</v>
      </c>
      <c r="F259" s="456">
        <v>92</v>
      </c>
      <c r="T259" s="275"/>
      <c r="V259" s="275"/>
      <c r="W259" s="275"/>
      <c r="X259" s="275"/>
    </row>
    <row r="260" spans="1:24">
      <c r="A260" s="456" t="s">
        <v>75</v>
      </c>
      <c r="B260" s="456">
        <v>2022</v>
      </c>
      <c r="C260" s="456" t="s">
        <v>82</v>
      </c>
      <c r="D260" s="456">
        <v>7</v>
      </c>
      <c r="E260" s="456">
        <v>19</v>
      </c>
      <c r="F260" s="456">
        <v>167</v>
      </c>
      <c r="T260" s="275"/>
      <c r="V260" s="275"/>
      <c r="W260" s="275"/>
      <c r="X260" s="275"/>
    </row>
    <row r="261" spans="1:24">
      <c r="A261" s="456" t="s">
        <v>75</v>
      </c>
      <c r="B261" s="456">
        <v>2022</v>
      </c>
      <c r="C261" s="456" t="s">
        <v>888</v>
      </c>
      <c r="D261" s="456">
        <v>8</v>
      </c>
      <c r="E261" s="456">
        <v>11</v>
      </c>
      <c r="F261" s="456">
        <v>164</v>
      </c>
      <c r="T261" s="275"/>
      <c r="V261" s="275"/>
      <c r="W261" s="275"/>
      <c r="X261" s="275"/>
    </row>
    <row r="262" spans="1:24">
      <c r="A262" s="456" t="s">
        <v>75</v>
      </c>
      <c r="B262" s="456">
        <v>2022</v>
      </c>
      <c r="C262" s="456" t="s">
        <v>83</v>
      </c>
      <c r="D262" s="456">
        <v>9</v>
      </c>
      <c r="E262" s="456">
        <v>75</v>
      </c>
      <c r="F262" s="456">
        <v>59</v>
      </c>
      <c r="T262" s="275"/>
      <c r="V262" s="275"/>
      <c r="W262" s="275"/>
      <c r="X262" s="275"/>
    </row>
    <row r="263" spans="1:24">
      <c r="A263" s="456" t="s">
        <v>75</v>
      </c>
      <c r="B263" s="456">
        <v>2022</v>
      </c>
      <c r="C263" s="456" t="s">
        <v>84</v>
      </c>
      <c r="D263" s="456">
        <v>10</v>
      </c>
      <c r="E263" s="456">
        <v>73</v>
      </c>
      <c r="F263" s="456">
        <v>28</v>
      </c>
      <c r="T263" s="275"/>
      <c r="V263" s="275"/>
      <c r="W263" s="275"/>
      <c r="X263" s="275"/>
    </row>
    <row r="264" spans="1:24">
      <c r="A264" s="456" t="s">
        <v>75</v>
      </c>
      <c r="B264" s="456">
        <v>2022</v>
      </c>
      <c r="C264" s="456" t="s">
        <v>85</v>
      </c>
      <c r="D264" s="456">
        <v>11</v>
      </c>
      <c r="E264" s="456">
        <v>227</v>
      </c>
      <c r="F264" s="456">
        <v>0</v>
      </c>
      <c r="T264" s="275"/>
      <c r="V264" s="275"/>
      <c r="W264" s="275"/>
      <c r="X264" s="275"/>
    </row>
    <row r="265" spans="1:24">
      <c r="A265" s="456" t="s">
        <v>75</v>
      </c>
      <c r="B265" s="456">
        <v>2022</v>
      </c>
      <c r="C265" s="456" t="s">
        <v>889</v>
      </c>
      <c r="D265" s="456">
        <v>12</v>
      </c>
      <c r="E265" s="456">
        <v>380</v>
      </c>
      <c r="F265" s="456">
        <v>0</v>
      </c>
      <c r="T265" s="275"/>
      <c r="V265" s="275"/>
      <c r="W265" s="275"/>
      <c r="X265" s="275"/>
    </row>
    <row r="266" spans="1:24">
      <c r="A266" s="456" t="s">
        <v>75</v>
      </c>
      <c r="B266" s="456">
        <v>2023</v>
      </c>
      <c r="C266" s="456" t="s">
        <v>73</v>
      </c>
      <c r="D266" s="456">
        <v>1</v>
      </c>
      <c r="E266" s="456">
        <v>355</v>
      </c>
      <c r="F266" s="456">
        <v>0</v>
      </c>
      <c r="T266" s="275"/>
      <c r="V266" s="275"/>
      <c r="W266" s="275"/>
      <c r="X266" s="275"/>
    </row>
    <row r="267" spans="1:24">
      <c r="A267" s="456" t="s">
        <v>75</v>
      </c>
      <c r="B267" s="456">
        <v>2023</v>
      </c>
      <c r="C267" s="456" t="s">
        <v>887</v>
      </c>
      <c r="D267" s="456">
        <v>2</v>
      </c>
      <c r="E267" s="456">
        <v>314</v>
      </c>
      <c r="F267" s="456">
        <v>0</v>
      </c>
      <c r="T267" s="275"/>
      <c r="V267" s="275"/>
      <c r="W267" s="275"/>
      <c r="X267" s="275"/>
    </row>
    <row r="268" spans="1:24">
      <c r="A268" s="456" t="s">
        <v>75</v>
      </c>
      <c r="B268" s="456">
        <v>2023</v>
      </c>
      <c r="C268" s="456" t="s">
        <v>77</v>
      </c>
      <c r="D268" s="456">
        <v>3</v>
      </c>
      <c r="E268" s="456">
        <v>251</v>
      </c>
      <c r="F268" s="456">
        <v>2</v>
      </c>
      <c r="T268" s="275"/>
      <c r="V268" s="275"/>
      <c r="W268" s="275"/>
      <c r="X268" s="275"/>
    </row>
    <row r="269" spans="1:24">
      <c r="A269" s="456" t="s">
        <v>75</v>
      </c>
      <c r="B269" s="456">
        <v>2023</v>
      </c>
      <c r="C269" s="456" t="s">
        <v>79</v>
      </c>
      <c r="D269" s="456">
        <v>4</v>
      </c>
      <c r="E269" s="456">
        <v>197</v>
      </c>
      <c r="F269" s="456">
        <v>3</v>
      </c>
      <c r="T269" s="275"/>
      <c r="V269" s="275"/>
      <c r="W269" s="275"/>
      <c r="X269" s="275"/>
    </row>
    <row r="270" spans="1:24">
      <c r="A270" s="456" t="s">
        <v>75</v>
      </c>
      <c r="B270" s="456">
        <v>2023</v>
      </c>
      <c r="C270" s="456" t="s">
        <v>80</v>
      </c>
      <c r="D270" s="456">
        <v>5</v>
      </c>
      <c r="E270" s="456">
        <v>87</v>
      </c>
      <c r="F270" s="456">
        <v>31</v>
      </c>
      <c r="T270" s="275"/>
      <c r="V270" s="275"/>
      <c r="W270" s="275"/>
      <c r="X270" s="275"/>
    </row>
    <row r="271" spans="1:24">
      <c r="A271" s="456" t="s">
        <v>75</v>
      </c>
      <c r="B271" s="456">
        <v>2023</v>
      </c>
      <c r="C271" s="456" t="s">
        <v>81</v>
      </c>
      <c r="D271" s="456">
        <v>6</v>
      </c>
      <c r="E271" s="456">
        <v>17</v>
      </c>
      <c r="F271" s="456">
        <v>134</v>
      </c>
      <c r="T271" s="275"/>
      <c r="V271" s="275"/>
      <c r="W271" s="275"/>
      <c r="X271" s="275"/>
    </row>
    <row r="272" spans="1:24">
      <c r="A272" s="456" t="s">
        <v>75</v>
      </c>
      <c r="B272" s="456">
        <v>2023</v>
      </c>
      <c r="C272" s="456" t="s">
        <v>82</v>
      </c>
      <c r="D272" s="456">
        <v>7</v>
      </c>
      <c r="E272" s="456">
        <v>24</v>
      </c>
      <c r="F272" s="456">
        <v>99</v>
      </c>
      <c r="T272" s="275"/>
      <c r="V272" s="275"/>
      <c r="W272" s="275"/>
      <c r="X272" s="275"/>
    </row>
    <row r="273" spans="1:24">
      <c r="A273" s="456" t="s">
        <v>75</v>
      </c>
      <c r="B273" s="456">
        <v>2023</v>
      </c>
      <c r="C273" s="456" t="s">
        <v>888</v>
      </c>
      <c r="D273" s="456">
        <v>8</v>
      </c>
      <c r="E273" s="456">
        <v>28</v>
      </c>
      <c r="F273" s="456">
        <v>107</v>
      </c>
      <c r="T273" s="275"/>
      <c r="V273" s="275"/>
      <c r="W273" s="275"/>
      <c r="X273" s="275"/>
    </row>
    <row r="274" spans="1:24">
      <c r="A274" s="456" t="s">
        <v>75</v>
      </c>
      <c r="B274" s="456">
        <v>2023</v>
      </c>
      <c r="C274" s="456" t="s">
        <v>83</v>
      </c>
      <c r="D274" s="456">
        <v>9</v>
      </c>
      <c r="E274" s="456">
        <v>31</v>
      </c>
      <c r="F274" s="456">
        <v>113</v>
      </c>
      <c r="T274" s="275"/>
      <c r="V274" s="275"/>
      <c r="W274" s="275"/>
      <c r="X274" s="275"/>
    </row>
    <row r="275" spans="1:24">
      <c r="A275" s="456" t="s">
        <v>75</v>
      </c>
      <c r="B275" s="456">
        <v>2023</v>
      </c>
      <c r="C275" s="456" t="s">
        <v>84</v>
      </c>
      <c r="D275" s="456">
        <v>10</v>
      </c>
      <c r="E275" s="456">
        <v>116</v>
      </c>
      <c r="F275" s="456">
        <v>33</v>
      </c>
      <c r="T275" s="275"/>
      <c r="V275" s="275"/>
      <c r="W275" s="275"/>
      <c r="X275" s="275"/>
    </row>
    <row r="276" spans="1:24">
      <c r="A276" s="456" t="s">
        <v>75</v>
      </c>
      <c r="B276" s="456">
        <v>2023</v>
      </c>
      <c r="C276" s="456" t="s">
        <v>85</v>
      </c>
      <c r="D276" s="456">
        <v>11</v>
      </c>
      <c r="E276" s="456">
        <v>239</v>
      </c>
      <c r="F276" s="456">
        <v>0</v>
      </c>
      <c r="T276" s="275"/>
      <c r="V276" s="275"/>
      <c r="W276" s="275"/>
      <c r="X276" s="275"/>
    </row>
    <row r="277" spans="1:24">
      <c r="A277" s="456" t="s">
        <v>75</v>
      </c>
      <c r="B277" s="456">
        <v>2023</v>
      </c>
      <c r="C277" s="456" t="s">
        <v>889</v>
      </c>
      <c r="D277" s="456">
        <v>12</v>
      </c>
      <c r="E277" s="456">
        <v>300</v>
      </c>
      <c r="F277" s="456">
        <v>0</v>
      </c>
      <c r="T277" s="275"/>
      <c r="V277" s="275"/>
      <c r="W277" s="275"/>
      <c r="X277" s="275"/>
    </row>
    <row r="278" spans="1:24">
      <c r="A278" s="456" t="s">
        <v>75</v>
      </c>
      <c r="B278" s="456">
        <v>2024</v>
      </c>
      <c r="C278" s="456" t="s">
        <v>73</v>
      </c>
      <c r="D278" s="456">
        <v>1</v>
      </c>
      <c r="E278" s="456">
        <v>380</v>
      </c>
      <c r="F278" s="456">
        <v>0</v>
      </c>
      <c r="T278" s="275"/>
      <c r="V278" s="275"/>
      <c r="W278" s="275"/>
      <c r="X278" s="275"/>
    </row>
    <row r="279" spans="1:24">
      <c r="A279" s="456" t="s">
        <v>75</v>
      </c>
      <c r="B279" s="456">
        <v>2024</v>
      </c>
      <c r="C279" s="456" t="s">
        <v>887</v>
      </c>
      <c r="D279" s="456">
        <v>2</v>
      </c>
      <c r="E279" s="456">
        <v>244</v>
      </c>
      <c r="F279" s="456">
        <v>0</v>
      </c>
      <c r="T279" s="275"/>
      <c r="V279" s="275"/>
      <c r="W279" s="275"/>
      <c r="X279" s="275"/>
    </row>
    <row r="280" spans="1:24">
      <c r="A280" s="456" t="s">
        <v>75</v>
      </c>
      <c r="B280" s="456">
        <v>2024</v>
      </c>
      <c r="C280" s="456" t="s">
        <v>77</v>
      </c>
      <c r="D280" s="456">
        <v>3</v>
      </c>
      <c r="E280" s="456">
        <v>253</v>
      </c>
      <c r="F280" s="456">
        <v>1</v>
      </c>
      <c r="T280" s="275"/>
      <c r="V280" s="275"/>
      <c r="W280" s="275"/>
      <c r="X280" s="275"/>
    </row>
    <row r="281" spans="1:24">
      <c r="A281" s="456" t="s">
        <v>75</v>
      </c>
      <c r="B281" s="456">
        <v>2024</v>
      </c>
      <c r="C281" s="456" t="s">
        <v>79</v>
      </c>
      <c r="D281" s="456">
        <v>4</v>
      </c>
      <c r="E281" s="456">
        <v>186</v>
      </c>
      <c r="F281" s="456">
        <v>8</v>
      </c>
      <c r="T281" s="275"/>
      <c r="V281" s="275"/>
      <c r="W281" s="275"/>
      <c r="X281" s="275"/>
    </row>
    <row r="282" spans="1:24">
      <c r="A282" s="456" t="s">
        <v>75</v>
      </c>
      <c r="B282" s="456">
        <v>2024</v>
      </c>
      <c r="C282" s="456" t="s">
        <v>80</v>
      </c>
      <c r="D282" s="456">
        <v>5</v>
      </c>
      <c r="E282" s="456">
        <v>102</v>
      </c>
      <c r="F282" s="456">
        <v>18</v>
      </c>
      <c r="T282" s="275"/>
      <c r="V282" s="275"/>
      <c r="W282" s="275"/>
      <c r="X282" s="275"/>
    </row>
    <row r="283" spans="1:24">
      <c r="A283" s="456" t="s">
        <v>75</v>
      </c>
      <c r="B283" s="456">
        <v>2024</v>
      </c>
      <c r="C283" s="456" t="s">
        <v>81</v>
      </c>
      <c r="D283" s="456">
        <v>6</v>
      </c>
      <c r="E283" s="456">
        <v>60</v>
      </c>
      <c r="F283" s="456">
        <v>53</v>
      </c>
      <c r="T283" s="275"/>
      <c r="V283" s="275"/>
      <c r="W283" s="275"/>
      <c r="X283" s="275"/>
    </row>
    <row r="284" spans="1:24">
      <c r="A284" s="456" t="s">
        <v>75</v>
      </c>
      <c r="B284" s="456">
        <v>2024</v>
      </c>
      <c r="C284" s="456" t="s">
        <v>82</v>
      </c>
      <c r="D284" s="456">
        <v>7</v>
      </c>
      <c r="E284" s="456">
        <v>28</v>
      </c>
      <c r="F284" s="456">
        <v>102</v>
      </c>
      <c r="T284" s="275"/>
      <c r="V284" s="275"/>
      <c r="W284" s="275"/>
      <c r="X284" s="275"/>
    </row>
    <row r="285" spans="1:24">
      <c r="A285" s="456" t="s">
        <v>75</v>
      </c>
      <c r="B285" s="456">
        <v>2024</v>
      </c>
      <c r="C285" s="456" t="s">
        <v>888</v>
      </c>
      <c r="D285" s="456">
        <v>8</v>
      </c>
      <c r="E285" s="456">
        <v>28</v>
      </c>
      <c r="F285" s="456">
        <v>110</v>
      </c>
      <c r="T285" s="275"/>
      <c r="V285" s="275"/>
      <c r="W285" s="275"/>
      <c r="X285" s="275"/>
    </row>
    <row r="286" spans="1:24">
      <c r="A286" s="456" t="s">
        <v>75</v>
      </c>
      <c r="B286" s="456">
        <v>2024</v>
      </c>
      <c r="C286" s="456" t="s">
        <v>83</v>
      </c>
      <c r="D286" s="456">
        <v>9</v>
      </c>
      <c r="E286" s="456">
        <v>78</v>
      </c>
      <c r="F286" s="456">
        <v>27</v>
      </c>
      <c r="T286" s="275"/>
      <c r="V286" s="275"/>
      <c r="W286" s="275"/>
      <c r="X286" s="275"/>
    </row>
    <row r="287" spans="1:24">
      <c r="A287" s="456" t="s">
        <v>75</v>
      </c>
      <c r="B287" s="456">
        <v>2024</v>
      </c>
      <c r="C287" s="456" t="s">
        <v>84</v>
      </c>
      <c r="D287" s="456">
        <v>10</v>
      </c>
      <c r="E287" s="456">
        <v>119</v>
      </c>
      <c r="F287" s="456">
        <v>8</v>
      </c>
      <c r="T287" s="275"/>
      <c r="V287" s="275"/>
      <c r="W287" s="275"/>
      <c r="X287" s="275"/>
    </row>
    <row r="288" spans="1:24">
      <c r="A288" s="456" t="s">
        <v>75</v>
      </c>
      <c r="B288" s="456">
        <v>2024</v>
      </c>
      <c r="C288" s="456" t="s">
        <v>85</v>
      </c>
      <c r="D288" s="456">
        <v>11</v>
      </c>
      <c r="E288" s="456">
        <v>266</v>
      </c>
      <c r="F288" s="456">
        <v>0</v>
      </c>
      <c r="T288" s="275"/>
      <c r="V288" s="275"/>
      <c r="W288" s="275"/>
      <c r="X288" s="275"/>
    </row>
    <row r="289" spans="1:24">
      <c r="A289" s="456" t="s">
        <v>75</v>
      </c>
      <c r="B289" s="456">
        <v>2024</v>
      </c>
      <c r="C289" s="456" t="s">
        <v>889</v>
      </c>
      <c r="D289" s="456">
        <v>12</v>
      </c>
      <c r="E289" s="456">
        <v>346</v>
      </c>
      <c r="F289" s="456">
        <v>0</v>
      </c>
      <c r="T289" s="275"/>
      <c r="V289" s="275"/>
      <c r="W289" s="275"/>
      <c r="X289" s="275"/>
    </row>
    <row r="290" spans="1:24">
      <c r="A290" s="456" t="s">
        <v>75</v>
      </c>
      <c r="B290" s="456">
        <v>2025</v>
      </c>
      <c r="C290" s="456" t="s">
        <v>73</v>
      </c>
      <c r="D290" s="456">
        <v>1</v>
      </c>
      <c r="E290" s="456">
        <v>407</v>
      </c>
      <c r="F290" s="456">
        <v>0</v>
      </c>
      <c r="T290" s="275"/>
      <c r="V290" s="275"/>
      <c r="W290" s="275"/>
      <c r="X290" s="275"/>
    </row>
    <row r="291" spans="1:24">
      <c r="A291" s="456" t="s">
        <v>75</v>
      </c>
      <c r="B291" s="456">
        <v>2025</v>
      </c>
      <c r="C291" s="456" t="s">
        <v>887</v>
      </c>
      <c r="D291" s="456">
        <v>2</v>
      </c>
      <c r="E291" s="456">
        <v>329</v>
      </c>
      <c r="F291" s="456">
        <v>0</v>
      </c>
      <c r="T291" s="275"/>
      <c r="V291" s="275"/>
      <c r="W291" s="275"/>
      <c r="X291" s="275"/>
    </row>
    <row r="292" spans="1:24">
      <c r="A292" s="456" t="s">
        <v>75</v>
      </c>
      <c r="B292" s="456">
        <v>2025</v>
      </c>
      <c r="C292" s="456" t="s">
        <v>77</v>
      </c>
      <c r="D292" s="456">
        <v>3</v>
      </c>
      <c r="E292" s="456">
        <v>260</v>
      </c>
      <c r="F292" s="456">
        <v>1</v>
      </c>
      <c r="T292" s="275"/>
      <c r="V292" s="275"/>
      <c r="W292" s="275"/>
      <c r="X292" s="275"/>
    </row>
    <row r="293" spans="1:24">
      <c r="A293" s="456" t="s">
        <v>75</v>
      </c>
      <c r="B293" s="456">
        <v>2025</v>
      </c>
      <c r="C293" s="456" t="s">
        <v>79</v>
      </c>
      <c r="D293" s="456">
        <v>4</v>
      </c>
      <c r="E293" s="456">
        <v>142</v>
      </c>
      <c r="F293" s="456">
        <v>17</v>
      </c>
      <c r="T293" s="275"/>
      <c r="V293" s="275"/>
      <c r="W293" s="275"/>
      <c r="X293" s="275"/>
    </row>
    <row r="294" spans="1:24">
      <c r="A294" s="456" t="s">
        <v>75</v>
      </c>
      <c r="B294" s="456">
        <v>2025</v>
      </c>
      <c r="C294" s="456" t="s">
        <v>80</v>
      </c>
      <c r="D294" s="456">
        <v>5</v>
      </c>
      <c r="E294" s="456">
        <v>91</v>
      </c>
      <c r="F294" s="456">
        <v>45</v>
      </c>
      <c r="T294" s="275"/>
      <c r="V294" s="275"/>
      <c r="W294" s="275"/>
      <c r="X294" s="275"/>
    </row>
    <row r="295" spans="1:24">
      <c r="A295" s="456" t="s">
        <v>75</v>
      </c>
      <c r="B295" s="456">
        <v>2025</v>
      </c>
      <c r="C295" s="456" t="s">
        <v>81</v>
      </c>
      <c r="D295" s="456">
        <v>6</v>
      </c>
      <c r="E295" s="456">
        <v>24</v>
      </c>
      <c r="F295" s="456">
        <v>140</v>
      </c>
      <c r="T295" s="275"/>
      <c r="V295" s="275"/>
      <c r="W295" s="275"/>
      <c r="X295" s="275"/>
    </row>
    <row r="296" spans="1:24">
      <c r="A296" s="456" t="s">
        <v>75</v>
      </c>
      <c r="B296" s="456">
        <v>2025</v>
      </c>
      <c r="C296" s="456" t="s">
        <v>82</v>
      </c>
      <c r="D296" s="456">
        <v>7</v>
      </c>
      <c r="E296" s="456">
        <v>18</v>
      </c>
      <c r="F296" s="456">
        <v>133</v>
      </c>
      <c r="T296" s="275"/>
      <c r="V296" s="275"/>
      <c r="W296" s="275"/>
      <c r="X296" s="275"/>
    </row>
    <row r="297" spans="1:24">
      <c r="A297" s="456" t="s">
        <v>75</v>
      </c>
      <c r="B297" s="456">
        <v>2025</v>
      </c>
      <c r="C297" s="456" t="s">
        <v>888</v>
      </c>
      <c r="D297" s="456">
        <v>8</v>
      </c>
      <c r="E297" s="456">
        <v>22</v>
      </c>
      <c r="F297" s="456">
        <v>125</v>
      </c>
      <c r="T297" s="275"/>
      <c r="V297" s="275"/>
      <c r="W297" s="275"/>
      <c r="X297" s="275"/>
    </row>
    <row r="298" spans="1:24">
      <c r="A298" s="457" t="s">
        <v>75</v>
      </c>
      <c r="B298" s="458">
        <v>2025</v>
      </c>
      <c r="C298" s="458" t="s">
        <v>890</v>
      </c>
      <c r="D298" s="458">
        <v>9</v>
      </c>
      <c r="E298" s="458">
        <v>72.900000000000006</v>
      </c>
      <c r="F298" s="458">
        <v>39.299999999999997</v>
      </c>
      <c r="T298" s="275"/>
      <c r="V298" s="275"/>
      <c r="W298" s="275"/>
      <c r="X298" s="275"/>
    </row>
    <row r="299" spans="1:24">
      <c r="A299" s="457" t="s">
        <v>75</v>
      </c>
      <c r="B299" s="458">
        <v>2025</v>
      </c>
      <c r="C299" s="458" t="s">
        <v>891</v>
      </c>
      <c r="D299" s="458">
        <v>10</v>
      </c>
      <c r="E299" s="458">
        <v>140</v>
      </c>
      <c r="F299" s="458">
        <v>4</v>
      </c>
      <c r="T299" s="275"/>
      <c r="V299" s="275"/>
      <c r="W299" s="275"/>
      <c r="X299" s="275"/>
    </row>
    <row r="300" spans="1:24">
      <c r="A300" s="457" t="s">
        <v>75</v>
      </c>
      <c r="B300" s="458">
        <v>2025</v>
      </c>
      <c r="C300" s="458" t="s">
        <v>892</v>
      </c>
      <c r="D300" s="458">
        <v>11</v>
      </c>
      <c r="E300" s="458">
        <v>231</v>
      </c>
      <c r="F300" s="458">
        <v>2</v>
      </c>
      <c r="T300" s="275"/>
      <c r="V300" s="275"/>
      <c r="W300" s="275"/>
      <c r="X300" s="275"/>
    </row>
    <row r="301" spans="1:24">
      <c r="A301" s="457" t="s">
        <v>75</v>
      </c>
      <c r="B301" s="458">
        <v>2025</v>
      </c>
      <c r="C301" s="458" t="s">
        <v>893</v>
      </c>
      <c r="D301" s="458">
        <v>12</v>
      </c>
      <c r="E301" s="458">
        <v>309</v>
      </c>
      <c r="F301" s="458">
        <v>0</v>
      </c>
      <c r="T301" s="275"/>
      <c r="V301" s="275"/>
      <c r="W301" s="275"/>
      <c r="X301" s="275"/>
    </row>
    <row r="302" spans="1:24">
      <c r="A302" s="456" t="s">
        <v>75</v>
      </c>
      <c r="B302" s="456">
        <v>2026</v>
      </c>
      <c r="C302" s="456" t="s">
        <v>73</v>
      </c>
      <c r="D302" s="456">
        <v>1</v>
      </c>
      <c r="E302" s="456">
        <v>338</v>
      </c>
      <c r="F302" s="456">
        <v>0</v>
      </c>
      <c r="T302" s="275"/>
      <c r="V302" s="275"/>
      <c r="W302" s="275"/>
      <c r="X302" s="275"/>
    </row>
    <row r="303" spans="1:24">
      <c r="A303" s="457" t="s">
        <v>75</v>
      </c>
      <c r="B303" s="458">
        <v>2026</v>
      </c>
      <c r="C303" s="458" t="s">
        <v>887</v>
      </c>
      <c r="D303" s="458">
        <v>2</v>
      </c>
      <c r="E303" s="458">
        <v>229</v>
      </c>
      <c r="F303" s="458">
        <v>1</v>
      </c>
      <c r="T303" s="275"/>
      <c r="V303" s="275"/>
      <c r="W303" s="275"/>
      <c r="X303" s="275"/>
    </row>
    <row r="304" spans="1:24">
      <c r="A304" s="457"/>
      <c r="B304" s="458"/>
      <c r="C304" s="458"/>
      <c r="D304" s="458"/>
      <c r="E304" s="458"/>
      <c r="F304" s="458"/>
      <c r="T304" s="275"/>
      <c r="V304" s="275"/>
      <c r="W304" s="275"/>
      <c r="X304" s="275"/>
    </row>
    <row r="305" spans="1:24">
      <c r="A305" s="457"/>
      <c r="B305" s="458"/>
      <c r="C305" s="458"/>
      <c r="D305" s="458"/>
      <c r="E305" s="458"/>
      <c r="F305" s="458"/>
      <c r="T305" s="275"/>
      <c r="V305" s="275"/>
      <c r="W305" s="275"/>
      <c r="X305" s="275"/>
    </row>
    <row r="306" spans="1:24">
      <c r="A306" s="457"/>
      <c r="B306" s="458"/>
      <c r="C306" s="458"/>
      <c r="D306" s="458"/>
      <c r="E306" s="458"/>
      <c r="F306" s="458"/>
      <c r="T306" s="275"/>
      <c r="V306" s="275"/>
      <c r="W306" s="275"/>
      <c r="X306" s="275"/>
    </row>
    <row r="307" spans="1:24">
      <c r="A307" s="457"/>
      <c r="B307" s="458"/>
      <c r="C307" s="458"/>
      <c r="D307" s="458"/>
      <c r="E307" s="458"/>
      <c r="F307" s="458"/>
      <c r="T307" s="275"/>
      <c r="V307" s="275"/>
      <c r="W307" s="275"/>
      <c r="X307" s="275"/>
    </row>
    <row r="308" spans="1:24">
      <c r="A308" s="457"/>
      <c r="B308" s="458"/>
      <c r="C308" s="458"/>
      <c r="D308" s="458"/>
      <c r="E308" s="458"/>
      <c r="F308" s="458"/>
      <c r="T308" s="275"/>
      <c r="V308" s="275"/>
      <c r="W308" s="275"/>
      <c r="X308" s="275"/>
    </row>
    <row r="309" spans="1:24">
      <c r="A309" s="457"/>
      <c r="B309" s="458"/>
      <c r="C309" s="458"/>
      <c r="D309" s="458"/>
      <c r="E309" s="458"/>
      <c r="F309" s="458"/>
      <c r="T309" s="275"/>
      <c r="V309" s="275"/>
      <c r="W309" s="275"/>
      <c r="X309" s="275"/>
    </row>
    <row r="310" spans="1:24">
      <c r="A310" s="457"/>
      <c r="B310" s="458"/>
      <c r="C310" s="458"/>
      <c r="D310" s="458"/>
      <c r="E310" s="458"/>
      <c r="F310" s="458"/>
      <c r="T310" s="275"/>
      <c r="V310" s="275"/>
      <c r="W310" s="275"/>
      <c r="X310" s="275"/>
    </row>
    <row r="311" spans="1:24">
      <c r="A311" s="457"/>
      <c r="B311" s="458"/>
      <c r="C311" s="458"/>
      <c r="D311" s="458"/>
      <c r="E311" s="458"/>
      <c r="F311" s="458"/>
      <c r="T311" s="275"/>
      <c r="V311" s="275"/>
      <c r="W311" s="275"/>
      <c r="X311" s="275"/>
    </row>
    <row r="312" spans="1:24">
      <c r="A312" s="457"/>
      <c r="B312" s="458"/>
      <c r="C312" s="458"/>
      <c r="D312" s="458"/>
      <c r="E312" s="458"/>
      <c r="F312" s="458"/>
      <c r="T312" s="275"/>
      <c r="V312" s="275"/>
      <c r="W312" s="275"/>
      <c r="X312" s="275"/>
    </row>
    <row r="313" spans="1:24">
      <c r="A313" s="457"/>
      <c r="B313" s="458"/>
      <c r="C313" s="458"/>
      <c r="D313" s="458"/>
      <c r="E313" s="458"/>
      <c r="F313" s="458"/>
      <c r="T313" s="275"/>
      <c r="V313" s="275"/>
      <c r="W313" s="275"/>
      <c r="X313" s="275"/>
    </row>
    <row r="314" spans="1:24">
      <c r="A314" s="457"/>
      <c r="B314" s="458"/>
      <c r="C314" s="458"/>
      <c r="D314" s="458"/>
      <c r="E314" s="458"/>
      <c r="F314" s="458"/>
      <c r="T314" s="275"/>
      <c r="V314" s="275"/>
      <c r="W314" s="275"/>
      <c r="X314" s="275"/>
    </row>
    <row r="315" spans="1:24">
      <c r="A315" s="457"/>
      <c r="B315" s="458"/>
      <c r="C315" s="458"/>
      <c r="D315" s="458"/>
      <c r="E315" s="458"/>
      <c r="F315" s="458"/>
      <c r="T315" s="275"/>
      <c r="V315" s="275"/>
      <c r="W315" s="275"/>
      <c r="X315" s="275"/>
    </row>
    <row r="316" spans="1:24">
      <c r="A316" s="457"/>
      <c r="B316" s="458"/>
      <c r="C316" s="458"/>
      <c r="D316" s="458"/>
      <c r="E316" s="458"/>
      <c r="F316" s="458"/>
      <c r="T316" s="275"/>
      <c r="V316" s="275"/>
      <c r="W316" s="275"/>
      <c r="X316" s="275"/>
    </row>
    <row r="317" spans="1:24">
      <c r="A317" s="457"/>
      <c r="B317" s="458"/>
      <c r="C317" s="458"/>
      <c r="D317" s="458"/>
      <c r="E317" s="458"/>
      <c r="F317" s="458"/>
      <c r="T317" s="275"/>
      <c r="V317" s="275"/>
      <c r="W317" s="275"/>
      <c r="X317" s="275"/>
    </row>
    <row r="318" spans="1:24">
      <c r="A318" s="457"/>
      <c r="B318" s="458"/>
      <c r="C318" s="458"/>
      <c r="D318" s="458"/>
      <c r="E318" s="458"/>
      <c r="F318" s="458"/>
      <c r="T318" s="275"/>
      <c r="V318" s="275"/>
      <c r="W318" s="275"/>
      <c r="X318" s="275"/>
    </row>
    <row r="319" spans="1:24">
      <c r="A319" s="457"/>
      <c r="B319" s="458"/>
      <c r="C319" s="458"/>
      <c r="D319" s="458"/>
      <c r="E319" s="458"/>
      <c r="F319" s="458"/>
      <c r="T319" s="275"/>
      <c r="V319" s="275"/>
      <c r="W319" s="275"/>
      <c r="X319" s="275"/>
    </row>
    <row r="320" spans="1:24">
      <c r="A320" s="457"/>
      <c r="B320" s="458"/>
      <c r="C320" s="458"/>
      <c r="D320" s="458"/>
      <c r="E320" s="458"/>
      <c r="F320" s="458"/>
      <c r="T320" s="275"/>
      <c r="V320" s="275"/>
      <c r="W320" s="275"/>
      <c r="X320" s="275"/>
    </row>
    <row r="321" spans="1:24">
      <c r="A321" s="457"/>
      <c r="B321" s="458"/>
      <c r="C321" s="458"/>
      <c r="D321" s="458"/>
      <c r="E321" s="458"/>
      <c r="F321" s="458"/>
      <c r="T321" s="275"/>
      <c r="V321" s="275"/>
      <c r="W321" s="275"/>
      <c r="X321" s="275"/>
    </row>
    <row r="322" spans="1:24">
      <c r="A322" s="457"/>
      <c r="B322" s="458"/>
      <c r="C322" s="458"/>
      <c r="D322" s="458"/>
      <c r="E322" s="458"/>
      <c r="F322" s="458"/>
      <c r="T322" s="275"/>
      <c r="V322" s="275"/>
      <c r="W322" s="275"/>
      <c r="X322" s="275"/>
    </row>
    <row r="323" spans="1:24">
      <c r="A323" s="457"/>
      <c r="B323" s="458"/>
      <c r="C323" s="458"/>
      <c r="D323" s="458"/>
      <c r="E323" s="458"/>
      <c r="F323" s="458"/>
      <c r="T323" s="275"/>
      <c r="V323" s="275"/>
      <c r="W323" s="275"/>
      <c r="X323" s="275"/>
    </row>
    <row r="324" spans="1:24">
      <c r="A324" s="457"/>
      <c r="B324" s="458"/>
      <c r="C324" s="458"/>
      <c r="D324" s="458"/>
      <c r="E324" s="458"/>
      <c r="F324" s="458"/>
      <c r="T324" s="275"/>
      <c r="V324" s="275"/>
      <c r="W324" s="275"/>
      <c r="X324" s="275"/>
    </row>
    <row r="325" spans="1:24">
      <c r="A325" s="457"/>
      <c r="B325" s="458"/>
      <c r="C325" s="458"/>
      <c r="D325" s="458"/>
      <c r="E325" s="458"/>
      <c r="F325" s="458"/>
      <c r="T325" s="275"/>
      <c r="V325" s="275"/>
      <c r="W325" s="275"/>
      <c r="X325" s="275"/>
    </row>
    <row r="326" spans="1:24">
      <c r="A326" s="457"/>
      <c r="B326" s="458"/>
      <c r="C326" s="458"/>
      <c r="D326" s="458"/>
      <c r="E326" s="458"/>
      <c r="F326" s="458"/>
      <c r="T326" s="275"/>
      <c r="V326" s="275"/>
      <c r="W326" s="275"/>
      <c r="X326" s="275"/>
    </row>
    <row r="327" spans="1:24">
      <c r="A327" s="457"/>
      <c r="B327" s="458"/>
      <c r="C327" s="458"/>
      <c r="D327" s="458"/>
      <c r="E327" s="458"/>
      <c r="F327" s="458"/>
      <c r="T327" s="275"/>
      <c r="V327" s="275"/>
      <c r="W327" s="275"/>
      <c r="X327" s="275"/>
    </row>
    <row r="328" spans="1:24">
      <c r="A328" s="457"/>
      <c r="B328" s="458"/>
      <c r="C328" s="458"/>
      <c r="D328" s="458"/>
      <c r="E328" s="458"/>
      <c r="F328" s="458"/>
      <c r="T328" s="275"/>
      <c r="V328" s="275"/>
      <c r="W328" s="275"/>
      <c r="X328" s="275"/>
    </row>
    <row r="329" spans="1:24">
      <c r="A329" s="457"/>
      <c r="B329" s="458"/>
      <c r="C329" s="458"/>
      <c r="D329" s="458"/>
      <c r="E329" s="458"/>
      <c r="F329" s="458"/>
      <c r="T329" s="275"/>
      <c r="V329" s="275"/>
      <c r="W329" s="275"/>
      <c r="X329" s="275"/>
    </row>
    <row r="330" spans="1:24">
      <c r="A330" s="457"/>
      <c r="B330" s="458"/>
      <c r="C330" s="458"/>
      <c r="D330" s="458"/>
      <c r="E330" s="458"/>
      <c r="F330" s="458"/>
      <c r="T330" s="275"/>
      <c r="V330" s="275"/>
      <c r="W330" s="275"/>
      <c r="X330" s="275"/>
    </row>
    <row r="331" spans="1:24">
      <c r="A331" s="457"/>
      <c r="B331" s="458"/>
      <c r="C331" s="458"/>
      <c r="D331" s="458"/>
      <c r="E331" s="458"/>
      <c r="F331" s="458"/>
      <c r="T331" s="275"/>
      <c r="V331" s="275"/>
      <c r="W331" s="275"/>
      <c r="X331" s="275"/>
    </row>
    <row r="332" spans="1:24">
      <c r="A332" s="457"/>
      <c r="B332" s="458"/>
      <c r="C332" s="458"/>
      <c r="D332" s="458"/>
      <c r="E332" s="458"/>
      <c r="F332" s="458"/>
      <c r="T332" s="275"/>
      <c r="V332" s="275"/>
      <c r="W332" s="275"/>
      <c r="X332" s="275"/>
    </row>
    <row r="333" spans="1:24">
      <c r="A333" s="457"/>
      <c r="B333" s="458"/>
      <c r="C333" s="458"/>
      <c r="D333" s="458"/>
      <c r="E333" s="458"/>
      <c r="F333" s="458"/>
      <c r="T333" s="275"/>
      <c r="V333" s="275"/>
      <c r="W333" s="275"/>
      <c r="X333" s="275"/>
    </row>
    <row r="334" spans="1:24">
      <c r="A334" s="457"/>
      <c r="B334" s="458"/>
      <c r="C334" s="458"/>
      <c r="D334" s="458"/>
      <c r="E334" s="458"/>
      <c r="F334" s="458"/>
      <c r="T334" s="275"/>
      <c r="V334" s="275"/>
      <c r="W334" s="275"/>
      <c r="X334" s="275"/>
    </row>
    <row r="335" spans="1:24">
      <c r="A335" s="457"/>
      <c r="B335" s="458"/>
      <c r="C335" s="458"/>
      <c r="D335" s="458"/>
      <c r="E335" s="458"/>
      <c r="F335" s="458"/>
      <c r="T335" s="275"/>
      <c r="V335" s="275"/>
      <c r="W335" s="275"/>
      <c r="X335" s="275"/>
    </row>
    <row r="336" spans="1:24">
      <c r="A336" s="457"/>
      <c r="B336" s="458"/>
      <c r="C336" s="458"/>
      <c r="D336" s="458"/>
      <c r="E336" s="458"/>
      <c r="F336" s="458"/>
      <c r="T336" s="275"/>
      <c r="V336" s="275"/>
      <c r="W336" s="275"/>
      <c r="X336" s="275"/>
    </row>
    <row r="337" spans="1:24">
      <c r="A337" s="457"/>
      <c r="B337" s="458"/>
      <c r="C337" s="458"/>
      <c r="D337" s="458"/>
      <c r="E337" s="458"/>
      <c r="F337" s="458"/>
      <c r="T337" s="275"/>
      <c r="V337" s="275"/>
      <c r="W337" s="275"/>
      <c r="X337" s="275"/>
    </row>
    <row r="338" spans="1:24">
      <c r="A338" s="457"/>
      <c r="B338" s="458"/>
      <c r="C338" s="458"/>
      <c r="D338" s="458"/>
      <c r="E338" s="458"/>
      <c r="F338" s="458"/>
      <c r="T338" s="275"/>
      <c r="V338" s="275"/>
      <c r="W338" s="275"/>
      <c r="X338" s="275"/>
    </row>
    <row r="339" spans="1:24">
      <c r="A339" s="457"/>
      <c r="B339" s="458"/>
      <c r="C339" s="458"/>
      <c r="D339" s="458"/>
      <c r="E339" s="458"/>
      <c r="F339" s="458"/>
      <c r="T339" s="275"/>
      <c r="V339" s="275"/>
      <c r="W339" s="275"/>
      <c r="X339" s="275"/>
    </row>
    <row r="340" spans="1:24">
      <c r="A340" s="457"/>
      <c r="B340" s="458"/>
      <c r="C340" s="458"/>
      <c r="D340" s="458"/>
      <c r="E340" s="458"/>
      <c r="F340" s="458"/>
      <c r="T340" s="275"/>
      <c r="V340" s="275"/>
      <c r="W340" s="275"/>
      <c r="X340" s="275"/>
    </row>
    <row r="341" spans="1:24">
      <c r="A341" s="457"/>
      <c r="B341" s="458"/>
      <c r="C341" s="458"/>
      <c r="D341" s="458"/>
      <c r="E341" s="458"/>
      <c r="F341" s="458"/>
      <c r="T341" s="275"/>
      <c r="V341" s="275"/>
      <c r="W341" s="275"/>
      <c r="X341" s="275"/>
    </row>
    <row r="342" spans="1:24">
      <c r="A342" s="457"/>
      <c r="B342" s="458"/>
      <c r="C342" s="458"/>
      <c r="D342" s="458"/>
      <c r="E342" s="458"/>
      <c r="F342" s="458"/>
      <c r="T342" s="275"/>
      <c r="V342" s="275"/>
      <c r="W342" s="275"/>
      <c r="X342" s="275"/>
    </row>
    <row r="343" spans="1:24">
      <c r="A343" s="457"/>
      <c r="B343" s="458"/>
      <c r="C343" s="458"/>
      <c r="D343" s="458"/>
      <c r="E343" s="458"/>
      <c r="F343" s="458"/>
      <c r="T343" s="275"/>
      <c r="V343" s="275"/>
      <c r="W343" s="275"/>
      <c r="X343" s="275"/>
    </row>
    <row r="344" spans="1:24">
      <c r="A344" s="457"/>
      <c r="B344" s="458"/>
      <c r="C344" s="458"/>
      <c r="D344" s="458"/>
      <c r="E344" s="458"/>
      <c r="F344" s="458"/>
      <c r="T344" s="275"/>
      <c r="V344" s="275"/>
      <c r="W344" s="275"/>
      <c r="X344" s="275"/>
    </row>
    <row r="345" spans="1:24">
      <c r="A345" s="457"/>
      <c r="B345" s="458"/>
      <c r="C345" s="458"/>
      <c r="D345" s="458"/>
      <c r="E345" s="458"/>
      <c r="F345" s="458"/>
      <c r="T345" s="275"/>
      <c r="V345" s="275"/>
      <c r="W345" s="275"/>
      <c r="X345" s="275"/>
    </row>
    <row r="346" spans="1:24">
      <c r="A346" s="457"/>
      <c r="B346" s="458"/>
      <c r="C346" s="458"/>
      <c r="D346" s="458"/>
      <c r="E346" s="458"/>
      <c r="F346" s="458"/>
      <c r="T346" s="275"/>
      <c r="V346" s="275"/>
      <c r="W346" s="275"/>
      <c r="X346" s="275"/>
    </row>
    <row r="347" spans="1:24">
      <c r="A347" s="457"/>
      <c r="B347" s="458"/>
      <c r="C347" s="458"/>
      <c r="D347" s="458"/>
      <c r="E347" s="458"/>
      <c r="F347" s="458"/>
      <c r="T347" s="275"/>
      <c r="V347" s="275"/>
      <c r="W347" s="275"/>
      <c r="X347" s="275"/>
    </row>
    <row r="348" spans="1:24">
      <c r="A348" s="457"/>
      <c r="B348" s="458"/>
      <c r="C348" s="458"/>
      <c r="D348" s="458"/>
      <c r="E348" s="458"/>
      <c r="F348" s="458"/>
      <c r="T348" s="275"/>
      <c r="V348" s="275"/>
      <c r="W348" s="275"/>
      <c r="X348" s="275"/>
    </row>
    <row r="349" spans="1:24">
      <c r="A349" s="457"/>
      <c r="B349" s="458"/>
      <c r="C349" s="458"/>
      <c r="D349" s="458"/>
      <c r="E349" s="458"/>
      <c r="F349" s="458"/>
      <c r="T349" s="275"/>
      <c r="V349" s="275"/>
      <c r="W349" s="275"/>
      <c r="X349" s="275"/>
    </row>
    <row r="350" spans="1:24">
      <c r="A350" s="457"/>
      <c r="B350" s="458"/>
      <c r="C350" s="458"/>
      <c r="D350" s="458"/>
      <c r="E350" s="458"/>
      <c r="F350" s="458"/>
      <c r="T350" s="275"/>
      <c r="V350" s="275"/>
      <c r="W350" s="275"/>
      <c r="X350" s="275"/>
    </row>
    <row r="351" spans="1:24">
      <c r="A351" s="457"/>
      <c r="B351" s="458"/>
      <c r="C351" s="458"/>
      <c r="D351" s="458"/>
      <c r="E351" s="458"/>
      <c r="F351" s="458"/>
      <c r="T351" s="275"/>
      <c r="V351" s="275"/>
      <c r="W351" s="275"/>
      <c r="X351" s="275"/>
    </row>
    <row r="352" spans="1:24">
      <c r="A352" s="457"/>
      <c r="B352" s="458"/>
      <c r="C352" s="458"/>
      <c r="D352" s="458"/>
      <c r="E352" s="458"/>
      <c r="F352" s="458"/>
      <c r="T352" s="275"/>
      <c r="V352" s="275"/>
      <c r="W352" s="275"/>
      <c r="X352" s="275"/>
    </row>
    <row r="353" spans="1:24">
      <c r="A353" s="457"/>
      <c r="B353" s="458"/>
      <c r="C353" s="458"/>
      <c r="D353" s="458"/>
      <c r="E353" s="458"/>
      <c r="F353" s="458"/>
      <c r="T353" s="275"/>
      <c r="V353" s="275"/>
      <c r="W353" s="275"/>
      <c r="X353" s="275"/>
    </row>
    <row r="354" spans="1:24">
      <c r="A354" s="457"/>
      <c r="B354" s="458"/>
      <c r="C354" s="458"/>
      <c r="D354" s="458"/>
      <c r="E354" s="458"/>
      <c r="F354" s="458"/>
      <c r="T354" s="275"/>
      <c r="V354" s="275"/>
      <c r="W354" s="275"/>
      <c r="X354" s="275"/>
    </row>
    <row r="355" spans="1:24">
      <c r="A355" s="457"/>
      <c r="B355" s="458"/>
      <c r="C355" s="458"/>
      <c r="D355" s="458"/>
      <c r="E355" s="458"/>
      <c r="F355" s="458"/>
      <c r="T355" s="275"/>
      <c r="V355" s="275"/>
      <c r="W355" s="275"/>
      <c r="X355" s="275"/>
    </row>
    <row r="356" spans="1:24">
      <c r="A356" s="457"/>
      <c r="B356" s="458"/>
      <c r="C356" s="458"/>
      <c r="D356" s="458"/>
      <c r="E356" s="458"/>
      <c r="F356" s="458"/>
      <c r="T356" s="275"/>
      <c r="V356" s="275"/>
      <c r="W356" s="275"/>
      <c r="X356" s="275"/>
    </row>
    <row r="357" spans="1:24">
      <c r="A357" s="457"/>
      <c r="B357" s="458"/>
      <c r="C357" s="458"/>
      <c r="D357" s="458"/>
      <c r="E357" s="458"/>
      <c r="F357" s="458"/>
      <c r="T357" s="275"/>
      <c r="V357" s="275"/>
      <c r="W357" s="275"/>
      <c r="X357" s="275"/>
    </row>
    <row r="358" spans="1:24">
      <c r="A358" s="457"/>
      <c r="B358" s="458"/>
      <c r="C358" s="458"/>
      <c r="D358" s="458"/>
      <c r="E358" s="458"/>
      <c r="F358" s="458"/>
      <c r="T358" s="275"/>
      <c r="V358" s="275"/>
      <c r="W358" s="275"/>
      <c r="X358" s="275"/>
    </row>
    <row r="359" spans="1:24">
      <c r="A359" s="457"/>
      <c r="B359" s="458"/>
      <c r="C359" s="458"/>
      <c r="D359" s="458"/>
      <c r="E359" s="458"/>
      <c r="F359" s="458"/>
      <c r="T359" s="275"/>
      <c r="V359" s="275"/>
      <c r="W359" s="275"/>
      <c r="X359" s="275"/>
    </row>
    <row r="360" spans="1:24">
      <c r="A360" s="457"/>
      <c r="B360" s="458"/>
      <c r="C360" s="458"/>
      <c r="D360" s="458"/>
      <c r="E360" s="458"/>
      <c r="F360" s="458"/>
      <c r="T360" s="275"/>
      <c r="V360" s="275"/>
      <c r="W360" s="275"/>
      <c r="X360" s="275"/>
    </row>
    <row r="361" spans="1:24">
      <c r="A361" s="457"/>
      <c r="B361" s="458"/>
      <c r="C361" s="458"/>
      <c r="D361" s="458"/>
      <c r="E361" s="458"/>
      <c r="F361" s="458"/>
      <c r="T361" s="275"/>
      <c r="V361" s="275"/>
      <c r="W361" s="275"/>
      <c r="X361" s="275"/>
    </row>
    <row r="362" spans="1:24">
      <c r="A362" s="457"/>
      <c r="B362" s="458"/>
      <c r="C362" s="458"/>
      <c r="D362" s="458"/>
      <c r="E362" s="458"/>
      <c r="F362" s="458"/>
      <c r="T362" s="275"/>
      <c r="V362" s="275"/>
      <c r="W362" s="275"/>
      <c r="X362" s="275"/>
    </row>
    <row r="363" spans="1:24">
      <c r="A363" s="457"/>
      <c r="B363" s="458"/>
      <c r="C363" s="458"/>
      <c r="D363" s="458"/>
      <c r="E363" s="458"/>
      <c r="F363" s="458"/>
      <c r="T363" s="275"/>
      <c r="V363" s="275"/>
      <c r="W363" s="275"/>
      <c r="X363" s="275"/>
    </row>
    <row r="364" spans="1:24">
      <c r="A364" s="457"/>
      <c r="B364" s="458"/>
      <c r="C364" s="458"/>
      <c r="D364" s="458"/>
      <c r="E364" s="458"/>
      <c r="F364" s="458"/>
      <c r="T364" s="275"/>
      <c r="V364" s="275"/>
      <c r="W364" s="275"/>
      <c r="X364" s="275"/>
    </row>
    <row r="365" spans="1:24">
      <c r="A365" s="457"/>
      <c r="B365" s="458"/>
      <c r="C365" s="458"/>
      <c r="D365" s="458"/>
      <c r="E365" s="458"/>
      <c r="F365" s="458"/>
      <c r="T365" s="275"/>
      <c r="V365" s="275"/>
      <c r="W365" s="275"/>
      <c r="X365" s="275"/>
    </row>
    <row r="366" spans="1:24">
      <c r="A366" s="457"/>
      <c r="B366" s="458"/>
      <c r="C366" s="458"/>
      <c r="D366" s="458"/>
      <c r="E366" s="458"/>
      <c r="F366" s="458"/>
      <c r="T366" s="275"/>
      <c r="V366" s="275"/>
      <c r="W366" s="275"/>
      <c r="X366" s="275"/>
    </row>
    <row r="367" spans="1:24">
      <c r="A367" s="457"/>
      <c r="B367" s="458"/>
      <c r="C367" s="458"/>
      <c r="D367" s="458"/>
      <c r="E367" s="458"/>
      <c r="F367" s="458"/>
      <c r="T367" s="275"/>
      <c r="V367" s="275"/>
      <c r="W367" s="275"/>
      <c r="X367" s="275"/>
    </row>
    <row r="368" spans="1:24">
      <c r="A368" s="457"/>
      <c r="B368" s="458"/>
      <c r="C368" s="458"/>
      <c r="D368" s="458"/>
      <c r="E368" s="458"/>
      <c r="F368" s="458"/>
      <c r="T368" s="275"/>
      <c r="V368" s="275"/>
      <c r="W368" s="275"/>
      <c r="X368" s="275"/>
    </row>
    <row r="369" spans="1:24">
      <c r="A369" s="457"/>
      <c r="B369" s="458"/>
      <c r="C369" s="458"/>
      <c r="D369" s="458"/>
      <c r="E369" s="458"/>
      <c r="F369" s="458"/>
      <c r="T369" s="275"/>
      <c r="V369" s="275"/>
      <c r="W369" s="275"/>
      <c r="X369" s="275"/>
    </row>
    <row r="370" spans="1:24">
      <c r="A370" s="457"/>
      <c r="B370" s="458"/>
      <c r="C370" s="458"/>
      <c r="D370" s="458"/>
      <c r="E370" s="458"/>
      <c r="F370" s="458"/>
      <c r="T370" s="275"/>
      <c r="V370" s="275"/>
      <c r="W370" s="275"/>
      <c r="X370" s="275"/>
    </row>
    <row r="371" spans="1:24">
      <c r="A371" s="457"/>
      <c r="B371" s="458"/>
      <c r="C371" s="458"/>
      <c r="D371" s="458"/>
      <c r="E371" s="458"/>
      <c r="F371" s="458"/>
      <c r="T371" s="275"/>
      <c r="V371" s="275"/>
      <c r="W371" s="275"/>
      <c r="X371" s="275"/>
    </row>
    <row r="372" spans="1:24">
      <c r="A372" s="457"/>
      <c r="B372" s="458"/>
      <c r="C372" s="458"/>
      <c r="D372" s="458"/>
      <c r="E372" s="458"/>
      <c r="F372" s="458"/>
      <c r="T372" s="275"/>
      <c r="V372" s="275"/>
      <c r="W372" s="275"/>
      <c r="X372" s="275"/>
    </row>
    <row r="373" spans="1:24">
      <c r="A373" s="457"/>
      <c r="B373" s="458"/>
      <c r="C373" s="458"/>
      <c r="D373" s="458"/>
      <c r="E373" s="458"/>
      <c r="F373" s="458"/>
      <c r="T373" s="275"/>
      <c r="V373" s="275"/>
      <c r="W373" s="275"/>
      <c r="X373" s="275"/>
    </row>
    <row r="374" spans="1:24">
      <c r="A374" s="457"/>
      <c r="B374" s="458"/>
      <c r="C374" s="458"/>
      <c r="D374" s="458"/>
      <c r="E374" s="458"/>
      <c r="F374" s="458"/>
    </row>
    <row r="375" spans="1:24">
      <c r="A375" s="457"/>
      <c r="B375" s="458"/>
      <c r="C375" s="458"/>
      <c r="D375" s="458"/>
      <c r="E375" s="458"/>
      <c r="F375" s="458"/>
    </row>
    <row r="376" spans="1:24">
      <c r="A376" s="457"/>
      <c r="B376" s="458"/>
      <c r="C376" s="458"/>
      <c r="D376" s="458"/>
      <c r="E376" s="458"/>
      <c r="F376" s="458"/>
    </row>
    <row r="377" spans="1:24">
      <c r="A377" s="457"/>
      <c r="B377" s="458"/>
      <c r="C377" s="458"/>
      <c r="D377" s="458"/>
      <c r="E377" s="458"/>
      <c r="F377" s="458"/>
    </row>
    <row r="378" spans="1:24">
      <c r="A378" s="457"/>
      <c r="B378" s="458"/>
      <c r="C378" s="458"/>
      <c r="D378" s="458"/>
      <c r="E378" s="458"/>
      <c r="F378" s="458"/>
    </row>
    <row r="379" spans="1:24">
      <c r="A379" s="457"/>
      <c r="B379" s="458"/>
      <c r="C379" s="458"/>
      <c r="D379" s="458"/>
      <c r="E379" s="458"/>
      <c r="F379" s="458"/>
    </row>
    <row r="380" spans="1:24">
      <c r="A380" s="457"/>
      <c r="B380" s="458"/>
      <c r="C380" s="458"/>
      <c r="D380" s="458"/>
      <c r="E380" s="458"/>
      <c r="F380" s="458"/>
    </row>
    <row r="381" spans="1:24">
      <c r="A381" s="457"/>
      <c r="B381" s="458"/>
      <c r="C381" s="458"/>
      <c r="D381" s="458"/>
      <c r="E381" s="458"/>
      <c r="F381" s="458"/>
    </row>
    <row r="382" spans="1:24">
      <c r="A382" s="457"/>
      <c r="B382" s="458"/>
      <c r="C382" s="458"/>
      <c r="D382" s="458"/>
      <c r="E382" s="458"/>
      <c r="F382" s="458"/>
    </row>
    <row r="383" spans="1:24">
      <c r="A383" s="457"/>
      <c r="B383" s="458"/>
      <c r="C383" s="458"/>
      <c r="D383" s="458"/>
      <c r="E383" s="458"/>
      <c r="F383" s="458"/>
    </row>
    <row r="384" spans="1:24">
      <c r="A384" s="457"/>
      <c r="B384" s="458"/>
      <c r="C384" s="458"/>
      <c r="D384" s="458"/>
      <c r="E384" s="458"/>
      <c r="F384" s="458"/>
    </row>
    <row r="385" spans="1:6">
      <c r="A385" s="457"/>
      <c r="B385" s="458"/>
      <c r="C385" s="458"/>
      <c r="D385" s="458"/>
      <c r="E385" s="458"/>
      <c r="F385" s="458"/>
    </row>
    <row r="386" spans="1:6">
      <c r="A386" s="457"/>
      <c r="B386" s="458"/>
      <c r="C386" s="458"/>
      <c r="D386" s="458"/>
      <c r="E386" s="458"/>
      <c r="F386" s="458"/>
    </row>
    <row r="387" spans="1:6">
      <c r="A387" s="457"/>
      <c r="B387" s="458"/>
      <c r="C387" s="458"/>
      <c r="D387" s="458"/>
      <c r="E387" s="458"/>
      <c r="F387" s="458"/>
    </row>
    <row r="388" spans="1:6">
      <c r="A388" s="457"/>
      <c r="B388" s="458"/>
      <c r="C388" s="458"/>
      <c r="D388" s="458"/>
      <c r="E388" s="458"/>
      <c r="F388" s="458"/>
    </row>
    <row r="389" spans="1:6">
      <c r="A389" s="457"/>
      <c r="B389" s="458"/>
      <c r="C389" s="458"/>
      <c r="D389" s="458"/>
      <c r="E389" s="458"/>
      <c r="F389" s="458"/>
    </row>
    <row r="390" spans="1:6">
      <c r="A390" s="457"/>
      <c r="B390" s="458"/>
      <c r="C390" s="458"/>
      <c r="D390" s="458"/>
      <c r="E390" s="458"/>
      <c r="F390" s="458"/>
    </row>
    <row r="391" spans="1:6">
      <c r="A391" s="457"/>
      <c r="B391" s="458"/>
      <c r="C391" s="458"/>
      <c r="D391" s="458"/>
      <c r="E391" s="458"/>
      <c r="F391" s="458"/>
    </row>
    <row r="392" spans="1:6">
      <c r="A392" s="457"/>
      <c r="B392" s="458"/>
      <c r="C392" s="458"/>
      <c r="D392" s="458"/>
      <c r="E392" s="458"/>
      <c r="F392" s="458"/>
    </row>
    <row r="393" spans="1:6">
      <c r="A393" s="457"/>
      <c r="B393" s="458"/>
      <c r="C393" s="458"/>
      <c r="D393" s="458"/>
      <c r="E393" s="458"/>
      <c r="F393" s="458"/>
    </row>
    <row r="394" spans="1:6">
      <c r="A394" s="457"/>
      <c r="B394" s="458"/>
      <c r="C394" s="458"/>
      <c r="D394" s="458"/>
      <c r="E394" s="458"/>
      <c r="F394" s="458"/>
    </row>
    <row r="395" spans="1:6">
      <c r="A395" s="457"/>
      <c r="B395" s="458"/>
      <c r="C395" s="458"/>
      <c r="D395" s="458"/>
      <c r="E395" s="458"/>
      <c r="F395" s="458"/>
    </row>
    <row r="396" spans="1:6">
      <c r="A396" s="457"/>
      <c r="B396" s="458"/>
      <c r="C396" s="458"/>
      <c r="D396" s="458"/>
      <c r="E396" s="458"/>
      <c r="F396" s="458"/>
    </row>
    <row r="397" spans="1:6">
      <c r="A397" s="457"/>
      <c r="B397" s="458"/>
      <c r="C397" s="458"/>
      <c r="D397" s="458"/>
      <c r="E397" s="458"/>
      <c r="F397" s="458"/>
    </row>
    <row r="398" spans="1:6">
      <c r="A398" s="457"/>
      <c r="B398" s="458"/>
      <c r="C398" s="458"/>
      <c r="D398" s="458"/>
      <c r="E398" s="458"/>
      <c r="F398" s="458"/>
    </row>
    <row r="399" spans="1:6">
      <c r="A399" s="457"/>
      <c r="B399" s="458"/>
      <c r="C399" s="458"/>
      <c r="D399" s="458"/>
      <c r="E399" s="458"/>
      <c r="F399" s="458"/>
    </row>
    <row r="400" spans="1:6">
      <c r="A400" s="457"/>
      <c r="B400" s="458"/>
      <c r="C400" s="458"/>
      <c r="D400" s="458"/>
      <c r="E400" s="458"/>
      <c r="F400" s="458"/>
    </row>
    <row r="401" spans="1:6">
      <c r="A401" s="457"/>
      <c r="B401" s="458"/>
      <c r="C401" s="458"/>
      <c r="D401" s="458"/>
      <c r="E401" s="458"/>
      <c r="F401" s="458"/>
    </row>
    <row r="402" spans="1:6">
      <c r="A402" s="457"/>
      <c r="B402" s="458"/>
      <c r="C402" s="458"/>
      <c r="D402" s="458"/>
      <c r="E402" s="458"/>
      <c r="F402" s="458"/>
    </row>
    <row r="403" spans="1:6">
      <c r="A403" s="457"/>
      <c r="B403" s="458"/>
      <c r="C403" s="458"/>
      <c r="D403" s="458"/>
      <c r="E403" s="458"/>
      <c r="F403" s="458"/>
    </row>
    <row r="404" spans="1:6">
      <c r="A404" s="457"/>
      <c r="B404" s="458"/>
      <c r="C404" s="458"/>
      <c r="D404" s="458"/>
      <c r="E404" s="458"/>
      <c r="F404" s="458"/>
    </row>
    <row r="405" spans="1:6">
      <c r="A405" s="457"/>
      <c r="B405" s="458"/>
      <c r="C405" s="458"/>
      <c r="D405" s="458"/>
      <c r="E405" s="458"/>
      <c r="F405" s="458"/>
    </row>
    <row r="406" spans="1:6">
      <c r="A406" s="457"/>
      <c r="B406" s="458"/>
      <c r="C406" s="458"/>
      <c r="D406" s="458"/>
      <c r="E406" s="458"/>
      <c r="F406" s="458"/>
    </row>
    <row r="407" spans="1:6">
      <c r="A407" s="457"/>
      <c r="B407" s="458"/>
      <c r="C407" s="458"/>
      <c r="D407" s="458"/>
      <c r="E407" s="458"/>
      <c r="F407" s="458"/>
    </row>
    <row r="408" spans="1:6">
      <c r="A408" s="457"/>
      <c r="B408" s="458"/>
      <c r="C408" s="458"/>
      <c r="D408" s="458"/>
      <c r="E408" s="458"/>
      <c r="F408" s="458"/>
    </row>
    <row r="409" spans="1:6">
      <c r="A409" s="457"/>
      <c r="B409" s="458"/>
      <c r="C409" s="458"/>
      <c r="D409" s="458"/>
      <c r="E409" s="458"/>
      <c r="F409" s="458"/>
    </row>
    <row r="410" spans="1:6">
      <c r="A410" s="457"/>
      <c r="B410" s="458"/>
      <c r="C410" s="458"/>
      <c r="D410" s="458"/>
      <c r="E410" s="458"/>
      <c r="F410" s="458"/>
    </row>
    <row r="411" spans="1:6">
      <c r="A411" s="457"/>
      <c r="B411" s="458"/>
      <c r="C411" s="458"/>
      <c r="D411" s="458"/>
      <c r="E411" s="458"/>
      <c r="F411" s="458"/>
    </row>
    <row r="412" spans="1:6">
      <c r="A412" s="457"/>
      <c r="B412" s="458"/>
      <c r="C412" s="458"/>
      <c r="D412" s="458"/>
      <c r="E412" s="458"/>
      <c r="F412" s="458"/>
    </row>
    <row r="413" spans="1:6">
      <c r="A413" s="457"/>
      <c r="B413" s="458"/>
      <c r="C413" s="458"/>
      <c r="D413" s="458"/>
      <c r="E413" s="458"/>
      <c r="F413" s="458"/>
    </row>
    <row r="414" spans="1:6">
      <c r="A414" s="457"/>
      <c r="B414" s="458"/>
      <c r="C414" s="458"/>
      <c r="D414" s="458"/>
      <c r="E414" s="458"/>
      <c r="F414" s="458"/>
    </row>
    <row r="415" spans="1:6">
      <c r="A415" s="457"/>
      <c r="B415" s="458"/>
      <c r="C415" s="458"/>
      <c r="D415" s="458"/>
      <c r="E415" s="458"/>
      <c r="F415" s="458"/>
    </row>
    <row r="416" spans="1:6">
      <c r="A416" s="457"/>
      <c r="B416" s="458"/>
      <c r="C416" s="458"/>
      <c r="D416" s="458"/>
      <c r="E416" s="458"/>
      <c r="F416" s="458"/>
    </row>
    <row r="417" spans="1:6">
      <c r="A417" s="457"/>
      <c r="B417" s="458"/>
      <c r="C417" s="458"/>
      <c r="D417" s="458"/>
      <c r="E417" s="458"/>
      <c r="F417" s="458"/>
    </row>
    <row r="418" spans="1:6">
      <c r="A418" s="457"/>
      <c r="B418" s="458"/>
      <c r="C418" s="458"/>
      <c r="D418" s="458"/>
      <c r="E418" s="458"/>
      <c r="F418" s="458"/>
    </row>
    <row r="419" spans="1:6">
      <c r="A419" s="457"/>
      <c r="B419" s="458"/>
      <c r="C419" s="458"/>
      <c r="D419" s="458"/>
      <c r="E419" s="458"/>
      <c r="F419" s="458"/>
    </row>
    <row r="420" spans="1:6">
      <c r="A420" s="457"/>
      <c r="B420" s="458"/>
      <c r="C420" s="458"/>
      <c r="D420" s="458"/>
      <c r="E420" s="458"/>
      <c r="F420" s="458"/>
    </row>
    <row r="421" spans="1:6">
      <c r="A421" s="457"/>
      <c r="B421" s="458"/>
      <c r="C421" s="458"/>
      <c r="D421" s="458"/>
      <c r="E421" s="458"/>
      <c r="F421" s="458"/>
    </row>
    <row r="422" spans="1:6">
      <c r="A422" s="457"/>
      <c r="B422" s="458"/>
      <c r="C422" s="458"/>
      <c r="D422" s="458"/>
      <c r="E422" s="458"/>
      <c r="F422" s="458"/>
    </row>
    <row r="423" spans="1:6">
      <c r="A423" s="457"/>
      <c r="B423" s="458"/>
      <c r="C423" s="458"/>
      <c r="D423" s="458"/>
      <c r="E423" s="458"/>
      <c r="F423" s="458"/>
    </row>
    <row r="424" spans="1:6">
      <c r="A424" s="457"/>
      <c r="B424" s="458"/>
      <c r="C424" s="458"/>
      <c r="D424" s="458"/>
      <c r="E424" s="458"/>
      <c r="F424" s="458"/>
    </row>
    <row r="425" spans="1:6">
      <c r="A425" s="457"/>
      <c r="B425" s="458"/>
      <c r="C425" s="458"/>
      <c r="D425" s="458"/>
      <c r="E425" s="458"/>
      <c r="F425" s="458"/>
    </row>
    <row r="426" spans="1:6">
      <c r="A426" s="457"/>
      <c r="B426" s="458"/>
      <c r="C426" s="458"/>
      <c r="D426" s="458"/>
      <c r="E426" s="458"/>
      <c r="F426" s="458"/>
    </row>
    <row r="427" spans="1:6">
      <c r="A427" s="457"/>
      <c r="B427" s="458"/>
      <c r="C427" s="458"/>
      <c r="D427" s="458"/>
      <c r="E427" s="458"/>
      <c r="F427" s="458"/>
    </row>
    <row r="428" spans="1:6">
      <c r="A428" s="457"/>
      <c r="B428" s="458"/>
      <c r="C428" s="458"/>
      <c r="D428" s="458"/>
      <c r="E428" s="458"/>
      <c r="F428" s="458"/>
    </row>
    <row r="429" spans="1:6">
      <c r="A429" s="457"/>
      <c r="B429" s="458"/>
      <c r="C429" s="458"/>
      <c r="D429" s="458"/>
      <c r="E429" s="458"/>
      <c r="F429" s="458"/>
    </row>
    <row r="430" spans="1:6">
      <c r="A430" s="457"/>
      <c r="B430" s="458"/>
      <c r="C430" s="458"/>
      <c r="D430" s="458"/>
      <c r="E430" s="458"/>
      <c r="F430" s="458"/>
    </row>
    <row r="431" spans="1:6">
      <c r="A431" s="457"/>
      <c r="B431" s="458"/>
      <c r="C431" s="458"/>
      <c r="D431" s="458"/>
      <c r="E431" s="458"/>
      <c r="F431" s="458"/>
    </row>
    <row r="432" spans="1:6">
      <c r="A432" s="457"/>
      <c r="B432" s="458"/>
      <c r="C432" s="458"/>
      <c r="D432" s="458"/>
      <c r="E432" s="458"/>
      <c r="F432" s="458"/>
    </row>
    <row r="433" spans="1:6">
      <c r="A433" s="457"/>
      <c r="B433" s="458"/>
      <c r="C433" s="458"/>
      <c r="D433" s="458"/>
      <c r="E433" s="458"/>
      <c r="F433" s="458"/>
    </row>
    <row r="434" spans="1:6">
      <c r="A434" s="457"/>
      <c r="B434" s="458"/>
      <c r="C434" s="458"/>
      <c r="D434" s="458"/>
      <c r="E434" s="458"/>
      <c r="F434" s="458"/>
    </row>
    <row r="435" spans="1:6">
      <c r="A435" s="457"/>
      <c r="B435" s="458"/>
      <c r="C435" s="458"/>
      <c r="D435" s="458"/>
      <c r="E435" s="458"/>
      <c r="F435" s="458"/>
    </row>
    <row r="436" spans="1:6">
      <c r="A436" s="457"/>
      <c r="B436" s="458"/>
      <c r="C436" s="458"/>
      <c r="D436" s="458"/>
      <c r="E436" s="458"/>
      <c r="F436" s="458"/>
    </row>
    <row r="437" spans="1:6">
      <c r="A437" s="457"/>
      <c r="B437" s="458"/>
      <c r="C437" s="458"/>
      <c r="D437" s="458"/>
      <c r="E437" s="458"/>
      <c r="F437" s="458"/>
    </row>
    <row r="438" spans="1:6">
      <c r="A438" s="457"/>
      <c r="B438" s="458"/>
      <c r="C438" s="458"/>
      <c r="D438" s="458"/>
      <c r="E438" s="458"/>
      <c r="F438" s="458"/>
    </row>
    <row r="439" spans="1:6">
      <c r="A439" s="457"/>
      <c r="B439" s="458"/>
      <c r="C439" s="458"/>
      <c r="D439" s="458"/>
      <c r="E439" s="458"/>
      <c r="F439" s="458"/>
    </row>
    <row r="440" spans="1:6">
      <c r="A440" s="457"/>
      <c r="B440" s="458"/>
      <c r="C440" s="458"/>
      <c r="D440" s="458"/>
      <c r="E440" s="458"/>
      <c r="F440" s="458"/>
    </row>
    <row r="441" spans="1:6">
      <c r="A441" s="457"/>
      <c r="B441" s="458"/>
      <c r="C441" s="458"/>
      <c r="D441" s="458"/>
      <c r="E441" s="458"/>
      <c r="F441" s="458"/>
    </row>
    <row r="442" spans="1:6">
      <c r="A442" s="457"/>
      <c r="B442" s="458"/>
      <c r="C442" s="458"/>
      <c r="D442" s="458"/>
      <c r="E442" s="458"/>
      <c r="F442" s="458"/>
    </row>
    <row r="443" spans="1:6">
      <c r="A443" s="457"/>
      <c r="B443" s="458"/>
      <c r="C443" s="458"/>
      <c r="D443" s="458"/>
      <c r="E443" s="458"/>
      <c r="F443" s="458"/>
    </row>
    <row r="444" spans="1:6">
      <c r="A444" s="457"/>
      <c r="B444" s="458"/>
      <c r="C444" s="458"/>
      <c r="D444" s="458"/>
      <c r="E444" s="458"/>
      <c r="F444" s="458"/>
    </row>
    <row r="445" spans="1:6">
      <c r="A445" s="457"/>
      <c r="B445" s="458"/>
      <c r="C445" s="458"/>
      <c r="D445" s="458"/>
      <c r="E445" s="458"/>
      <c r="F445" s="458"/>
    </row>
    <row r="446" spans="1:6">
      <c r="A446" s="457"/>
      <c r="B446" s="458"/>
      <c r="C446" s="458"/>
      <c r="D446" s="458"/>
      <c r="E446" s="458"/>
      <c r="F446" s="458"/>
    </row>
    <row r="447" spans="1:6">
      <c r="A447" s="457"/>
      <c r="B447" s="458"/>
      <c r="C447" s="458"/>
      <c r="D447" s="458"/>
      <c r="E447" s="458"/>
      <c r="F447" s="458"/>
    </row>
    <row r="448" spans="1:6">
      <c r="A448" s="457"/>
      <c r="B448" s="458"/>
      <c r="C448" s="458"/>
      <c r="D448" s="458"/>
      <c r="E448" s="458"/>
      <c r="F448" s="458"/>
    </row>
    <row r="449" spans="1:6">
      <c r="A449" s="457"/>
      <c r="B449" s="458"/>
      <c r="C449" s="458"/>
      <c r="D449" s="458"/>
      <c r="E449" s="458"/>
      <c r="F449" s="458"/>
    </row>
    <row r="450" spans="1:6">
      <c r="A450" s="457"/>
      <c r="B450" s="458"/>
      <c r="C450" s="458"/>
      <c r="D450" s="458"/>
      <c r="E450" s="458"/>
      <c r="F450" s="458"/>
    </row>
    <row r="451" spans="1:6">
      <c r="A451" s="457"/>
      <c r="B451" s="458"/>
      <c r="C451" s="458"/>
      <c r="D451" s="458"/>
      <c r="E451" s="458"/>
      <c r="F451" s="458"/>
    </row>
    <row r="452" spans="1:6">
      <c r="A452" s="457"/>
      <c r="B452" s="458"/>
      <c r="C452" s="458"/>
      <c r="D452" s="458"/>
      <c r="E452" s="458"/>
      <c r="F452" s="458"/>
    </row>
    <row r="453" spans="1:6">
      <c r="A453" s="457"/>
      <c r="B453" s="458"/>
      <c r="C453" s="458"/>
      <c r="D453" s="458"/>
      <c r="E453" s="458"/>
      <c r="F453" s="458"/>
    </row>
    <row r="454" spans="1:6">
      <c r="A454" s="457"/>
      <c r="B454" s="458"/>
      <c r="C454" s="458"/>
      <c r="D454" s="458"/>
      <c r="E454" s="458"/>
      <c r="F454" s="458"/>
    </row>
    <row r="455" spans="1:6">
      <c r="A455" s="457"/>
      <c r="B455" s="458"/>
      <c r="C455" s="458"/>
      <c r="D455" s="458"/>
      <c r="E455" s="458"/>
      <c r="F455" s="458"/>
    </row>
    <row r="456" spans="1:6">
      <c r="A456" s="457"/>
      <c r="B456" s="458"/>
      <c r="C456" s="458"/>
      <c r="D456" s="458"/>
      <c r="E456" s="458"/>
      <c r="F456" s="458"/>
    </row>
    <row r="457" spans="1:6">
      <c r="A457" s="457"/>
      <c r="B457" s="458"/>
      <c r="C457" s="458"/>
      <c r="D457" s="458"/>
      <c r="E457" s="458"/>
      <c r="F457" s="458"/>
    </row>
    <row r="458" spans="1:6">
      <c r="A458" s="457"/>
      <c r="B458" s="458"/>
      <c r="C458" s="458"/>
      <c r="D458" s="458"/>
      <c r="E458" s="458"/>
      <c r="F458" s="458"/>
    </row>
    <row r="459" spans="1:6">
      <c r="A459" s="457"/>
      <c r="B459" s="458"/>
      <c r="C459" s="458"/>
      <c r="D459" s="458"/>
      <c r="E459" s="458"/>
      <c r="F459" s="458"/>
    </row>
    <row r="460" spans="1:6">
      <c r="A460" s="457"/>
      <c r="B460" s="458"/>
      <c r="C460" s="458"/>
      <c r="D460" s="458"/>
      <c r="E460" s="458"/>
      <c r="F460" s="458"/>
    </row>
    <row r="461" spans="1:6">
      <c r="A461" s="457"/>
      <c r="B461" s="458"/>
      <c r="C461" s="458"/>
      <c r="D461" s="458"/>
      <c r="E461" s="458"/>
      <c r="F461" s="458"/>
    </row>
    <row r="462" spans="1:6">
      <c r="A462" s="457"/>
      <c r="B462" s="458"/>
      <c r="C462" s="458"/>
      <c r="D462" s="458"/>
      <c r="E462" s="458"/>
      <c r="F462" s="458"/>
    </row>
    <row r="463" spans="1:6">
      <c r="A463" s="457"/>
      <c r="B463" s="458"/>
      <c r="C463" s="458"/>
      <c r="D463" s="458"/>
      <c r="E463" s="458"/>
      <c r="F463" s="458"/>
    </row>
    <row r="464" spans="1:6">
      <c r="A464" s="457"/>
      <c r="B464" s="458"/>
      <c r="C464" s="458"/>
      <c r="D464" s="458"/>
      <c r="E464" s="458"/>
      <c r="F464" s="458"/>
    </row>
    <row r="465" spans="1:6">
      <c r="A465" s="457"/>
      <c r="B465" s="458"/>
      <c r="C465" s="458"/>
      <c r="D465" s="458"/>
      <c r="E465" s="458"/>
      <c r="F465" s="458"/>
    </row>
    <row r="466" spans="1:6">
      <c r="A466" s="457"/>
      <c r="B466" s="458"/>
      <c r="C466" s="458"/>
      <c r="D466" s="458"/>
      <c r="E466" s="458"/>
      <c r="F466" s="458"/>
    </row>
    <row r="467" spans="1:6">
      <c r="A467" s="457"/>
      <c r="B467" s="458"/>
      <c r="C467" s="458"/>
      <c r="D467" s="458"/>
      <c r="E467" s="458"/>
      <c r="F467" s="458"/>
    </row>
    <row r="468" spans="1:6">
      <c r="A468" s="457"/>
      <c r="B468" s="458"/>
      <c r="C468" s="458"/>
      <c r="D468" s="458"/>
      <c r="E468" s="458"/>
      <c r="F468" s="458"/>
    </row>
    <row r="469" spans="1:6">
      <c r="A469" s="457"/>
      <c r="B469" s="458"/>
      <c r="C469" s="458"/>
      <c r="D469" s="458"/>
      <c r="E469" s="458"/>
      <c r="F469" s="458"/>
    </row>
    <row r="470" spans="1:6">
      <c r="A470" s="457"/>
      <c r="B470" s="458"/>
      <c r="C470" s="458"/>
      <c r="D470" s="458"/>
      <c r="E470" s="458"/>
      <c r="F470" s="458"/>
    </row>
    <row r="471" spans="1:6">
      <c r="A471" s="457"/>
      <c r="B471" s="458"/>
      <c r="C471" s="458"/>
      <c r="D471" s="458"/>
      <c r="E471" s="458"/>
      <c r="F471" s="458"/>
    </row>
    <row r="472" spans="1:6">
      <c r="A472" s="457"/>
      <c r="B472" s="458"/>
      <c r="C472" s="458"/>
      <c r="D472" s="458"/>
      <c r="E472" s="458"/>
      <c r="F472" s="458"/>
    </row>
    <row r="473" spans="1:6">
      <c r="A473" s="457"/>
      <c r="B473" s="458"/>
      <c r="C473" s="458"/>
      <c r="D473" s="458"/>
      <c r="E473" s="458"/>
      <c r="F473" s="458"/>
    </row>
    <row r="474" spans="1:6">
      <c r="A474" s="457"/>
      <c r="B474" s="458"/>
      <c r="C474" s="458"/>
      <c r="D474" s="458"/>
      <c r="E474" s="458"/>
      <c r="F474" s="458"/>
    </row>
    <row r="475" spans="1:6">
      <c r="A475" s="457"/>
      <c r="B475" s="458"/>
      <c r="C475" s="458"/>
      <c r="D475" s="458"/>
      <c r="E475" s="458"/>
      <c r="F475" s="458"/>
    </row>
    <row r="476" spans="1:6">
      <c r="A476" s="457"/>
      <c r="B476" s="458"/>
      <c r="C476" s="458"/>
      <c r="D476" s="458"/>
      <c r="E476" s="458"/>
      <c r="F476" s="458"/>
    </row>
    <row r="477" spans="1:6">
      <c r="A477" s="457"/>
      <c r="B477" s="458"/>
      <c r="C477" s="458"/>
      <c r="D477" s="458"/>
      <c r="E477" s="458"/>
      <c r="F477" s="458"/>
    </row>
    <row r="478" spans="1:6">
      <c r="A478" s="457"/>
      <c r="B478" s="458"/>
      <c r="C478" s="458"/>
      <c r="D478" s="458"/>
      <c r="E478" s="458"/>
      <c r="F478" s="458"/>
    </row>
    <row r="479" spans="1:6">
      <c r="A479" s="457"/>
      <c r="B479" s="458"/>
      <c r="C479" s="458"/>
      <c r="D479" s="458"/>
      <c r="E479" s="458"/>
      <c r="F479" s="458"/>
    </row>
    <row r="480" spans="1:6">
      <c r="A480" s="457"/>
      <c r="B480" s="458"/>
      <c r="C480" s="458"/>
      <c r="D480" s="458"/>
      <c r="E480" s="458"/>
      <c r="F480" s="458"/>
    </row>
    <row r="481" spans="1:6">
      <c r="A481" s="457"/>
      <c r="B481" s="458"/>
      <c r="C481" s="458"/>
      <c r="D481" s="458"/>
      <c r="E481" s="458"/>
      <c r="F481" s="458"/>
    </row>
    <row r="482" spans="1:6">
      <c r="A482" s="457"/>
      <c r="B482" s="458"/>
      <c r="C482" s="458"/>
      <c r="D482" s="458"/>
      <c r="E482" s="458"/>
      <c r="F482" s="458"/>
    </row>
    <row r="483" spans="1:6">
      <c r="A483" s="457"/>
      <c r="B483" s="458"/>
      <c r="C483" s="458"/>
      <c r="D483" s="458"/>
      <c r="E483" s="458"/>
      <c r="F483" s="458"/>
    </row>
    <row r="484" spans="1:6">
      <c r="A484" s="457"/>
      <c r="B484" s="458"/>
      <c r="C484" s="458"/>
      <c r="D484" s="458"/>
      <c r="E484" s="458"/>
      <c r="F484" s="458"/>
    </row>
    <row r="485" spans="1:6">
      <c r="A485" s="457"/>
      <c r="B485" s="458"/>
      <c r="C485" s="458"/>
      <c r="D485" s="458"/>
      <c r="E485" s="458"/>
      <c r="F485" s="458"/>
    </row>
    <row r="486" spans="1:6">
      <c r="A486" s="457"/>
      <c r="B486" s="458"/>
      <c r="C486" s="458"/>
      <c r="D486" s="458"/>
      <c r="E486" s="458"/>
      <c r="F486" s="458"/>
    </row>
    <row r="487" spans="1:6">
      <c r="A487" s="457"/>
      <c r="B487" s="458"/>
      <c r="C487" s="458"/>
      <c r="D487" s="458"/>
      <c r="E487" s="458"/>
      <c r="F487" s="458"/>
    </row>
    <row r="488" spans="1:6">
      <c r="A488" s="457"/>
      <c r="B488" s="458"/>
      <c r="C488" s="458"/>
      <c r="D488" s="458"/>
      <c r="E488" s="458"/>
      <c r="F488" s="458"/>
    </row>
    <row r="489" spans="1:6">
      <c r="A489" s="457"/>
      <c r="B489" s="458"/>
      <c r="C489" s="458"/>
      <c r="D489" s="458"/>
      <c r="E489" s="458"/>
      <c r="F489" s="458"/>
    </row>
    <row r="490" spans="1:6">
      <c r="A490" s="457"/>
      <c r="B490" s="458"/>
      <c r="C490" s="458"/>
      <c r="D490" s="458"/>
      <c r="E490" s="458"/>
      <c r="F490" s="458"/>
    </row>
    <row r="491" spans="1:6">
      <c r="A491" s="457"/>
      <c r="B491" s="458"/>
      <c r="C491" s="458"/>
      <c r="D491" s="458"/>
      <c r="E491" s="458"/>
      <c r="F491" s="458"/>
    </row>
    <row r="492" spans="1:6">
      <c r="A492" s="457"/>
      <c r="B492" s="458"/>
      <c r="C492" s="458"/>
      <c r="D492" s="458"/>
      <c r="E492" s="458"/>
      <c r="F492" s="458"/>
    </row>
    <row r="493" spans="1:6">
      <c r="A493" s="457"/>
      <c r="B493" s="458"/>
      <c r="C493" s="458"/>
      <c r="D493" s="458"/>
      <c r="E493" s="458"/>
      <c r="F493" s="458"/>
    </row>
    <row r="494" spans="1:6">
      <c r="A494" s="457"/>
      <c r="B494" s="458"/>
      <c r="C494" s="458"/>
      <c r="D494" s="458"/>
      <c r="E494" s="458"/>
      <c r="F494" s="458"/>
    </row>
    <row r="495" spans="1:6">
      <c r="A495" s="457"/>
      <c r="B495" s="458"/>
      <c r="C495" s="458"/>
      <c r="D495" s="458"/>
      <c r="E495" s="458"/>
      <c r="F495" s="458"/>
    </row>
    <row r="496" spans="1:6">
      <c r="A496" s="457"/>
      <c r="B496" s="458"/>
      <c r="C496" s="458"/>
      <c r="D496" s="458"/>
      <c r="E496" s="458"/>
      <c r="F496" s="458"/>
    </row>
    <row r="497" spans="1:6">
      <c r="A497" s="457"/>
      <c r="B497" s="458"/>
      <c r="C497" s="458"/>
      <c r="D497" s="458"/>
      <c r="E497" s="458"/>
      <c r="F497" s="458"/>
    </row>
    <row r="498" spans="1:6">
      <c r="A498" s="457"/>
      <c r="B498" s="458"/>
      <c r="C498" s="458"/>
      <c r="D498" s="458"/>
      <c r="E498" s="458"/>
      <c r="F498" s="458"/>
    </row>
    <row r="499" spans="1:6">
      <c r="A499" s="457"/>
      <c r="B499" s="458"/>
      <c r="C499" s="458"/>
      <c r="D499" s="458"/>
      <c r="E499" s="458"/>
      <c r="F499" s="458"/>
    </row>
    <row r="500" spans="1:6">
      <c r="A500" s="457"/>
      <c r="B500" s="458"/>
      <c r="C500" s="458"/>
      <c r="D500" s="458"/>
      <c r="E500" s="458"/>
      <c r="F500" s="458"/>
    </row>
    <row r="501" spans="1:6">
      <c r="A501" s="457"/>
      <c r="B501" s="458"/>
      <c r="C501" s="458"/>
      <c r="D501" s="458"/>
      <c r="E501" s="458"/>
      <c r="F501" s="458"/>
    </row>
    <row r="502" spans="1:6">
      <c r="A502" s="457"/>
      <c r="B502" s="458"/>
      <c r="C502" s="458"/>
      <c r="D502" s="458"/>
      <c r="E502" s="458"/>
      <c r="F502" s="458"/>
    </row>
    <row r="503" spans="1:6">
      <c r="A503" s="457"/>
      <c r="B503" s="458"/>
      <c r="C503" s="458"/>
      <c r="D503" s="458"/>
      <c r="E503" s="458"/>
      <c r="F503" s="458"/>
    </row>
    <row r="504" spans="1:6">
      <c r="A504" s="457"/>
      <c r="B504" s="458"/>
      <c r="C504" s="458"/>
      <c r="D504" s="458"/>
      <c r="E504" s="458"/>
      <c r="F504" s="458"/>
    </row>
    <row r="505" spans="1:6">
      <c r="A505" s="457"/>
      <c r="B505" s="458"/>
      <c r="C505" s="458"/>
      <c r="D505" s="458"/>
      <c r="E505" s="458"/>
      <c r="F505" s="458"/>
    </row>
    <row r="506" spans="1:6">
      <c r="A506" s="457"/>
      <c r="B506" s="458"/>
      <c r="C506" s="458"/>
      <c r="D506" s="458"/>
      <c r="E506" s="458"/>
      <c r="F506" s="458"/>
    </row>
    <row r="507" spans="1:6">
      <c r="A507" s="457"/>
      <c r="B507" s="458"/>
      <c r="C507" s="458"/>
      <c r="D507" s="458"/>
      <c r="E507" s="458"/>
      <c r="F507" s="458"/>
    </row>
    <row r="508" spans="1:6">
      <c r="A508" s="457"/>
      <c r="B508" s="458"/>
      <c r="C508" s="458"/>
      <c r="D508" s="458"/>
      <c r="E508" s="458"/>
      <c r="F508" s="458"/>
    </row>
    <row r="509" spans="1:6">
      <c r="A509" s="457"/>
      <c r="B509" s="458"/>
      <c r="C509" s="458"/>
      <c r="D509" s="458"/>
      <c r="E509" s="458"/>
      <c r="F509" s="458"/>
    </row>
    <row r="510" spans="1:6">
      <c r="A510" s="457"/>
      <c r="B510" s="458"/>
      <c r="C510" s="458"/>
      <c r="D510" s="458"/>
      <c r="E510" s="458"/>
      <c r="F510" s="458"/>
    </row>
    <row r="511" spans="1:6">
      <c r="A511" s="457"/>
      <c r="B511" s="458"/>
      <c r="C511" s="458"/>
      <c r="D511" s="458"/>
      <c r="E511" s="458"/>
      <c r="F511" s="458"/>
    </row>
    <row r="512" spans="1:6">
      <c r="A512" s="457"/>
      <c r="B512" s="458"/>
      <c r="C512" s="458"/>
      <c r="D512" s="458"/>
      <c r="E512" s="458"/>
      <c r="F512" s="458"/>
    </row>
    <row r="513" spans="1:6">
      <c r="A513" s="457"/>
      <c r="B513" s="458"/>
      <c r="C513" s="458"/>
      <c r="D513" s="458"/>
      <c r="E513" s="458"/>
      <c r="F513" s="458"/>
    </row>
    <row r="514" spans="1:6">
      <c r="A514" s="457"/>
      <c r="B514" s="458"/>
      <c r="C514" s="458"/>
      <c r="D514" s="458"/>
      <c r="E514" s="458"/>
      <c r="F514" s="458"/>
    </row>
    <row r="515" spans="1:6">
      <c r="A515" s="457"/>
      <c r="B515" s="458"/>
      <c r="C515" s="458"/>
      <c r="D515" s="458"/>
      <c r="E515" s="458"/>
      <c r="F515" s="458"/>
    </row>
    <row r="516" spans="1:6">
      <c r="A516" s="457"/>
      <c r="B516" s="458"/>
      <c r="C516" s="458"/>
      <c r="D516" s="458"/>
      <c r="E516" s="458"/>
      <c r="F516" s="458"/>
    </row>
    <row r="517" spans="1:6">
      <c r="A517" s="457"/>
      <c r="B517" s="458"/>
      <c r="C517" s="458"/>
      <c r="D517" s="458"/>
      <c r="E517" s="458"/>
      <c r="F517" s="458"/>
    </row>
    <row r="518" spans="1:6">
      <c r="A518" s="457"/>
      <c r="B518" s="458"/>
      <c r="C518" s="458"/>
      <c r="D518" s="458"/>
      <c r="E518" s="458"/>
      <c r="F518" s="458"/>
    </row>
    <row r="519" spans="1:6">
      <c r="A519" s="457"/>
      <c r="B519" s="458"/>
      <c r="C519" s="458"/>
      <c r="D519" s="458"/>
      <c r="E519" s="458"/>
      <c r="F519" s="458"/>
    </row>
    <row r="520" spans="1:6">
      <c r="A520" s="457"/>
      <c r="B520" s="458"/>
      <c r="C520" s="458"/>
      <c r="D520" s="458"/>
      <c r="E520" s="458"/>
      <c r="F520" s="458"/>
    </row>
    <row r="521" spans="1:6">
      <c r="A521" s="457"/>
      <c r="B521" s="458"/>
      <c r="C521" s="458"/>
      <c r="D521" s="458"/>
      <c r="E521" s="458"/>
      <c r="F521" s="458"/>
    </row>
    <row r="522" spans="1:6">
      <c r="A522" s="457"/>
      <c r="B522" s="458"/>
      <c r="C522" s="458"/>
      <c r="D522" s="458"/>
      <c r="E522" s="458"/>
      <c r="F522" s="458"/>
    </row>
    <row r="523" spans="1:6">
      <c r="A523" s="457"/>
      <c r="B523" s="458"/>
      <c r="C523" s="458"/>
      <c r="D523" s="458"/>
      <c r="E523" s="458"/>
      <c r="F523" s="458"/>
    </row>
    <row r="524" spans="1:6">
      <c r="A524" s="457"/>
      <c r="B524" s="458"/>
      <c r="C524" s="458"/>
      <c r="D524" s="458"/>
      <c r="E524" s="458"/>
      <c r="F524" s="458"/>
    </row>
    <row r="525" spans="1:6">
      <c r="A525" s="457"/>
      <c r="B525" s="458"/>
      <c r="C525" s="458"/>
      <c r="D525" s="458"/>
      <c r="E525" s="458"/>
      <c r="F525" s="458"/>
    </row>
    <row r="526" spans="1:6">
      <c r="A526" s="457"/>
      <c r="B526" s="458"/>
      <c r="C526" s="458"/>
      <c r="D526" s="458"/>
      <c r="E526" s="458"/>
      <c r="F526" s="458"/>
    </row>
    <row r="527" spans="1:6">
      <c r="A527" s="457"/>
      <c r="B527" s="458"/>
      <c r="C527" s="458"/>
      <c r="D527" s="458"/>
      <c r="E527" s="458"/>
      <c r="F527" s="458"/>
    </row>
    <row r="528" spans="1:6">
      <c r="A528" s="457"/>
      <c r="B528" s="458"/>
      <c r="C528" s="458"/>
      <c r="D528" s="458"/>
      <c r="E528" s="458"/>
      <c r="F528" s="458"/>
    </row>
    <row r="529" spans="1:6">
      <c r="A529" s="457"/>
      <c r="B529" s="458"/>
      <c r="C529" s="458"/>
      <c r="D529" s="458"/>
      <c r="E529" s="458"/>
      <c r="F529" s="458"/>
    </row>
    <row r="530" spans="1:6">
      <c r="A530" s="457"/>
      <c r="B530" s="458"/>
      <c r="C530" s="458"/>
      <c r="D530" s="458"/>
      <c r="E530" s="458"/>
      <c r="F530" s="458"/>
    </row>
    <row r="531" spans="1:6">
      <c r="A531" s="457"/>
      <c r="B531" s="458"/>
      <c r="C531" s="458"/>
      <c r="D531" s="458"/>
      <c r="E531" s="458"/>
      <c r="F531" s="458"/>
    </row>
    <row r="532" spans="1:6">
      <c r="A532" s="457"/>
      <c r="B532" s="458"/>
      <c r="C532" s="458"/>
      <c r="D532" s="458"/>
      <c r="E532" s="458"/>
      <c r="F532" s="458"/>
    </row>
    <row r="533" spans="1:6">
      <c r="A533" s="457"/>
      <c r="B533" s="458"/>
      <c r="C533" s="458"/>
      <c r="D533" s="458"/>
      <c r="E533" s="458"/>
      <c r="F533" s="458"/>
    </row>
    <row r="534" spans="1:6">
      <c r="A534" s="457"/>
      <c r="B534" s="458"/>
      <c r="C534" s="458"/>
      <c r="D534" s="458"/>
      <c r="E534" s="458"/>
      <c r="F534" s="458"/>
    </row>
    <row r="535" spans="1:6">
      <c r="A535" s="457"/>
      <c r="B535" s="458"/>
      <c r="C535" s="458"/>
      <c r="D535" s="458"/>
      <c r="E535" s="458"/>
      <c r="F535" s="458"/>
    </row>
    <row r="536" spans="1:6">
      <c r="A536" s="457"/>
      <c r="B536" s="458"/>
      <c r="C536" s="458"/>
      <c r="D536" s="458"/>
      <c r="E536" s="458"/>
      <c r="F536" s="458"/>
    </row>
    <row r="537" spans="1:6">
      <c r="A537" s="457"/>
      <c r="B537" s="458"/>
      <c r="C537" s="458"/>
      <c r="D537" s="458"/>
      <c r="E537" s="458"/>
      <c r="F537" s="458"/>
    </row>
    <row r="538" spans="1:6">
      <c r="A538" s="457"/>
      <c r="B538" s="458"/>
      <c r="C538" s="458"/>
      <c r="D538" s="458"/>
      <c r="E538" s="458"/>
      <c r="F538" s="458"/>
    </row>
    <row r="539" spans="1:6">
      <c r="A539" s="457"/>
      <c r="B539" s="458"/>
      <c r="C539" s="458"/>
      <c r="D539" s="458"/>
      <c r="E539" s="458"/>
      <c r="F539" s="458"/>
    </row>
    <row r="540" spans="1:6">
      <c r="A540" s="457"/>
      <c r="B540" s="458"/>
      <c r="C540" s="458"/>
      <c r="D540" s="458"/>
      <c r="E540" s="458"/>
      <c r="F540" s="458"/>
    </row>
    <row r="541" spans="1:6">
      <c r="A541" s="457"/>
      <c r="B541" s="458"/>
      <c r="C541" s="458"/>
      <c r="D541" s="458"/>
      <c r="E541" s="458"/>
      <c r="F541" s="458"/>
    </row>
    <row r="542" spans="1:6">
      <c r="A542" s="457"/>
      <c r="B542" s="458"/>
      <c r="C542" s="458"/>
      <c r="D542" s="458"/>
      <c r="E542" s="458"/>
      <c r="F542" s="458"/>
    </row>
    <row r="543" spans="1:6">
      <c r="A543" s="457"/>
      <c r="B543" s="458"/>
      <c r="C543" s="458"/>
      <c r="D543" s="458"/>
      <c r="E543" s="458"/>
      <c r="F543" s="458"/>
    </row>
    <row r="544" spans="1:6">
      <c r="A544" s="457"/>
      <c r="B544" s="458"/>
      <c r="C544" s="458"/>
      <c r="D544" s="458"/>
      <c r="E544" s="458"/>
      <c r="F544" s="458"/>
    </row>
    <row r="545" spans="1:6">
      <c r="A545" s="457"/>
      <c r="B545" s="458"/>
      <c r="C545" s="458"/>
      <c r="D545" s="458"/>
      <c r="E545" s="458"/>
      <c r="F545" s="458"/>
    </row>
    <row r="546" spans="1:6">
      <c r="A546" s="457"/>
      <c r="B546" s="458"/>
      <c r="C546" s="458"/>
      <c r="D546" s="458"/>
      <c r="E546" s="458"/>
      <c r="F546" s="458"/>
    </row>
    <row r="547" spans="1:6">
      <c r="A547" s="457"/>
      <c r="B547" s="458"/>
      <c r="C547" s="458"/>
      <c r="D547" s="458"/>
      <c r="E547" s="458"/>
      <c r="F547" s="458"/>
    </row>
    <row r="548" spans="1:6">
      <c r="A548" s="457"/>
      <c r="B548" s="458"/>
      <c r="C548" s="458"/>
      <c r="D548" s="458"/>
      <c r="E548" s="458"/>
      <c r="F548" s="458"/>
    </row>
    <row r="549" spans="1:6">
      <c r="A549" s="457"/>
      <c r="B549" s="458"/>
      <c r="C549" s="458"/>
      <c r="D549" s="458"/>
      <c r="E549" s="458"/>
      <c r="F549" s="458"/>
    </row>
    <row r="550" spans="1:6">
      <c r="A550" s="457"/>
      <c r="B550" s="458"/>
      <c r="C550" s="458"/>
      <c r="D550" s="458"/>
      <c r="E550" s="458"/>
      <c r="F550" s="458"/>
    </row>
    <row r="551" spans="1:6">
      <c r="A551" s="457"/>
      <c r="B551" s="458"/>
      <c r="C551" s="458"/>
      <c r="D551" s="458"/>
      <c r="E551" s="458"/>
      <c r="F551" s="458"/>
    </row>
    <row r="552" spans="1:6">
      <c r="A552" s="457"/>
      <c r="B552" s="458"/>
      <c r="C552" s="458"/>
      <c r="D552" s="458"/>
      <c r="E552" s="458"/>
      <c r="F552" s="458"/>
    </row>
    <row r="553" spans="1:6">
      <c r="A553" s="457"/>
      <c r="B553" s="458"/>
      <c r="C553" s="458"/>
      <c r="D553" s="458"/>
      <c r="E553" s="458"/>
      <c r="F553" s="458"/>
    </row>
    <row r="554" spans="1:6">
      <c r="A554" s="457"/>
      <c r="B554" s="458"/>
      <c r="C554" s="458"/>
      <c r="D554" s="458"/>
      <c r="E554" s="458"/>
      <c r="F554" s="458"/>
    </row>
    <row r="555" spans="1:6">
      <c r="A555" s="457"/>
      <c r="B555" s="458"/>
      <c r="C555" s="458"/>
      <c r="D555" s="458"/>
      <c r="E555" s="458"/>
      <c r="F555" s="458"/>
    </row>
    <row r="556" spans="1:6">
      <c r="A556" s="457"/>
      <c r="B556" s="458"/>
      <c r="C556" s="458"/>
      <c r="D556" s="458"/>
      <c r="E556" s="458"/>
      <c r="F556" s="458"/>
    </row>
    <row r="557" spans="1:6">
      <c r="A557" s="457"/>
      <c r="B557" s="458"/>
      <c r="C557" s="458"/>
      <c r="D557" s="458"/>
      <c r="E557" s="458"/>
      <c r="F557" s="458"/>
    </row>
    <row r="558" spans="1:6">
      <c r="A558" s="457"/>
      <c r="B558" s="458"/>
      <c r="C558" s="458"/>
      <c r="D558" s="458"/>
      <c r="E558" s="458"/>
      <c r="F558" s="458"/>
    </row>
    <row r="559" spans="1:6">
      <c r="A559" s="457"/>
      <c r="B559" s="458"/>
      <c r="C559" s="458"/>
      <c r="D559" s="458"/>
      <c r="E559" s="458"/>
      <c r="F559" s="458"/>
    </row>
    <row r="560" spans="1:6">
      <c r="A560" s="457"/>
      <c r="B560" s="458"/>
      <c r="C560" s="458"/>
      <c r="D560" s="458"/>
      <c r="E560" s="458"/>
      <c r="F560" s="458"/>
    </row>
    <row r="561" spans="1:6">
      <c r="A561" s="457"/>
      <c r="B561" s="458"/>
      <c r="C561" s="458"/>
      <c r="D561" s="458"/>
      <c r="E561" s="458"/>
      <c r="F561" s="458"/>
    </row>
    <row r="562" spans="1:6">
      <c r="A562" s="457"/>
      <c r="B562" s="458"/>
      <c r="C562" s="458"/>
      <c r="D562" s="458"/>
      <c r="E562" s="458"/>
      <c r="F562" s="458"/>
    </row>
    <row r="563" spans="1:6">
      <c r="A563" s="457"/>
      <c r="B563" s="458"/>
      <c r="C563" s="458"/>
      <c r="D563" s="458"/>
      <c r="E563" s="458"/>
      <c r="F563" s="458"/>
    </row>
    <row r="564" spans="1:6">
      <c r="A564" s="457"/>
      <c r="B564" s="458"/>
      <c r="C564" s="458"/>
      <c r="D564" s="458"/>
      <c r="E564" s="458"/>
      <c r="F564" s="458"/>
    </row>
    <row r="565" spans="1:6">
      <c r="A565" s="457"/>
      <c r="B565" s="458"/>
      <c r="C565" s="458"/>
      <c r="D565" s="458"/>
      <c r="E565" s="458"/>
      <c r="F565" s="458"/>
    </row>
    <row r="566" spans="1:6">
      <c r="A566" s="457"/>
      <c r="B566" s="458"/>
      <c r="C566" s="458"/>
      <c r="D566" s="458"/>
      <c r="E566" s="458"/>
      <c r="F566" s="458"/>
    </row>
    <row r="567" spans="1:6">
      <c r="A567" s="457"/>
      <c r="B567" s="458"/>
      <c r="C567" s="458"/>
      <c r="D567" s="458"/>
      <c r="E567" s="458"/>
      <c r="F567" s="458"/>
    </row>
    <row r="568" spans="1:6">
      <c r="A568" s="457"/>
      <c r="B568" s="458"/>
      <c r="C568" s="458"/>
      <c r="D568" s="458"/>
      <c r="E568" s="458"/>
      <c r="F568" s="458"/>
    </row>
    <row r="569" spans="1:6">
      <c r="A569" s="457"/>
      <c r="B569" s="458"/>
      <c r="C569" s="458"/>
      <c r="D569" s="458"/>
      <c r="E569" s="458"/>
      <c r="F569" s="458"/>
    </row>
    <row r="570" spans="1:6">
      <c r="A570" s="457"/>
      <c r="B570" s="458"/>
      <c r="C570" s="458"/>
      <c r="D570" s="458"/>
      <c r="E570" s="458"/>
      <c r="F570" s="458"/>
    </row>
    <row r="571" spans="1:6">
      <c r="A571" s="457"/>
      <c r="B571" s="458"/>
      <c r="C571" s="458"/>
      <c r="D571" s="458"/>
      <c r="E571" s="458"/>
      <c r="F571" s="458"/>
    </row>
    <row r="572" spans="1:6">
      <c r="A572" s="457"/>
      <c r="B572" s="458"/>
      <c r="C572" s="458"/>
      <c r="D572" s="458"/>
      <c r="E572" s="458"/>
      <c r="F572" s="458"/>
    </row>
    <row r="573" spans="1:6">
      <c r="A573" s="457"/>
      <c r="B573" s="458"/>
      <c r="C573" s="458"/>
      <c r="D573" s="458"/>
      <c r="E573" s="458"/>
      <c r="F573" s="458"/>
    </row>
    <row r="574" spans="1:6">
      <c r="A574" s="457"/>
      <c r="B574" s="458"/>
      <c r="C574" s="458"/>
      <c r="D574" s="458"/>
      <c r="E574" s="458"/>
      <c r="F574" s="458"/>
    </row>
    <row r="575" spans="1:6">
      <c r="A575" s="457"/>
      <c r="B575" s="458"/>
      <c r="C575" s="458"/>
      <c r="D575" s="458"/>
      <c r="E575" s="458"/>
      <c r="F575" s="458"/>
    </row>
    <row r="576" spans="1:6">
      <c r="A576" s="457"/>
      <c r="B576" s="458"/>
      <c r="C576" s="458"/>
      <c r="D576" s="458"/>
      <c r="E576" s="458"/>
      <c r="F576" s="458"/>
    </row>
    <row r="577" spans="1:6">
      <c r="A577" s="457"/>
      <c r="B577" s="458"/>
      <c r="C577" s="458"/>
      <c r="D577" s="458"/>
      <c r="E577" s="458"/>
      <c r="F577" s="458"/>
    </row>
    <row r="578" spans="1:6">
      <c r="A578" s="457"/>
      <c r="B578" s="458"/>
      <c r="C578" s="458"/>
      <c r="D578" s="458"/>
      <c r="E578" s="458"/>
      <c r="F578" s="458"/>
    </row>
    <row r="579" spans="1:6">
      <c r="A579" s="457"/>
      <c r="B579" s="458"/>
      <c r="C579" s="458"/>
      <c r="D579" s="458"/>
      <c r="E579" s="458"/>
      <c r="F579" s="458"/>
    </row>
    <row r="580" spans="1:6">
      <c r="A580" s="457"/>
      <c r="B580" s="458"/>
      <c r="C580" s="458"/>
      <c r="D580" s="458"/>
      <c r="E580" s="458"/>
      <c r="F580" s="458"/>
    </row>
    <row r="581" spans="1:6">
      <c r="A581" s="457"/>
      <c r="B581" s="458"/>
      <c r="C581" s="458"/>
      <c r="D581" s="458"/>
      <c r="E581" s="458"/>
      <c r="F581" s="458"/>
    </row>
    <row r="582" spans="1:6">
      <c r="A582" s="457"/>
      <c r="B582" s="458"/>
      <c r="C582" s="458"/>
      <c r="D582" s="458"/>
      <c r="E582" s="458"/>
      <c r="F582" s="458"/>
    </row>
    <row r="583" spans="1:6">
      <c r="A583" s="457"/>
      <c r="B583" s="458"/>
      <c r="C583" s="458"/>
      <c r="D583" s="458"/>
      <c r="E583" s="458"/>
      <c r="F583" s="458"/>
    </row>
    <row r="584" spans="1:6">
      <c r="A584" s="457"/>
      <c r="B584" s="458"/>
      <c r="C584" s="458"/>
      <c r="D584" s="458"/>
      <c r="E584" s="458"/>
      <c r="F584" s="458"/>
    </row>
    <row r="585" spans="1:6">
      <c r="A585" s="457"/>
      <c r="B585" s="458"/>
      <c r="C585" s="458"/>
      <c r="D585" s="458"/>
      <c r="E585" s="458"/>
      <c r="F585" s="458"/>
    </row>
    <row r="586" spans="1:6">
      <c r="A586" s="457"/>
      <c r="B586" s="458"/>
      <c r="C586" s="458"/>
      <c r="D586" s="458"/>
      <c r="E586" s="458"/>
      <c r="F586" s="458"/>
    </row>
    <row r="587" spans="1:6">
      <c r="A587" s="457"/>
      <c r="B587" s="458"/>
      <c r="C587" s="458"/>
      <c r="D587" s="458"/>
      <c r="E587" s="458"/>
      <c r="F587" s="458"/>
    </row>
    <row r="588" spans="1:6">
      <c r="A588" s="457"/>
      <c r="B588" s="458"/>
      <c r="C588" s="458"/>
      <c r="D588" s="458"/>
      <c r="E588" s="458"/>
      <c r="F588" s="458"/>
    </row>
    <row r="589" spans="1:6">
      <c r="A589" s="457"/>
      <c r="B589" s="458"/>
      <c r="C589" s="458"/>
      <c r="D589" s="458"/>
      <c r="E589" s="458"/>
      <c r="F589" s="458"/>
    </row>
    <row r="590" spans="1:6">
      <c r="A590" s="457"/>
      <c r="B590" s="458"/>
      <c r="C590" s="458"/>
      <c r="D590" s="458"/>
      <c r="E590" s="458"/>
      <c r="F590" s="458"/>
    </row>
    <row r="591" spans="1:6">
      <c r="A591" s="457"/>
      <c r="B591" s="458"/>
      <c r="C591" s="458"/>
      <c r="D591" s="458"/>
      <c r="E591" s="458"/>
      <c r="F591" s="458"/>
    </row>
    <row r="592" spans="1:6">
      <c r="A592" s="457"/>
      <c r="B592" s="458"/>
      <c r="C592" s="458"/>
      <c r="D592" s="458"/>
      <c r="E592" s="458"/>
      <c r="F592" s="458"/>
    </row>
    <row r="593" spans="1:6">
      <c r="A593" s="457"/>
      <c r="B593" s="458"/>
      <c r="C593" s="458"/>
      <c r="D593" s="458"/>
      <c r="E593" s="458"/>
      <c r="F593" s="458"/>
    </row>
    <row r="594" spans="1:6">
      <c r="A594" s="457"/>
      <c r="B594" s="458"/>
      <c r="C594" s="458"/>
      <c r="D594" s="458"/>
      <c r="E594" s="458"/>
      <c r="F594" s="458"/>
    </row>
    <row r="595" spans="1:6">
      <c r="A595" s="457"/>
      <c r="B595" s="458"/>
      <c r="C595" s="458"/>
      <c r="D595" s="458"/>
      <c r="E595" s="458"/>
      <c r="F595" s="458"/>
    </row>
    <row r="596" spans="1:6">
      <c r="A596" s="457"/>
      <c r="B596" s="458"/>
      <c r="C596" s="458"/>
      <c r="D596" s="458"/>
      <c r="E596" s="458"/>
      <c r="F596" s="458"/>
    </row>
    <row r="597" spans="1:6">
      <c r="A597" s="457"/>
      <c r="B597" s="458"/>
      <c r="C597" s="458"/>
      <c r="D597" s="458"/>
      <c r="E597" s="458"/>
      <c r="F597" s="458"/>
    </row>
    <row r="598" spans="1:6">
      <c r="A598" s="457"/>
      <c r="B598" s="458"/>
      <c r="C598" s="458"/>
      <c r="D598" s="458"/>
      <c r="E598" s="458"/>
      <c r="F598" s="458"/>
    </row>
    <row r="599" spans="1:6">
      <c r="A599" s="457"/>
      <c r="B599" s="458"/>
      <c r="C599" s="458"/>
      <c r="D599" s="458"/>
      <c r="E599" s="458"/>
      <c r="F599" s="458"/>
    </row>
    <row r="600" spans="1:6">
      <c r="A600" s="457"/>
      <c r="B600" s="458"/>
      <c r="C600" s="458"/>
      <c r="D600" s="458"/>
      <c r="E600" s="458"/>
      <c r="F600" s="458"/>
    </row>
    <row r="601" spans="1:6">
      <c r="A601" s="457"/>
      <c r="B601" s="458"/>
      <c r="C601" s="458"/>
      <c r="D601" s="458"/>
      <c r="E601" s="458"/>
      <c r="F601" s="458"/>
    </row>
    <row r="602" spans="1:6">
      <c r="A602" s="457"/>
      <c r="B602" s="458"/>
      <c r="C602" s="458"/>
      <c r="D602" s="458"/>
      <c r="E602" s="458"/>
      <c r="F602" s="458"/>
    </row>
    <row r="603" spans="1:6">
      <c r="A603" s="457"/>
      <c r="B603" s="458"/>
      <c r="C603" s="458"/>
      <c r="D603" s="458"/>
      <c r="E603" s="458"/>
      <c r="F603" s="458"/>
    </row>
    <row r="604" spans="1:6">
      <c r="A604" s="457"/>
      <c r="B604" s="458"/>
      <c r="C604" s="458"/>
      <c r="D604" s="458"/>
      <c r="E604" s="458"/>
      <c r="F604" s="458"/>
    </row>
    <row r="605" spans="1:6">
      <c r="A605" s="457"/>
      <c r="B605" s="458"/>
      <c r="C605" s="458"/>
      <c r="D605" s="458"/>
      <c r="E605" s="458"/>
      <c r="F605" s="458"/>
    </row>
    <row r="606" spans="1:6">
      <c r="A606" s="457"/>
      <c r="B606" s="458"/>
      <c r="C606" s="458"/>
      <c r="D606" s="458"/>
      <c r="E606" s="458"/>
      <c r="F606" s="458"/>
    </row>
    <row r="607" spans="1:6">
      <c r="A607" s="457"/>
      <c r="B607" s="458"/>
      <c r="C607" s="458"/>
      <c r="D607" s="458"/>
      <c r="E607" s="458"/>
      <c r="F607" s="458"/>
    </row>
    <row r="608" spans="1:6">
      <c r="A608" s="457"/>
      <c r="B608" s="458"/>
      <c r="C608" s="458"/>
      <c r="D608" s="458"/>
      <c r="E608" s="458"/>
      <c r="F608" s="458"/>
    </row>
    <row r="609" spans="1:6">
      <c r="A609" s="457"/>
      <c r="B609" s="458"/>
      <c r="C609" s="458"/>
      <c r="D609" s="458"/>
      <c r="E609" s="458"/>
      <c r="F609" s="458"/>
    </row>
    <row r="610" spans="1:6">
      <c r="A610" s="457"/>
      <c r="B610" s="458"/>
      <c r="C610" s="458"/>
      <c r="D610" s="458"/>
      <c r="E610" s="458"/>
      <c r="F610" s="458"/>
    </row>
    <row r="611" spans="1:6">
      <c r="A611" s="457"/>
      <c r="B611" s="458"/>
      <c r="C611" s="458"/>
      <c r="D611" s="458"/>
      <c r="E611" s="458"/>
      <c r="F611" s="458"/>
    </row>
    <row r="612" spans="1:6">
      <c r="A612" s="457"/>
      <c r="B612" s="458"/>
      <c r="C612" s="458"/>
      <c r="D612" s="458"/>
      <c r="E612" s="458"/>
      <c r="F612" s="458"/>
    </row>
    <row r="613" spans="1:6">
      <c r="A613" s="457"/>
      <c r="B613" s="458"/>
      <c r="C613" s="458"/>
      <c r="D613" s="458"/>
      <c r="E613" s="458"/>
      <c r="F613" s="458"/>
    </row>
    <row r="614" spans="1:6">
      <c r="A614" s="457"/>
      <c r="B614" s="458"/>
      <c r="C614" s="458"/>
      <c r="D614" s="458"/>
      <c r="E614" s="458"/>
      <c r="F614" s="458"/>
    </row>
    <row r="615" spans="1:6">
      <c r="A615" s="457"/>
      <c r="B615" s="458"/>
      <c r="C615" s="458"/>
      <c r="D615" s="458"/>
      <c r="E615" s="458"/>
      <c r="F615" s="458"/>
    </row>
    <row r="616" spans="1:6">
      <c r="A616" s="457"/>
      <c r="B616" s="458"/>
      <c r="C616" s="458"/>
      <c r="D616" s="458"/>
      <c r="E616" s="458"/>
      <c r="F616" s="458"/>
    </row>
    <row r="617" spans="1:6">
      <c r="A617" s="457"/>
      <c r="B617" s="458"/>
      <c r="C617" s="458"/>
      <c r="D617" s="458"/>
      <c r="E617" s="458"/>
      <c r="F617" s="458"/>
    </row>
    <row r="618" spans="1:6">
      <c r="A618" s="457"/>
      <c r="B618" s="458"/>
      <c r="C618" s="458"/>
      <c r="D618" s="458"/>
      <c r="E618" s="458"/>
      <c r="F618" s="458"/>
    </row>
    <row r="619" spans="1:6">
      <c r="A619" s="457"/>
      <c r="B619" s="458"/>
      <c r="C619" s="458"/>
      <c r="D619" s="458"/>
      <c r="E619" s="458"/>
      <c r="F619" s="458"/>
    </row>
    <row r="620" spans="1:6">
      <c r="A620" s="457"/>
      <c r="B620" s="458"/>
      <c r="C620" s="458"/>
      <c r="D620" s="458"/>
      <c r="E620" s="458"/>
      <c r="F620" s="458"/>
    </row>
    <row r="621" spans="1:6">
      <c r="A621" s="457"/>
      <c r="B621" s="458"/>
      <c r="C621" s="458"/>
      <c r="D621" s="458"/>
      <c r="E621" s="458"/>
      <c r="F621" s="458"/>
    </row>
    <row r="622" spans="1:6">
      <c r="A622" s="457"/>
      <c r="B622" s="458"/>
      <c r="C622" s="458"/>
      <c r="D622" s="458"/>
      <c r="E622" s="458"/>
      <c r="F622" s="458"/>
    </row>
    <row r="623" spans="1:6">
      <c r="A623" s="457"/>
      <c r="B623" s="458"/>
      <c r="C623" s="458"/>
      <c r="D623" s="458"/>
      <c r="E623" s="458"/>
      <c r="F623" s="458"/>
    </row>
    <row r="624" spans="1:6">
      <c r="A624" s="457"/>
      <c r="B624" s="458"/>
      <c r="C624" s="458"/>
      <c r="D624" s="458"/>
      <c r="E624" s="458"/>
      <c r="F624" s="458"/>
    </row>
    <row r="625" spans="1:6">
      <c r="A625" s="457"/>
      <c r="B625" s="458"/>
      <c r="C625" s="458"/>
      <c r="D625" s="458"/>
      <c r="E625" s="458"/>
      <c r="F625" s="458"/>
    </row>
    <row r="626" spans="1:6">
      <c r="A626" s="457"/>
      <c r="B626" s="458"/>
      <c r="C626" s="458"/>
      <c r="D626" s="458"/>
      <c r="E626" s="458"/>
      <c r="F626" s="458"/>
    </row>
    <row r="627" spans="1:6">
      <c r="A627" s="457"/>
      <c r="B627" s="458"/>
      <c r="C627" s="458"/>
      <c r="D627" s="458"/>
      <c r="E627" s="458"/>
      <c r="F627" s="458"/>
    </row>
    <row r="628" spans="1:6">
      <c r="A628" s="457"/>
      <c r="B628" s="458"/>
      <c r="C628" s="458"/>
      <c r="D628" s="458"/>
      <c r="E628" s="458"/>
      <c r="F628" s="458"/>
    </row>
    <row r="629" spans="1:6">
      <c r="A629" s="457"/>
      <c r="B629" s="458"/>
      <c r="C629" s="458"/>
      <c r="D629" s="458"/>
      <c r="E629" s="458"/>
      <c r="F629" s="458"/>
    </row>
    <row r="630" spans="1:6">
      <c r="A630" s="457"/>
      <c r="B630" s="458"/>
      <c r="C630" s="458"/>
      <c r="D630" s="458"/>
      <c r="E630" s="458"/>
      <c r="F630" s="458"/>
    </row>
    <row r="631" spans="1:6">
      <c r="A631" s="457"/>
      <c r="B631" s="458"/>
      <c r="C631" s="458"/>
      <c r="D631" s="458"/>
      <c r="E631" s="458"/>
      <c r="F631" s="458"/>
    </row>
    <row r="632" spans="1:6">
      <c r="A632" s="457"/>
      <c r="B632" s="458"/>
      <c r="C632" s="458"/>
      <c r="D632" s="458"/>
      <c r="E632" s="458"/>
      <c r="F632" s="458"/>
    </row>
    <row r="633" spans="1:6">
      <c r="A633" s="457"/>
      <c r="B633" s="458"/>
      <c r="C633" s="458"/>
      <c r="D633" s="458"/>
      <c r="E633" s="458"/>
      <c r="F633" s="458"/>
    </row>
    <row r="634" spans="1:6">
      <c r="A634" s="457"/>
      <c r="B634" s="458"/>
      <c r="C634" s="458"/>
      <c r="D634" s="458"/>
      <c r="E634" s="458"/>
      <c r="F634" s="458"/>
    </row>
    <row r="635" spans="1:6">
      <c r="A635" s="457"/>
      <c r="B635" s="458"/>
      <c r="C635" s="458"/>
      <c r="D635" s="458"/>
      <c r="E635" s="458"/>
      <c r="F635" s="458"/>
    </row>
    <row r="636" spans="1:6">
      <c r="A636" s="457"/>
      <c r="B636" s="458"/>
      <c r="C636" s="458"/>
      <c r="D636" s="458"/>
      <c r="E636" s="458"/>
      <c r="F636" s="458"/>
    </row>
    <row r="637" spans="1:6">
      <c r="A637" s="457"/>
      <c r="B637" s="458"/>
      <c r="C637" s="458"/>
      <c r="D637" s="458"/>
      <c r="E637" s="458"/>
      <c r="F637" s="458"/>
    </row>
    <row r="638" spans="1:6">
      <c r="A638" s="457"/>
      <c r="B638" s="458"/>
      <c r="C638" s="458"/>
      <c r="D638" s="458"/>
      <c r="E638" s="458"/>
      <c r="F638" s="458"/>
    </row>
    <row r="639" spans="1:6">
      <c r="A639" s="457"/>
      <c r="B639" s="458"/>
      <c r="C639" s="458"/>
      <c r="D639" s="458"/>
      <c r="E639" s="458"/>
      <c r="F639" s="458"/>
    </row>
    <row r="640" spans="1:6">
      <c r="A640" s="457"/>
      <c r="B640" s="458"/>
      <c r="C640" s="458"/>
      <c r="D640" s="458"/>
      <c r="E640" s="458"/>
      <c r="F640" s="458"/>
    </row>
    <row r="641" spans="1:6">
      <c r="A641" s="457"/>
      <c r="B641" s="458"/>
      <c r="C641" s="458"/>
      <c r="D641" s="458"/>
      <c r="E641" s="458"/>
      <c r="F641" s="458"/>
    </row>
    <row r="642" spans="1:6">
      <c r="A642" s="457"/>
      <c r="B642" s="458"/>
      <c r="C642" s="458"/>
      <c r="D642" s="458"/>
      <c r="E642" s="458"/>
      <c r="F642" s="458"/>
    </row>
    <row r="643" spans="1:6">
      <c r="A643" s="457"/>
      <c r="B643" s="458"/>
      <c r="C643" s="458"/>
      <c r="D643" s="458"/>
      <c r="E643" s="458"/>
      <c r="F643" s="458"/>
    </row>
    <row r="644" spans="1:6">
      <c r="A644" s="457"/>
      <c r="B644" s="458"/>
      <c r="C644" s="458"/>
      <c r="D644" s="458"/>
      <c r="E644" s="458"/>
      <c r="F644" s="458"/>
    </row>
    <row r="645" spans="1:6">
      <c r="A645" s="457"/>
      <c r="B645" s="458"/>
      <c r="C645" s="458"/>
      <c r="D645" s="458"/>
      <c r="E645" s="458"/>
      <c r="F645" s="458"/>
    </row>
  </sheetData>
  <phoneticPr fontId="42" type="noConversion"/>
  <hyperlinks>
    <hyperlink ref="N2" r:id="rId4" xr:uid="{00000000-0004-0000-0500-000000000000}"/>
  </hyperlinks>
  <pageMargins left="0.7" right="0.7" top="0.75" bottom="0.75" header="0.3" footer="0.3"/>
  <pageSetup paperSize="9" orientation="portrait" r:id="rId5"/>
  <drawing r:id="rId6"/>
  <legacyDrawing r:id="rId7"/>
  <tableParts count="1">
    <tablePart r:id="rId8"/>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theme="7"/>
  </sheetPr>
  <dimension ref="A1:R82"/>
  <sheetViews>
    <sheetView tabSelected="1" topLeftCell="A40" zoomScale="85" zoomScaleNormal="85" workbookViewId="0">
      <selection activeCell="D63" sqref="D63"/>
    </sheetView>
  </sheetViews>
  <sheetFormatPr baseColWidth="10" defaultColWidth="0" defaultRowHeight="15" zeroHeight="1"/>
  <cols>
    <col min="1" max="1" width="2.28515625" style="38" customWidth="1"/>
    <col min="2" max="2" width="13.7109375" style="38" customWidth="1"/>
    <col min="3" max="3" width="13" style="38" customWidth="1"/>
    <col min="4" max="4" width="14.85546875" style="38" customWidth="1"/>
    <col min="5" max="5" width="11.85546875" style="38" customWidth="1"/>
    <col min="6" max="6" width="17" style="38" customWidth="1"/>
    <col min="7" max="7" width="16.42578125" style="38" customWidth="1"/>
    <col min="8" max="8" width="14.85546875" style="38" customWidth="1"/>
    <col min="9" max="9" width="13.28515625" style="38" customWidth="1"/>
    <col min="10" max="10" width="19" style="38" customWidth="1"/>
    <col min="11" max="11" width="11.42578125" style="38" customWidth="1"/>
    <col min="12" max="12" width="19.7109375" style="38" customWidth="1"/>
    <col min="13" max="14" width="11.42578125" style="38" customWidth="1"/>
    <col min="15" max="18" width="0" style="38" hidden="1" customWidth="1"/>
    <col min="19" max="16384" width="11.42578125" style="38" hidden="1"/>
  </cols>
  <sheetData>
    <row r="1" spans="1:18" customFormat="1">
      <c r="A1" s="38"/>
      <c r="B1" s="38"/>
      <c r="C1" s="38"/>
      <c r="D1" s="38"/>
      <c r="E1" s="38"/>
      <c r="F1" s="38"/>
      <c r="G1" s="38"/>
      <c r="H1" s="38"/>
      <c r="I1" s="38"/>
      <c r="J1" s="38"/>
      <c r="K1" s="38"/>
      <c r="L1" s="38"/>
      <c r="M1" s="38"/>
      <c r="N1" s="38"/>
    </row>
    <row r="2" spans="1:18" customFormat="1" ht="15.75">
      <c r="A2" s="38"/>
      <c r="B2" s="74" t="s">
        <v>0</v>
      </c>
      <c r="C2" s="559"/>
      <c r="D2" s="559"/>
      <c r="E2" s="559"/>
      <c r="F2" s="38"/>
      <c r="G2" s="38"/>
      <c r="H2" s="38"/>
      <c r="I2" s="38"/>
      <c r="J2" s="38"/>
      <c r="K2" s="38"/>
      <c r="L2" s="38"/>
      <c r="M2" s="38"/>
      <c r="N2" s="38"/>
    </row>
    <row r="3" spans="1:18" customFormat="1">
      <c r="A3" s="38"/>
      <c r="B3" s="38"/>
      <c r="C3" s="38"/>
      <c r="D3" s="38"/>
      <c r="E3" s="38"/>
      <c r="F3" s="38"/>
      <c r="G3" s="38"/>
      <c r="H3" s="38"/>
      <c r="I3" s="38"/>
      <c r="J3" s="38"/>
      <c r="K3" s="38"/>
      <c r="L3" s="38"/>
      <c r="M3" s="38"/>
      <c r="N3" s="38"/>
    </row>
    <row r="4" spans="1:18" customFormat="1" ht="18.75">
      <c r="A4" s="75" t="s">
        <v>1</v>
      </c>
      <c r="C4" s="38"/>
      <c r="E4" s="38"/>
      <c r="F4" s="108" t="s">
        <v>2</v>
      </c>
      <c r="G4" s="74" t="str">
        <f>LOOKUP("zz",Notes_Versions!A:A)</f>
        <v>1.997</v>
      </c>
      <c r="I4" s="38"/>
      <c r="J4" s="38"/>
      <c r="K4" s="38"/>
      <c r="L4" s="38"/>
      <c r="M4" s="38"/>
      <c r="N4" s="38"/>
    </row>
    <row r="5" spans="1:18" customFormat="1" ht="15.75" thickBot="1">
      <c r="A5" s="38"/>
      <c r="B5" s="38"/>
      <c r="C5" s="38"/>
      <c r="D5" s="38"/>
      <c r="E5" s="38"/>
      <c r="F5" s="38"/>
      <c r="G5" s="38"/>
      <c r="H5" s="38"/>
      <c r="I5" s="38"/>
      <c r="J5" s="38"/>
      <c r="L5" s="38"/>
      <c r="M5" s="480"/>
      <c r="N5" s="38"/>
    </row>
    <row r="6" spans="1:18" customFormat="1" ht="15.75" thickBot="1">
      <c r="A6" s="38"/>
      <c r="B6" s="38"/>
      <c r="C6" s="560" t="s">
        <v>3</v>
      </c>
      <c r="D6" s="561"/>
      <c r="E6" s="562"/>
      <c r="F6" s="560" t="s">
        <v>4</v>
      </c>
      <c r="G6" s="561"/>
      <c r="H6" s="534" t="s">
        <v>5</v>
      </c>
      <c r="I6" s="563" t="s">
        <v>6</v>
      </c>
      <c r="J6" s="564"/>
      <c r="K6" s="565"/>
      <c r="L6" s="566"/>
      <c r="M6" s="516"/>
      <c r="N6" s="38"/>
      <c r="O6" s="38"/>
      <c r="P6" s="38"/>
      <c r="Q6" s="38"/>
      <c r="R6" s="38"/>
    </row>
    <row r="7" spans="1:18" customFormat="1" ht="15.75" thickBot="1">
      <c r="A7" s="38"/>
      <c r="B7" s="377" t="s">
        <v>7</v>
      </c>
      <c r="C7" s="71" t="s">
        <v>8</v>
      </c>
      <c r="D7" s="155" t="s">
        <v>9</v>
      </c>
      <c r="E7" s="156" t="s">
        <v>10</v>
      </c>
      <c r="F7" s="71" t="s">
        <v>11</v>
      </c>
      <c r="G7" s="72" t="s">
        <v>12</v>
      </c>
      <c r="H7" s="533" t="s">
        <v>13</v>
      </c>
      <c r="I7" s="567"/>
      <c r="J7" s="568"/>
      <c r="K7" s="569"/>
      <c r="L7" s="570"/>
      <c r="M7" s="516"/>
      <c r="N7" s="445"/>
      <c r="O7" s="39"/>
      <c r="P7" s="39"/>
      <c r="Q7" s="39"/>
      <c r="R7" s="39"/>
    </row>
    <row r="8" spans="1:18" customFormat="1" ht="15.75" customHeight="1" thickBot="1">
      <c r="A8" s="38"/>
      <c r="B8" s="379">
        <v>2010</v>
      </c>
      <c r="C8" s="531">
        <f>SUMIFS('Surface DEET'!$F$9:$F$38,'Surface DEET'!$B$9:$B$38,"&lt;="&amp;Site!$B8,'Surface DEET'!$C$9:$C$38,"&gt;="&amp;Site!$B8)</f>
        <v>0</v>
      </c>
      <c r="D8" s="382">
        <f>SUMIFS('Surface DEET'!$F$9:$F$38,'Surface DEET'!$B$9:$B$38,"&lt;="&amp;Site!$B8,'Surface DEET'!$C$9:$C$38,"&gt;="&amp;Site!$B8,'Surface DEET'!$G$9:$G$38,"Oui")</f>
        <v>0</v>
      </c>
      <c r="E8" s="524">
        <f>SUMIFS('Surface DEET'!$F$9:$F$38,'Surface DEET'!$B$9:$B$38,"&lt;="&amp;Site!$B8,'Surface DEET'!$C$9:$C$38,"&gt;="&amp;Site!$B8,'Surface DEET'!$H$9:$H$38,"Oui")</f>
        <v>0</v>
      </c>
      <c r="F8" s="176"/>
      <c r="G8" s="538"/>
      <c r="H8" s="532" t="str">
        <f>IFERROR(SUMIFS('Surface DEET'!$X$9:$X$38,'Surface DEET'!$B$9:$B$38,"&lt;="&amp;Site!$B8,'Surface DEET'!$C$9:$C$38,"&gt;="&amp;Site!$B8)/C8,"")</f>
        <v/>
      </c>
      <c r="I8" s="571"/>
      <c r="J8" s="572"/>
      <c r="K8" s="572"/>
      <c r="L8" s="573"/>
      <c r="M8" s="517"/>
      <c r="N8" s="447"/>
      <c r="O8" s="40"/>
      <c r="P8" s="40"/>
      <c r="Q8" s="40"/>
      <c r="R8" s="40"/>
    </row>
    <row r="9" spans="1:18" customFormat="1" ht="15.75" customHeight="1" thickBot="1">
      <c r="A9" s="38"/>
      <c r="B9" s="380">
        <v>2011</v>
      </c>
      <c r="C9" s="531">
        <f>SUMIFS('Surface DEET'!$F$9:$F$38,'Surface DEET'!$B$9:$B$38,"&lt;="&amp;Site!$B9,'Surface DEET'!$C$9:$C$38,"&gt;="&amp;Site!$B9)</f>
        <v>0</v>
      </c>
      <c r="D9" s="382">
        <f>SUMIFS('Surface DEET'!$F$9:$F$38,'Surface DEET'!$B$9:$B$38,"&lt;="&amp;Site!$B9,'Surface DEET'!$C$9:$C$38,"&gt;="&amp;Site!$B9,'Surface DEET'!$G$9:$G$38,"Oui")</f>
        <v>0</v>
      </c>
      <c r="E9" s="524">
        <f>SUMIFS('Surface DEET'!$F$9:$F$38,'Surface DEET'!$B$9:$B$38,"&lt;="&amp;Site!$B9,'Surface DEET'!$C$9:$C$38,"&gt;="&amp;Site!$B9,'Surface DEET'!$H$9:$H$38,"Oui")</f>
        <v>0</v>
      </c>
      <c r="F9" s="535">
        <f>F8</f>
        <v>0</v>
      </c>
      <c r="G9" s="537">
        <f>G8</f>
        <v>0</v>
      </c>
      <c r="H9" s="536" t="str">
        <f>IFERROR(SUMIFS('Surface DEET'!$X$9:$X$38,'Surface DEET'!$B$9:$B$38,"&lt;="&amp;Site!$B9,'Surface DEET'!$C$9:$C$38,"&gt;="&amp;Site!$B9)/C9,"")</f>
        <v/>
      </c>
      <c r="I9" s="574"/>
      <c r="J9" s="572"/>
      <c r="K9" s="572"/>
      <c r="L9" s="573"/>
      <c r="M9" s="517"/>
      <c r="N9" s="448"/>
      <c r="O9" s="40"/>
      <c r="P9" s="40"/>
      <c r="Q9" s="40"/>
      <c r="R9" s="40"/>
    </row>
    <row r="10" spans="1:18" customFormat="1" ht="15.75" customHeight="1" thickBot="1">
      <c r="A10" s="38"/>
      <c r="B10" s="380">
        <v>2012</v>
      </c>
      <c r="C10" s="531">
        <f>SUMIFS('Surface DEET'!$F$9:$F$38,'Surface DEET'!$B$9:$B$38,"&lt;="&amp;Site!$B10,'Surface DEET'!$C$9:$C$38,"&gt;="&amp;Site!$B10)</f>
        <v>0</v>
      </c>
      <c r="D10" s="382">
        <f>SUMIFS('Surface DEET'!$F$9:$F$38,'Surface DEET'!$B$9:$B$38,"&lt;="&amp;Site!$B10,'Surface DEET'!$C$9:$C$38,"&gt;="&amp;Site!$B10,'Surface DEET'!$G$9:$G$38,"Oui")</f>
        <v>0</v>
      </c>
      <c r="E10" s="524">
        <f>SUMIFS('Surface DEET'!$F$9:$F$38,'Surface DEET'!$B$9:$B$38,"&lt;="&amp;Site!$B10,'Surface DEET'!$C$9:$C$38,"&gt;="&amp;Site!$B10,'Surface DEET'!$H$9:$H$38,"Oui")</f>
        <v>0</v>
      </c>
      <c r="F10" s="535">
        <f t="shared" ref="F10:F28" si="0">F9</f>
        <v>0</v>
      </c>
      <c r="G10" s="537">
        <f t="shared" ref="G10:G28" si="1">G9</f>
        <v>0</v>
      </c>
      <c r="H10" s="536" t="str">
        <f>IFERROR(SUMIFS('Surface DEET'!$X$9:$X$38,'Surface DEET'!$B$9:$B$38,"&lt;="&amp;Site!$B10,'Surface DEET'!$C$9:$C$38,"&gt;="&amp;Site!$B10)/C10,"")</f>
        <v/>
      </c>
      <c r="I10" s="574"/>
      <c r="J10" s="572"/>
      <c r="K10" s="572"/>
      <c r="L10" s="573"/>
      <c r="M10" s="517"/>
      <c r="N10" s="448"/>
      <c r="O10" s="40"/>
      <c r="P10" s="40"/>
      <c r="Q10" s="40"/>
      <c r="R10" s="40"/>
    </row>
    <row r="11" spans="1:18" customFormat="1" ht="15.75" customHeight="1" thickBot="1">
      <c r="A11" s="38"/>
      <c r="B11" s="380">
        <v>2013</v>
      </c>
      <c r="C11" s="531">
        <f>SUMIFS('Surface DEET'!$F$9:$F$38,'Surface DEET'!$B$9:$B$38,"&lt;="&amp;Site!$B11,'Surface DEET'!$C$9:$C$38,"&gt;="&amp;Site!$B11)</f>
        <v>0</v>
      </c>
      <c r="D11" s="382">
        <f>SUMIFS('Surface DEET'!$F$9:$F$38,'Surface DEET'!$B$9:$B$38,"&lt;="&amp;Site!$B11,'Surface DEET'!$C$9:$C$38,"&gt;="&amp;Site!$B11,'Surface DEET'!$G$9:$G$38,"Oui")</f>
        <v>0</v>
      </c>
      <c r="E11" s="524">
        <f>SUMIFS('Surface DEET'!$F$9:$F$38,'Surface DEET'!$B$9:$B$38,"&lt;="&amp;Site!$B11,'Surface DEET'!$C$9:$C$38,"&gt;="&amp;Site!$B11,'Surface DEET'!$H$9:$H$38,"Oui")</f>
        <v>0</v>
      </c>
      <c r="F11" s="535">
        <f t="shared" si="0"/>
        <v>0</v>
      </c>
      <c r="G11" s="537">
        <f t="shared" si="1"/>
        <v>0</v>
      </c>
      <c r="H11" s="536" t="str">
        <f>IFERROR(SUMIFS('Surface DEET'!$X$9:$X$38,'Surface DEET'!$B$9:$B$38,"&lt;="&amp;Site!$B11,'Surface DEET'!$C$9:$C$38,"&gt;="&amp;Site!$B11)/C11,"")</f>
        <v/>
      </c>
      <c r="I11" s="574"/>
      <c r="J11" s="572"/>
      <c r="K11" s="572"/>
      <c r="L11" s="573"/>
      <c r="M11" s="517"/>
      <c r="N11" s="448"/>
      <c r="O11" s="38"/>
      <c r="P11" s="38"/>
      <c r="Q11" s="38"/>
      <c r="R11" s="38"/>
    </row>
    <row r="12" spans="1:18" customFormat="1" ht="15.75" customHeight="1" thickBot="1">
      <c r="A12" s="38"/>
      <c r="B12" s="380">
        <v>2014</v>
      </c>
      <c r="C12" s="531">
        <f>SUMIFS('Surface DEET'!$F$9:$F$38,'Surface DEET'!$B$9:$B$38,"&lt;="&amp;Site!$B12,'Surface DEET'!$C$9:$C$38,"&gt;="&amp;Site!$B12)</f>
        <v>0</v>
      </c>
      <c r="D12" s="382">
        <f>SUMIFS('Surface DEET'!$F$9:$F$38,'Surface DEET'!$B$9:$B$38,"&lt;="&amp;Site!$B12,'Surface DEET'!$C$9:$C$38,"&gt;="&amp;Site!$B12,'Surface DEET'!$G$9:$G$38,"Oui")</f>
        <v>0</v>
      </c>
      <c r="E12" s="524">
        <f>SUMIFS('Surface DEET'!$F$9:$F$38,'Surface DEET'!$B$9:$B$38,"&lt;="&amp;Site!$B12,'Surface DEET'!$C$9:$C$38,"&gt;="&amp;Site!$B12,'Surface DEET'!$H$9:$H$38,"Oui")</f>
        <v>0</v>
      </c>
      <c r="F12" s="535">
        <f t="shared" si="0"/>
        <v>0</v>
      </c>
      <c r="G12" s="537">
        <f t="shared" si="1"/>
        <v>0</v>
      </c>
      <c r="H12" s="536" t="str">
        <f>IFERROR(SUMIFS('Surface DEET'!$X$9:$X$38,'Surface DEET'!$B$9:$B$38,"&lt;="&amp;Site!$B12,'Surface DEET'!$C$9:$C$38,"&gt;="&amp;Site!$B12)/C12,"")</f>
        <v/>
      </c>
      <c r="I12" s="574"/>
      <c r="J12" s="572"/>
      <c r="K12" s="572"/>
      <c r="L12" s="573"/>
      <c r="M12" s="517"/>
      <c r="N12" s="448"/>
      <c r="O12" s="38"/>
      <c r="P12" s="38"/>
      <c r="Q12" s="38"/>
      <c r="R12" s="38"/>
    </row>
    <row r="13" spans="1:18" customFormat="1" ht="15.75" customHeight="1" thickBot="1">
      <c r="A13" s="38"/>
      <c r="B13" s="380">
        <v>2015</v>
      </c>
      <c r="C13" s="531">
        <f>SUMIFS('Surface DEET'!$F$9:$F$38,'Surface DEET'!$B$9:$B$38,"&lt;="&amp;Site!$B13,'Surface DEET'!$C$9:$C$38,"&gt;="&amp;Site!$B13)</f>
        <v>0</v>
      </c>
      <c r="D13" s="382">
        <f>SUMIFS('Surface DEET'!$F$9:$F$38,'Surface DEET'!$B$9:$B$38,"&lt;="&amp;Site!$B13,'Surface DEET'!$C$9:$C$38,"&gt;="&amp;Site!$B13,'Surface DEET'!$G$9:$G$38,"Oui")</f>
        <v>0</v>
      </c>
      <c r="E13" s="524">
        <f>SUMIFS('Surface DEET'!$F$9:$F$38,'Surface DEET'!$B$9:$B$38,"&lt;="&amp;Site!$B13,'Surface DEET'!$C$9:$C$38,"&gt;="&amp;Site!$B13,'Surface DEET'!$H$9:$H$38,"Oui")</f>
        <v>0</v>
      </c>
      <c r="F13" s="535">
        <f t="shared" si="0"/>
        <v>0</v>
      </c>
      <c r="G13" s="537">
        <f t="shared" si="1"/>
        <v>0</v>
      </c>
      <c r="H13" s="536" t="str">
        <f>IFERROR(SUMIFS('Surface DEET'!$X$9:$X$38,'Surface DEET'!$B$9:$B$38,"&lt;="&amp;Site!$B13,'Surface DEET'!$C$9:$C$38,"&gt;="&amp;Site!$B13)/C13,"")</f>
        <v/>
      </c>
      <c r="I13" s="574"/>
      <c r="J13" s="572"/>
      <c r="K13" s="572"/>
      <c r="L13" s="573"/>
      <c r="M13" s="517"/>
      <c r="N13" s="448"/>
      <c r="O13" s="38"/>
      <c r="P13" s="38"/>
      <c r="Q13" s="38"/>
      <c r="R13" s="38"/>
    </row>
    <row r="14" spans="1:18" customFormat="1" ht="15.75" customHeight="1" thickBot="1">
      <c r="A14" s="38"/>
      <c r="B14" s="380">
        <v>2016</v>
      </c>
      <c r="C14" s="531">
        <f>SUMIFS('Surface DEET'!$F$9:$F$38,'Surface DEET'!$B$9:$B$38,"&lt;="&amp;Site!$B14,'Surface DEET'!$C$9:$C$38,"&gt;="&amp;Site!$B14)</f>
        <v>0</v>
      </c>
      <c r="D14" s="382">
        <f>SUMIFS('Surface DEET'!$F$9:$F$38,'Surface DEET'!$B$9:$B$38,"&lt;="&amp;Site!$B14,'Surface DEET'!$C$9:$C$38,"&gt;="&amp;Site!$B14,'Surface DEET'!$G$9:$G$38,"Oui")</f>
        <v>0</v>
      </c>
      <c r="E14" s="524">
        <f>SUMIFS('Surface DEET'!$F$9:$F$38,'Surface DEET'!$B$9:$B$38,"&lt;="&amp;Site!$B14,'Surface DEET'!$C$9:$C$38,"&gt;="&amp;Site!$B14,'Surface DEET'!$H$9:$H$38,"Oui")</f>
        <v>0</v>
      </c>
      <c r="F14" s="535">
        <f t="shared" si="0"/>
        <v>0</v>
      </c>
      <c r="G14" s="537">
        <f t="shared" si="1"/>
        <v>0</v>
      </c>
      <c r="H14" s="536" t="str">
        <f>IFERROR(SUMIFS('Surface DEET'!$X$9:$X$38,'Surface DEET'!$B$9:$B$38,"&lt;="&amp;Site!$B14,'Surface DEET'!$C$9:$C$38,"&gt;="&amp;Site!$B14)/C14,"")</f>
        <v/>
      </c>
      <c r="I14" s="574"/>
      <c r="J14" s="572"/>
      <c r="K14" s="572"/>
      <c r="L14" s="573"/>
      <c r="M14" s="517"/>
      <c r="N14" s="448"/>
      <c r="O14" s="38"/>
      <c r="P14" s="38"/>
      <c r="Q14" s="38"/>
      <c r="R14" s="38"/>
    </row>
    <row r="15" spans="1:18" customFormat="1" ht="15.75" customHeight="1" thickBot="1">
      <c r="A15" s="38"/>
      <c r="B15" s="380">
        <v>2017</v>
      </c>
      <c r="C15" s="531">
        <f>SUMIFS('Surface DEET'!$F$9:$F$38,'Surface DEET'!$B$9:$B$38,"&lt;="&amp;Site!$B15,'Surface DEET'!$C$9:$C$38,"&gt;="&amp;Site!$B15)</f>
        <v>0</v>
      </c>
      <c r="D15" s="382">
        <f>SUMIFS('Surface DEET'!$F$9:$F$38,'Surface DEET'!$B$9:$B$38,"&lt;="&amp;Site!$B15,'Surface DEET'!$C$9:$C$38,"&gt;="&amp;Site!$B15,'Surface DEET'!$G$9:$G$38,"Oui")</f>
        <v>0</v>
      </c>
      <c r="E15" s="524">
        <f>SUMIFS('Surface DEET'!$F$9:$F$38,'Surface DEET'!$B$9:$B$38,"&lt;="&amp;Site!$B15,'Surface DEET'!$C$9:$C$38,"&gt;="&amp;Site!$B15,'Surface DEET'!$H$9:$H$38,"Oui")</f>
        <v>0</v>
      </c>
      <c r="F15" s="535">
        <f t="shared" si="0"/>
        <v>0</v>
      </c>
      <c r="G15" s="537">
        <f t="shared" si="1"/>
        <v>0</v>
      </c>
      <c r="H15" s="536" t="str">
        <f>IFERROR(SUMIFS('Surface DEET'!$X$9:$X$38,'Surface DEET'!$B$9:$B$38,"&lt;="&amp;Site!$B15,'Surface DEET'!$C$9:$C$38,"&gt;="&amp;Site!$B15)/C15,"")</f>
        <v/>
      </c>
      <c r="I15" s="549"/>
      <c r="J15" s="550"/>
      <c r="K15" s="551"/>
      <c r="L15" s="552"/>
      <c r="M15" s="518"/>
      <c r="N15" s="448"/>
      <c r="O15" s="38"/>
      <c r="P15" s="38"/>
      <c r="Q15" s="38"/>
      <c r="R15" s="38"/>
    </row>
    <row r="16" spans="1:18" customFormat="1" ht="15.75" customHeight="1" thickBot="1">
      <c r="A16" s="38"/>
      <c r="B16" s="380">
        <v>2018</v>
      </c>
      <c r="C16" s="531">
        <f>SUMIFS('Surface DEET'!$F$9:$F$38,'Surface DEET'!$B$9:$B$38,"&lt;="&amp;Site!$B16,'Surface DEET'!$C$9:$C$38,"&gt;="&amp;Site!$B16)</f>
        <v>0</v>
      </c>
      <c r="D16" s="382">
        <f>SUMIFS('Surface DEET'!$F$9:$F$38,'Surface DEET'!$B$9:$B$38,"&lt;="&amp;Site!$B16,'Surface DEET'!$C$9:$C$38,"&gt;="&amp;Site!$B16,'Surface DEET'!$G$9:$G$38,"Oui")</f>
        <v>0</v>
      </c>
      <c r="E16" s="524">
        <f>SUMIFS('Surface DEET'!$F$9:$F$38,'Surface DEET'!$B$9:$B$38,"&lt;="&amp;Site!$B16,'Surface DEET'!$C$9:$C$38,"&gt;="&amp;Site!$B16,'Surface DEET'!$H$9:$H$38,"Oui")</f>
        <v>0</v>
      </c>
      <c r="F16" s="535">
        <f t="shared" si="0"/>
        <v>0</v>
      </c>
      <c r="G16" s="537">
        <f t="shared" si="1"/>
        <v>0</v>
      </c>
      <c r="H16" s="536" t="str">
        <f>IFERROR(SUMIFS('Surface DEET'!$X$9:$X$38,'Surface DEET'!$B$9:$B$38,"&lt;="&amp;Site!$B16,'Surface DEET'!$C$9:$C$38,"&gt;="&amp;Site!$B16)/C16,"")</f>
        <v/>
      </c>
      <c r="I16" s="549"/>
      <c r="J16" s="550"/>
      <c r="K16" s="551"/>
      <c r="L16" s="552"/>
      <c r="M16" s="518"/>
      <c r="N16" s="448"/>
      <c r="O16" s="38"/>
      <c r="P16" s="38"/>
      <c r="Q16" s="38"/>
      <c r="R16" s="38"/>
    </row>
    <row r="17" spans="1:18" customFormat="1" ht="15.75" customHeight="1" thickBot="1">
      <c r="A17" s="38"/>
      <c r="B17" s="380">
        <v>2019</v>
      </c>
      <c r="C17" s="531">
        <f>SUMIFS('Surface DEET'!$F$9:$F$38,'Surface DEET'!$B$9:$B$38,"&lt;="&amp;Site!$B17,'Surface DEET'!$C$9:$C$38,"&gt;="&amp;Site!$B17)</f>
        <v>0</v>
      </c>
      <c r="D17" s="382">
        <f>SUMIFS('Surface DEET'!$F$9:$F$38,'Surface DEET'!$B$9:$B$38,"&lt;="&amp;Site!$B17,'Surface DEET'!$C$9:$C$38,"&gt;="&amp;Site!$B17,'Surface DEET'!$G$9:$G$38,"Oui")</f>
        <v>0</v>
      </c>
      <c r="E17" s="524">
        <f>SUMIFS('Surface DEET'!$F$9:$F$38,'Surface DEET'!$B$9:$B$38,"&lt;="&amp;Site!$B17,'Surface DEET'!$C$9:$C$38,"&gt;="&amp;Site!$B17,'Surface DEET'!$H$9:$H$38,"Oui")</f>
        <v>0</v>
      </c>
      <c r="F17" s="535">
        <f t="shared" si="0"/>
        <v>0</v>
      </c>
      <c r="G17" s="537">
        <f t="shared" si="1"/>
        <v>0</v>
      </c>
      <c r="H17" s="536" t="str">
        <f>IFERROR(SUMIFS('Surface DEET'!$X$9:$X$38,'Surface DEET'!$B$9:$B$38,"&lt;="&amp;Site!$B17,'Surface DEET'!$C$9:$C$38,"&gt;="&amp;Site!$B17)/C17,"")</f>
        <v/>
      </c>
      <c r="I17" s="549"/>
      <c r="J17" s="550"/>
      <c r="K17" s="551"/>
      <c r="L17" s="552"/>
      <c r="M17" s="517"/>
      <c r="N17" s="448"/>
      <c r="O17" s="38"/>
      <c r="P17" s="38"/>
      <c r="Q17" s="38"/>
      <c r="R17" s="38"/>
    </row>
    <row r="18" spans="1:18" customFormat="1" ht="15.75" customHeight="1" thickBot="1">
      <c r="A18" s="38"/>
      <c r="B18" s="380">
        <v>2020</v>
      </c>
      <c r="C18" s="531">
        <f>SUMIFS('Surface DEET'!$F$9:$F$38,'Surface DEET'!$B$9:$B$38,"&lt;="&amp;Site!$B18,'Surface DEET'!$C$9:$C$38,"&gt;="&amp;Site!$B18)</f>
        <v>0</v>
      </c>
      <c r="D18" s="382">
        <f>SUMIFS('Surface DEET'!$F$9:$F$38,'Surface DEET'!$B$9:$B$38,"&lt;="&amp;Site!$B18,'Surface DEET'!$C$9:$C$38,"&gt;="&amp;Site!$B18,'Surface DEET'!$G$9:$G$38,"Oui")</f>
        <v>0</v>
      </c>
      <c r="E18" s="524">
        <f>SUMIFS('Surface DEET'!$F$9:$F$38,'Surface DEET'!$B$9:$B$38,"&lt;="&amp;Site!$B18,'Surface DEET'!$C$9:$C$38,"&gt;="&amp;Site!$B18,'Surface DEET'!$H$9:$H$38,"Oui")</f>
        <v>0</v>
      </c>
      <c r="F18" s="535">
        <f t="shared" si="0"/>
        <v>0</v>
      </c>
      <c r="G18" s="537">
        <f t="shared" si="1"/>
        <v>0</v>
      </c>
      <c r="H18" s="536" t="str">
        <f>IFERROR(SUMIFS('Surface DEET'!$X$9:$X$38,'Surface DEET'!$B$9:$B$38,"&lt;="&amp;Site!$B18,'Surface DEET'!$C$9:$C$38,"&gt;="&amp;Site!$B18)/C18,"")</f>
        <v/>
      </c>
      <c r="I18" s="549"/>
      <c r="J18" s="550"/>
      <c r="K18" s="551"/>
      <c r="L18" s="552"/>
      <c r="M18" s="517"/>
      <c r="N18" s="448"/>
      <c r="O18" s="38"/>
      <c r="P18" s="38"/>
      <c r="Q18" s="38"/>
      <c r="R18" s="38"/>
    </row>
    <row r="19" spans="1:18" customFormat="1" ht="15.75" customHeight="1" thickBot="1">
      <c r="A19" s="38"/>
      <c r="B19" s="380">
        <v>2021</v>
      </c>
      <c r="C19" s="531">
        <f>SUMIFS('Surface DEET'!$F$9:$F$38,'Surface DEET'!$B$9:$B$38,"&lt;="&amp;Site!$B19,'Surface DEET'!$C$9:$C$38,"&gt;="&amp;Site!$B19)</f>
        <v>0</v>
      </c>
      <c r="D19" s="382">
        <f>SUMIFS('Surface DEET'!$F$9:$F$38,'Surface DEET'!$B$9:$B$38,"&lt;="&amp;Site!$B19,'Surface DEET'!$C$9:$C$38,"&gt;="&amp;Site!$B19,'Surface DEET'!$G$9:$G$38,"Oui")</f>
        <v>0</v>
      </c>
      <c r="E19" s="524">
        <f>SUMIFS('Surface DEET'!$F$9:$F$38,'Surface DEET'!$B$9:$B$38,"&lt;="&amp;Site!$B19,'Surface DEET'!$C$9:$C$38,"&gt;="&amp;Site!$B19,'Surface DEET'!$H$9:$H$38,"Oui")</f>
        <v>0</v>
      </c>
      <c r="F19" s="535">
        <f t="shared" si="0"/>
        <v>0</v>
      </c>
      <c r="G19" s="537">
        <f t="shared" si="1"/>
        <v>0</v>
      </c>
      <c r="H19" s="536" t="str">
        <f>IFERROR(SUMIFS('Surface DEET'!$X$9:$X$38,'Surface DEET'!$B$9:$B$38,"&lt;="&amp;Site!$B19,'Surface DEET'!$C$9:$C$38,"&gt;="&amp;Site!$B19)/C19,"")</f>
        <v/>
      </c>
      <c r="I19" s="549"/>
      <c r="J19" s="550"/>
      <c r="K19" s="551"/>
      <c r="L19" s="552"/>
      <c r="M19" s="517"/>
      <c r="N19" s="448"/>
      <c r="O19" s="38"/>
      <c r="P19" s="38"/>
      <c r="Q19" s="38"/>
      <c r="R19" s="38"/>
    </row>
    <row r="20" spans="1:18" customFormat="1" ht="39" customHeight="1" thickBot="1">
      <c r="A20" s="38"/>
      <c r="B20" s="380">
        <v>2022</v>
      </c>
      <c r="C20" s="531">
        <f>SUMIFS('Surface DEET'!$F$9:$F$38,'Surface DEET'!$B$9:$B$38,"&lt;="&amp;Site!$B20,'Surface DEET'!$C$9:$C$38,"&gt;="&amp;Site!$B20)</f>
        <v>0</v>
      </c>
      <c r="D20" s="382">
        <f>SUMIFS('Surface DEET'!$F$9:$F$38,'Surface DEET'!$B$9:$B$38,"&lt;="&amp;Site!$B20,'Surface DEET'!$C$9:$C$38,"&gt;="&amp;Site!$B20,'Surface DEET'!$G$9:$G$38,"Oui")</f>
        <v>0</v>
      </c>
      <c r="E20" s="524">
        <f>SUMIFS('Surface DEET'!$F$9:$F$38,'Surface DEET'!$B$9:$B$38,"&lt;="&amp;Site!$B20,'Surface DEET'!$C$9:$C$38,"&gt;="&amp;Site!$B20,'Surface DEET'!$H$9:$H$38,"Oui")</f>
        <v>0</v>
      </c>
      <c r="F20" s="535">
        <f t="shared" si="0"/>
        <v>0</v>
      </c>
      <c r="G20" s="537">
        <f t="shared" si="1"/>
        <v>0</v>
      </c>
      <c r="H20" s="536" t="str">
        <f>IFERROR(SUMIFS('Surface DEET'!$X$9:$X$38,'Surface DEET'!$B$9:$B$38,"&lt;="&amp;Site!$B20,'Surface DEET'!$C$9:$C$38,"&gt;="&amp;Site!$B20)/C20,"")</f>
        <v/>
      </c>
      <c r="I20" s="549"/>
      <c r="J20" s="550"/>
      <c r="K20" s="551"/>
      <c r="L20" s="552"/>
      <c r="M20" s="517"/>
      <c r="N20" s="448"/>
      <c r="O20" s="38"/>
      <c r="P20" s="38"/>
      <c r="Q20" s="38"/>
      <c r="R20" s="38"/>
    </row>
    <row r="21" spans="1:18" customFormat="1" ht="48" customHeight="1" thickBot="1">
      <c r="A21" s="38"/>
      <c r="B21" s="380">
        <v>2023</v>
      </c>
      <c r="C21" s="531">
        <f>SUMIFS('Surface DEET'!$F$9:$F$38,'Surface DEET'!$B$9:$B$38,"&lt;="&amp;Site!$B21,'Surface DEET'!$C$9:$C$38,"&gt;="&amp;Site!$B21)</f>
        <v>0</v>
      </c>
      <c r="D21" s="382">
        <f>SUMIFS('Surface DEET'!$F$9:$F$38,'Surface DEET'!$B$9:$B$38,"&lt;="&amp;Site!$B21,'Surface DEET'!$C$9:$C$38,"&gt;="&amp;Site!$B21,'Surface DEET'!$G$9:$G$38,"Oui")</f>
        <v>0</v>
      </c>
      <c r="E21" s="524">
        <f>SUMIFS('Surface DEET'!$F$9:$F$38,'Surface DEET'!$B$9:$B$38,"&lt;="&amp;Site!$B21,'Surface DEET'!$C$9:$C$38,"&gt;="&amp;Site!$B21,'Surface DEET'!$H$9:$H$38,"Oui")</f>
        <v>0</v>
      </c>
      <c r="F21" s="535">
        <f t="shared" si="0"/>
        <v>0</v>
      </c>
      <c r="G21" s="537">
        <f t="shared" si="1"/>
        <v>0</v>
      </c>
      <c r="H21" s="536" t="str">
        <f>IFERROR(SUMIFS('Surface DEET'!$X$9:$X$38,'Surface DEET'!$B$9:$B$38,"&lt;="&amp;Site!$B21,'Surface DEET'!$C$9:$C$38,"&gt;="&amp;Site!$B21)/C21,"")</f>
        <v/>
      </c>
      <c r="I21" s="549"/>
      <c r="J21" s="550"/>
      <c r="K21" s="551"/>
      <c r="L21" s="552"/>
      <c r="M21" s="446"/>
      <c r="N21" s="448"/>
      <c r="O21" s="38"/>
      <c r="P21" s="38"/>
      <c r="Q21" s="38"/>
      <c r="R21" s="38"/>
    </row>
    <row r="22" spans="1:18" customFormat="1" ht="66.95" customHeight="1" thickBot="1">
      <c r="A22" s="38"/>
      <c r="B22" s="380">
        <v>2024</v>
      </c>
      <c r="C22" s="531">
        <f>SUMIFS('Surface DEET'!$F$9:$F$38,'Surface DEET'!$B$9:$B$38,"&lt;="&amp;Site!$B22,'Surface DEET'!$C$9:$C$38,"&gt;="&amp;Site!$B22)</f>
        <v>0</v>
      </c>
      <c r="D22" s="382">
        <f>SUMIFS('Surface DEET'!$F$9:$F$38,'Surface DEET'!$B$9:$B$38,"&lt;="&amp;Site!$B22,'Surface DEET'!$C$9:$C$38,"&gt;="&amp;Site!$B22,'Surface DEET'!$G$9:$G$38,"Oui")</f>
        <v>0</v>
      </c>
      <c r="E22" s="524">
        <f>SUMIFS('Surface DEET'!$F$9:$F$38,'Surface DEET'!$B$9:$B$38,"&lt;="&amp;Site!$B22,'Surface DEET'!$C$9:$C$38,"&gt;="&amp;Site!$B22,'Surface DEET'!$H$9:$H$38,"Oui")</f>
        <v>0</v>
      </c>
      <c r="F22" s="535">
        <f t="shared" si="0"/>
        <v>0</v>
      </c>
      <c r="G22" s="537">
        <f t="shared" si="1"/>
        <v>0</v>
      </c>
      <c r="H22" s="536" t="str">
        <f>IFERROR(SUMIFS('Surface DEET'!$X$9:$X$38,'Surface DEET'!$B$9:$B$38,"&lt;="&amp;Site!$B22,'Surface DEET'!$C$9:$C$38,"&gt;="&amp;Site!$B22)/C22,"")</f>
        <v/>
      </c>
      <c r="I22" s="549"/>
      <c r="J22" s="550"/>
      <c r="K22" s="551"/>
      <c r="L22" s="552"/>
      <c r="M22" s="446"/>
      <c r="N22" s="448"/>
    </row>
    <row r="23" spans="1:18" customFormat="1" ht="60" customHeight="1" thickBot="1">
      <c r="A23" s="38"/>
      <c r="B23" s="380">
        <v>2025</v>
      </c>
      <c r="C23" s="531">
        <f>SUMIFS('Surface DEET'!$F$9:$F$38,'Surface DEET'!$B$9:$B$38,"&lt;="&amp;Site!$B23,'Surface DEET'!$C$9:$C$38,"&gt;="&amp;Site!$B23)</f>
        <v>0</v>
      </c>
      <c r="D23" s="382">
        <f>SUMIFS('Surface DEET'!$F$9:$F$38,'Surface DEET'!$B$9:$B$38,"&lt;="&amp;Site!$B23,'Surface DEET'!$C$9:$C$38,"&gt;="&amp;Site!$B23,'Surface DEET'!$G$9:$G$38,"Oui")</f>
        <v>0</v>
      </c>
      <c r="E23" s="524">
        <f>SUMIFS('Surface DEET'!$F$9:$F$38,'Surface DEET'!$B$9:$B$38,"&lt;="&amp;Site!$B23,'Surface DEET'!$C$9:$C$38,"&gt;="&amp;Site!$B23,'Surface DEET'!$H$9:$H$38,"Oui")</f>
        <v>0</v>
      </c>
      <c r="F23" s="535">
        <f t="shared" si="0"/>
        <v>0</v>
      </c>
      <c r="G23" s="537">
        <f t="shared" si="1"/>
        <v>0</v>
      </c>
      <c r="H23" s="536" t="str">
        <f>IFERROR(SUMIFS('Surface DEET'!$X$9:$X$38,'Surface DEET'!$B$9:$B$38,"&lt;="&amp;Site!$B23,'Surface DEET'!$C$9:$C$38,"&gt;="&amp;Site!$B23)/C23,"")</f>
        <v/>
      </c>
      <c r="I23" s="549"/>
      <c r="J23" s="550"/>
      <c r="K23" s="551"/>
      <c r="L23" s="552"/>
      <c r="M23" s="449"/>
      <c r="N23" s="448"/>
    </row>
    <row r="24" spans="1:18" s="255" customFormat="1" ht="60" customHeight="1" thickBot="1">
      <c r="A24" s="38"/>
      <c r="B24" s="380">
        <v>2026</v>
      </c>
      <c r="C24" s="531">
        <f>SUMIFS('Surface DEET'!$F$9:$F$38,'Surface DEET'!$B$9:$B$38,"&lt;="&amp;Site!$B24,'Surface DEET'!$C$9:$C$38,"&gt;="&amp;Site!$B24)</f>
        <v>0</v>
      </c>
      <c r="D24" s="382">
        <f>SUMIFS('Surface DEET'!$F$9:$F$38,'Surface DEET'!$B$9:$B$38,"&lt;="&amp;Site!$B24,'Surface DEET'!$C$9:$C$38,"&gt;="&amp;Site!$B24,'Surface DEET'!$G$9:$G$38,"Oui")</f>
        <v>0</v>
      </c>
      <c r="E24" s="524">
        <f>SUMIFS('Surface DEET'!$F$9:$F$38,'Surface DEET'!$B$9:$B$38,"&lt;="&amp;Site!$B24,'Surface DEET'!$C$9:$C$38,"&gt;="&amp;Site!$B24,'Surface DEET'!$H$9:$H$38,"Oui")</f>
        <v>0</v>
      </c>
      <c r="F24" s="535">
        <f t="shared" si="0"/>
        <v>0</v>
      </c>
      <c r="G24" s="537">
        <f t="shared" si="1"/>
        <v>0</v>
      </c>
      <c r="H24" s="536" t="str">
        <f>IFERROR(SUMIFS('Surface DEET'!$X$9:$X$38,'Surface DEET'!$B$9:$B$38,"&lt;="&amp;Site!$B24,'Surface DEET'!$C$9:$C$38,"&gt;="&amp;Site!$B24)/C24,"")</f>
        <v/>
      </c>
      <c r="I24" s="549"/>
      <c r="J24" s="550"/>
      <c r="K24" s="551"/>
      <c r="L24" s="552"/>
      <c r="M24" s="449"/>
      <c r="N24" s="448"/>
    </row>
    <row r="25" spans="1:18" s="454" customFormat="1" ht="60" customHeight="1" thickBot="1">
      <c r="A25" s="38"/>
      <c r="B25" s="380">
        <v>2027</v>
      </c>
      <c r="C25" s="531">
        <f>SUMIFS('Surface DEET'!$F$9:$F$38,'Surface DEET'!$B$9:$B$38,"&lt;="&amp;Site!$B25,'Surface DEET'!$C$9:$C$38,"&gt;="&amp;Site!$B25)</f>
        <v>0</v>
      </c>
      <c r="D25" s="382">
        <f>SUMIFS('Surface DEET'!$F$9:$F$38,'Surface DEET'!$B$9:$B$38,"&lt;="&amp;Site!$B25,'Surface DEET'!$C$9:$C$38,"&gt;="&amp;Site!$B25,'Surface DEET'!$G$9:$G$38,"Oui")</f>
        <v>0</v>
      </c>
      <c r="E25" s="524">
        <f>SUMIFS('Surface DEET'!$F$9:$F$38,'Surface DEET'!$B$9:$B$38,"&lt;="&amp;Site!$B25,'Surface DEET'!$C$9:$C$38,"&gt;="&amp;Site!$B25,'Surface DEET'!$H$9:$H$38,"Oui")</f>
        <v>0</v>
      </c>
      <c r="F25" s="535">
        <f t="shared" si="0"/>
        <v>0</v>
      </c>
      <c r="G25" s="537">
        <f t="shared" si="1"/>
        <v>0</v>
      </c>
      <c r="H25" s="536" t="str">
        <f>IFERROR(SUMIFS('Surface DEET'!$X$9:$X$38,'Surface DEET'!$B$9:$B$38,"&lt;="&amp;Site!$B25,'Surface DEET'!$C$9:$C$38,"&gt;="&amp;Site!$B25)/C25,"")</f>
        <v/>
      </c>
      <c r="I25" s="549"/>
      <c r="J25" s="550"/>
      <c r="K25" s="551"/>
      <c r="L25" s="552"/>
      <c r="M25" s="449"/>
      <c r="N25" s="448"/>
    </row>
    <row r="26" spans="1:18" s="454" customFormat="1" ht="60" customHeight="1" thickBot="1">
      <c r="A26" s="38"/>
      <c r="B26" s="380">
        <v>2028</v>
      </c>
      <c r="C26" s="531">
        <f>SUMIFS('Surface DEET'!$F$9:$F$38,'Surface DEET'!$B$9:$B$38,"&lt;="&amp;Site!$B26,'Surface DEET'!$C$9:$C$38,"&gt;="&amp;Site!$B26)</f>
        <v>0</v>
      </c>
      <c r="D26" s="382">
        <f>SUMIFS('Surface DEET'!$F$9:$F$38,'Surface DEET'!$B$9:$B$38,"&lt;="&amp;Site!$B26,'Surface DEET'!$C$9:$C$38,"&gt;="&amp;Site!$B26,'Surface DEET'!$G$9:$G$38,"Oui")</f>
        <v>0</v>
      </c>
      <c r="E26" s="524">
        <f>SUMIFS('Surface DEET'!$F$9:$F$38,'Surface DEET'!$B$9:$B$38,"&lt;="&amp;Site!$B26,'Surface DEET'!$C$9:$C$38,"&gt;="&amp;Site!$B26,'Surface DEET'!$H$9:$H$38,"Oui")</f>
        <v>0</v>
      </c>
      <c r="F26" s="535">
        <f t="shared" si="0"/>
        <v>0</v>
      </c>
      <c r="G26" s="537">
        <f t="shared" si="1"/>
        <v>0</v>
      </c>
      <c r="H26" s="536" t="str">
        <f>IFERROR(SUMIFS('Surface DEET'!$X$9:$X$38,'Surface DEET'!$B$9:$B$38,"&lt;="&amp;Site!$B26,'Surface DEET'!$C$9:$C$38,"&gt;="&amp;Site!$B26)/C26,"")</f>
        <v/>
      </c>
      <c r="I26" s="549"/>
      <c r="J26" s="550"/>
      <c r="K26" s="551"/>
      <c r="L26" s="552"/>
      <c r="M26" s="449"/>
      <c r="N26" s="448"/>
    </row>
    <row r="27" spans="1:18" s="454" customFormat="1" ht="60" customHeight="1" thickBot="1">
      <c r="A27" s="38"/>
      <c r="B27" s="380">
        <v>2029</v>
      </c>
      <c r="C27" s="531">
        <f>SUMIFS('Surface DEET'!$F$9:$F$38,'Surface DEET'!$B$9:$B$38,"&lt;="&amp;Site!$B27,'Surface DEET'!$C$9:$C$38,"&gt;="&amp;Site!$B27)</f>
        <v>0</v>
      </c>
      <c r="D27" s="382">
        <f>SUMIFS('Surface DEET'!$F$9:$F$38,'Surface DEET'!$B$9:$B$38,"&lt;="&amp;Site!$B27,'Surface DEET'!$C$9:$C$38,"&gt;="&amp;Site!$B27,'Surface DEET'!$G$9:$G$38,"Oui")</f>
        <v>0</v>
      </c>
      <c r="E27" s="524">
        <f>SUMIFS('Surface DEET'!$F$9:$F$38,'Surface DEET'!$B$9:$B$38,"&lt;="&amp;Site!$B27,'Surface DEET'!$C$9:$C$38,"&gt;="&amp;Site!$B27,'Surface DEET'!$H$9:$H$38,"Oui")</f>
        <v>0</v>
      </c>
      <c r="F27" s="535">
        <f t="shared" si="0"/>
        <v>0</v>
      </c>
      <c r="G27" s="537">
        <f t="shared" si="1"/>
        <v>0</v>
      </c>
      <c r="H27" s="536" t="str">
        <f>IFERROR(SUMIFS('Surface DEET'!$X$9:$X$38,'Surface DEET'!$B$9:$B$38,"&lt;="&amp;Site!$B27,'Surface DEET'!$C$9:$C$38,"&gt;="&amp;Site!$B27)/C27,"")</f>
        <v/>
      </c>
      <c r="I27" s="549"/>
      <c r="J27" s="550"/>
      <c r="K27" s="551"/>
      <c r="L27" s="552"/>
      <c r="M27" s="449"/>
      <c r="N27" s="448"/>
    </row>
    <row r="28" spans="1:18" s="454" customFormat="1" ht="60" customHeight="1" thickBot="1">
      <c r="A28" s="38"/>
      <c r="B28" s="381">
        <v>2030</v>
      </c>
      <c r="C28" s="531">
        <f>SUMIFS('Surface DEET'!$F$9:$F$38,'Surface DEET'!$B$9:$B$38,"&lt;="&amp;Site!$B28,'Surface DEET'!$C$9:$C$38,"&gt;="&amp;Site!$B28)</f>
        <v>0</v>
      </c>
      <c r="D28" s="382">
        <f>SUMIFS('Surface DEET'!$F$9:$F$38,'Surface DEET'!$B$9:$B$38,"&lt;="&amp;Site!$B28,'Surface DEET'!$C$9:$C$38,"&gt;="&amp;Site!$B28,'Surface DEET'!$G$9:$G$38,"Oui")</f>
        <v>0</v>
      </c>
      <c r="E28" s="524">
        <f>SUMIFS('Surface DEET'!$F$9:$F$38,'Surface DEET'!$B$9:$B$38,"&lt;="&amp;Site!$B28,'Surface DEET'!$C$9:$C$38,"&gt;="&amp;Site!$B28,'Surface DEET'!$H$9:$H$38,"Oui")</f>
        <v>0</v>
      </c>
      <c r="F28" s="535">
        <f t="shared" si="0"/>
        <v>0</v>
      </c>
      <c r="G28" s="537">
        <f t="shared" si="1"/>
        <v>0</v>
      </c>
      <c r="H28" s="536" t="str">
        <f>IFERROR(SUMIFS('Surface DEET'!$X$9:$X$38,'Surface DEET'!$B$9:$B$38,"&lt;="&amp;Site!$B28,'Surface DEET'!$C$9:$C$38,"&gt;="&amp;Site!$B28)/C28,"")</f>
        <v/>
      </c>
      <c r="I28" s="549"/>
      <c r="J28" s="550"/>
      <c r="K28" s="551"/>
      <c r="L28" s="552"/>
      <c r="M28" s="449"/>
      <c r="N28" s="448"/>
    </row>
    <row r="29" spans="1:18" customFormat="1">
      <c r="A29" s="38"/>
      <c r="B29" s="37"/>
      <c r="C29" s="37"/>
      <c r="D29" s="38"/>
      <c r="E29" s="38"/>
      <c r="F29" s="38"/>
      <c r="G29" s="38"/>
      <c r="H29" s="378"/>
      <c r="J29" s="38"/>
      <c r="K29" s="38"/>
      <c r="M29" s="38"/>
      <c r="N29" s="38"/>
    </row>
    <row r="30" spans="1:18" customFormat="1">
      <c r="A30" s="38"/>
      <c r="B30" s="38"/>
      <c r="C30" s="108" t="s">
        <v>14</v>
      </c>
      <c r="D30" s="38"/>
      <c r="E30" s="38"/>
      <c r="F30" s="108"/>
      <c r="G30" s="558"/>
      <c r="H30" s="558"/>
      <c r="I30" s="165"/>
      <c r="J30" s="121"/>
      <c r="K30" s="121"/>
      <c r="L30" s="121"/>
      <c r="M30" s="121"/>
      <c r="N30" s="121"/>
    </row>
    <row r="31" spans="1:18" customFormat="1" ht="13.5" customHeight="1">
      <c r="A31" s="38"/>
      <c r="B31" s="38"/>
      <c r="C31" s="38"/>
      <c r="D31" s="38"/>
      <c r="E31" s="38"/>
      <c r="F31" s="74"/>
      <c r="G31" s="38"/>
      <c r="H31" s="38"/>
      <c r="I31" s="38"/>
      <c r="J31" s="121"/>
      <c r="K31" s="121"/>
      <c r="L31" s="121"/>
      <c r="M31" s="121"/>
      <c r="N31" s="121"/>
    </row>
    <row r="32" spans="1:18" customFormat="1" ht="13.5" customHeight="1">
      <c r="A32" s="38"/>
      <c r="B32" s="38"/>
      <c r="C32" s="38"/>
      <c r="D32" s="38"/>
      <c r="E32" s="38"/>
      <c r="F32" s="38"/>
      <c r="G32" s="38"/>
      <c r="H32" s="38"/>
      <c r="I32" s="38"/>
      <c r="J32" s="121"/>
      <c r="K32" s="121"/>
      <c r="L32" s="121"/>
      <c r="M32" s="121"/>
      <c r="N32" s="121"/>
    </row>
    <row r="33" spans="1:14" customFormat="1" ht="13.5" customHeight="1">
      <c r="A33" s="38"/>
      <c r="C33" s="77" t="s">
        <v>15</v>
      </c>
      <c r="D33" s="119"/>
      <c r="E33" s="38"/>
      <c r="F33" s="38"/>
      <c r="G33" s="38"/>
      <c r="H33" s="108" t="s">
        <v>16</v>
      </c>
      <c r="I33" s="144"/>
      <c r="J33" s="121"/>
      <c r="K33" s="121"/>
      <c r="L33" s="121"/>
      <c r="M33" s="121"/>
      <c r="N33" s="121"/>
    </row>
    <row r="34" spans="1:14" customFormat="1" ht="13.5" customHeight="1">
      <c r="A34" s="38"/>
      <c r="B34" s="38"/>
      <c r="C34" s="38"/>
      <c r="D34" s="38"/>
      <c r="E34" s="38"/>
      <c r="F34" s="38"/>
      <c r="G34" s="38"/>
      <c r="H34" s="38"/>
      <c r="I34" s="38"/>
      <c r="J34" s="121"/>
      <c r="K34" s="121"/>
      <c r="L34" s="121"/>
      <c r="M34" s="121"/>
      <c r="N34" s="121"/>
    </row>
    <row r="35" spans="1:14" customFormat="1" ht="35.25" customHeight="1">
      <c r="A35" s="75"/>
      <c r="C35" s="38"/>
      <c r="D35" s="38"/>
      <c r="E35" s="38"/>
      <c r="F35" s="38"/>
      <c r="G35" s="38"/>
      <c r="H35" s="38"/>
      <c r="I35" s="38"/>
      <c r="J35" s="38"/>
      <c r="K35" s="38"/>
      <c r="L35" s="38"/>
      <c r="M35" s="38"/>
      <c r="N35" s="38"/>
    </row>
    <row r="36" spans="1:14" customFormat="1" ht="29.25" customHeight="1" thickBot="1">
      <c r="A36" s="75" t="s">
        <v>17</v>
      </c>
      <c r="B36" s="38"/>
      <c r="C36" s="38"/>
      <c r="D36" s="38"/>
      <c r="E36" s="38"/>
      <c r="F36" s="38"/>
      <c r="G36" s="38"/>
      <c r="H36" s="38"/>
      <c r="I36" s="38"/>
      <c r="J36" s="38"/>
      <c r="K36" s="70"/>
      <c r="L36" s="70"/>
      <c r="M36" s="70"/>
      <c r="N36" s="38"/>
    </row>
    <row r="37" spans="1:14" ht="94.5" customHeight="1" thickBot="1">
      <c r="B37" s="99" t="s">
        <v>18</v>
      </c>
      <c r="C37" s="76" t="s">
        <v>19</v>
      </c>
      <c r="D37" s="97" t="s">
        <v>20</v>
      </c>
      <c r="E37" s="98" t="s">
        <v>21</v>
      </c>
      <c r="F37" s="98" t="s">
        <v>22</v>
      </c>
      <c r="G37" s="158" t="s">
        <v>23</v>
      </c>
      <c r="H37" s="159" t="s">
        <v>24</v>
      </c>
      <c r="I37" s="298" t="s">
        <v>523</v>
      </c>
      <c r="K37" s="556" t="s">
        <v>840</v>
      </c>
      <c r="L37" s="556"/>
      <c r="M37" s="556"/>
      <c r="N37" s="556"/>
    </row>
    <row r="38" spans="1:14" s="553" customFormat="1" ht="27" customHeight="1" thickBot="1">
      <c r="A38" s="275"/>
      <c r="B38" s="497" t="s">
        <v>25</v>
      </c>
      <c r="C38" s="432" t="s">
        <v>899</v>
      </c>
      <c r="D38" s="425" t="s">
        <v>26</v>
      </c>
      <c r="E38" s="426" t="s">
        <v>27</v>
      </c>
      <c r="F38" s="426" t="s">
        <v>28</v>
      </c>
      <c r="G38" s="427" t="s">
        <v>29</v>
      </c>
      <c r="H38" s="297" t="s">
        <v>26</v>
      </c>
      <c r="I38" s="428">
        <v>40909</v>
      </c>
      <c r="J38" s="38"/>
      <c r="K38" s="107"/>
      <c r="L38" s="500"/>
    </row>
    <row r="39" spans="1:14" s="480" customFormat="1" ht="27" customHeight="1">
      <c r="A39" s="275"/>
      <c r="B39" s="498" t="s">
        <v>30</v>
      </c>
      <c r="C39" s="433" t="s">
        <v>900</v>
      </c>
      <c r="D39" s="397" t="s">
        <v>26</v>
      </c>
      <c r="E39" s="398" t="s">
        <v>31</v>
      </c>
      <c r="F39" s="398" t="s">
        <v>181</v>
      </c>
      <c r="G39" s="222" t="s">
        <v>182</v>
      </c>
      <c r="H39" s="222" t="s">
        <v>26</v>
      </c>
      <c r="I39" s="428">
        <v>40909</v>
      </c>
      <c r="J39" s="38"/>
      <c r="K39" s="107"/>
      <c r="L39" s="500"/>
      <c r="M39" s="500"/>
      <c r="N39" s="500"/>
    </row>
    <row r="40" spans="1:14" s="480" customFormat="1" ht="27" customHeight="1">
      <c r="A40" s="275"/>
      <c r="B40" s="498" t="s">
        <v>34</v>
      </c>
      <c r="C40" s="433" t="s">
        <v>901</v>
      </c>
      <c r="D40" s="397" t="s">
        <v>26</v>
      </c>
      <c r="E40" s="398" t="s">
        <v>35</v>
      </c>
      <c r="F40" s="398" t="s">
        <v>36</v>
      </c>
      <c r="G40" s="222" t="s">
        <v>37</v>
      </c>
      <c r="H40" s="222" t="s">
        <v>26</v>
      </c>
      <c r="I40" s="430">
        <v>40909</v>
      </c>
      <c r="J40" s="38"/>
      <c r="K40" s="107"/>
      <c r="L40" s="500"/>
      <c r="M40" s="500"/>
      <c r="N40" s="500"/>
    </row>
    <row r="41" spans="1:14" s="480" customFormat="1" ht="27" customHeight="1">
      <c r="A41" s="275"/>
      <c r="B41" s="498" t="s">
        <v>38</v>
      </c>
      <c r="C41" s="433"/>
      <c r="D41" s="397"/>
      <c r="E41" s="398"/>
      <c r="F41" s="398"/>
      <c r="G41" s="222"/>
      <c r="H41" s="222"/>
      <c r="I41" s="430"/>
      <c r="J41" s="38"/>
      <c r="K41" s="107"/>
      <c r="L41" s="500"/>
      <c r="M41" s="500"/>
      <c r="N41" s="500"/>
    </row>
    <row r="42" spans="1:14" s="480" customFormat="1" ht="27" customHeight="1">
      <c r="A42" s="275"/>
      <c r="B42" s="498" t="s">
        <v>39</v>
      </c>
      <c r="C42" s="429"/>
      <c r="D42" s="397"/>
      <c r="E42" s="398"/>
      <c r="F42" s="398"/>
      <c r="G42" s="222"/>
      <c r="H42" s="222"/>
      <c r="I42" s="430"/>
      <c r="J42" s="38"/>
      <c r="K42" s="107"/>
      <c r="L42" s="500"/>
      <c r="M42" s="553"/>
      <c r="N42" s="553"/>
    </row>
    <row r="43" spans="1:14" s="480" customFormat="1" ht="27" customHeight="1">
      <c r="A43" s="275"/>
      <c r="B43" s="498" t="s">
        <v>40</v>
      </c>
      <c r="C43" s="429"/>
      <c r="D43" s="397"/>
      <c r="E43" s="398"/>
      <c r="F43" s="398"/>
      <c r="G43" s="222"/>
      <c r="H43" s="222"/>
      <c r="I43" s="430"/>
      <c r="J43" s="38"/>
      <c r="K43" s="107"/>
      <c r="L43" s="500"/>
      <c r="M43" s="500"/>
      <c r="N43" s="500"/>
    </row>
    <row r="44" spans="1:14" s="480" customFormat="1" ht="27" customHeight="1">
      <c r="A44" s="275"/>
      <c r="B44" s="498" t="s">
        <v>41</v>
      </c>
      <c r="C44" s="429"/>
      <c r="D44" s="397"/>
      <c r="E44" s="398"/>
      <c r="F44" s="398"/>
      <c r="G44" s="222"/>
      <c r="H44" s="222"/>
      <c r="I44" s="430"/>
      <c r="J44" s="38"/>
      <c r="K44" s="107"/>
      <c r="L44" s="500"/>
      <c r="M44" s="500"/>
      <c r="N44" s="500"/>
    </row>
    <row r="45" spans="1:14" s="480" customFormat="1" ht="27" customHeight="1" thickBot="1">
      <c r="A45" s="275"/>
      <c r="B45" s="499" t="s">
        <v>42</v>
      </c>
      <c r="C45" s="431"/>
      <c r="D45" s="399"/>
      <c r="E45" s="400"/>
      <c r="F45" s="400"/>
      <c r="G45" s="299"/>
      <c r="H45" s="299"/>
      <c r="I45" s="430"/>
      <c r="J45" s="38"/>
      <c r="K45" s="107"/>
      <c r="L45" s="500"/>
      <c r="M45" s="500"/>
      <c r="N45" s="500"/>
    </row>
    <row r="46" spans="1:14">
      <c r="K46" s="107"/>
      <c r="L46" s="107"/>
      <c r="M46" s="107"/>
      <c r="N46" s="107"/>
    </row>
    <row r="47" spans="1:14" ht="18.75">
      <c r="A47" s="75" t="s">
        <v>43</v>
      </c>
      <c r="C47" s="108"/>
      <c r="E47"/>
    </row>
    <row r="48" spans="1:14">
      <c r="B48"/>
    </row>
    <row r="49" spans="1:14" customFormat="1">
      <c r="A49" s="38"/>
      <c r="B49" s="54" t="s">
        <v>44</v>
      </c>
      <c r="C49" s="38"/>
      <c r="D49" s="38"/>
      <c r="E49" s="38"/>
      <c r="F49" s="38"/>
      <c r="G49" s="38"/>
      <c r="H49" s="38"/>
      <c r="I49" s="38"/>
      <c r="J49" s="107"/>
      <c r="K49" s="107"/>
      <c r="L49" s="107"/>
      <c r="M49" s="107"/>
      <c r="N49" s="107"/>
    </row>
    <row r="50" spans="1:14" customFormat="1">
      <c r="A50" s="38"/>
      <c r="B50" s="38"/>
      <c r="C50" s="38"/>
      <c r="D50" s="38"/>
      <c r="E50" s="38"/>
      <c r="F50" s="38"/>
      <c r="G50" s="38"/>
      <c r="H50" s="38"/>
      <c r="I50" s="38"/>
      <c r="J50" s="107"/>
      <c r="K50" s="107"/>
      <c r="L50" s="107"/>
      <c r="M50" s="107"/>
      <c r="N50" s="107"/>
    </row>
    <row r="51" spans="1:14" customFormat="1">
      <c r="A51" s="38"/>
      <c r="B51" s="54" t="s">
        <v>525</v>
      </c>
      <c r="C51" s="388" t="str">
        <f>Liste_CABS!F30</f>
        <v>H2b</v>
      </c>
      <c r="D51" s="38"/>
      <c r="E51" s="38"/>
      <c r="F51" s="38"/>
      <c r="G51" s="38"/>
      <c r="H51" s="38"/>
      <c r="I51" s="38"/>
      <c r="J51" s="107"/>
      <c r="K51" s="107"/>
      <c r="L51" s="107"/>
      <c r="M51" s="107"/>
      <c r="N51" s="107"/>
    </row>
    <row r="52" spans="1:14" customFormat="1">
      <c r="A52" s="38"/>
      <c r="B52" s="38"/>
      <c r="C52" s="278"/>
      <c r="D52" s="38"/>
      <c r="E52" s="38"/>
      <c r="F52" s="38"/>
      <c r="G52" s="38"/>
      <c r="H52" s="38"/>
      <c r="I52" s="38"/>
      <c r="J52" s="107"/>
      <c r="K52" s="107"/>
      <c r="L52" s="107"/>
      <c r="M52" s="107"/>
      <c r="N52" s="107"/>
    </row>
    <row r="53" spans="1:14" customFormat="1">
      <c r="A53" s="38"/>
      <c r="B53" s="38"/>
      <c r="C53" s="38"/>
      <c r="D53" s="38"/>
      <c r="E53" s="38"/>
      <c r="F53" s="38"/>
      <c r="G53" s="38"/>
      <c r="H53" s="38"/>
      <c r="I53" s="38"/>
      <c r="J53" s="107"/>
      <c r="K53" s="107"/>
      <c r="L53" s="107"/>
      <c r="M53" s="107"/>
      <c r="N53" s="107"/>
    </row>
    <row r="54" spans="1:14" customFormat="1">
      <c r="A54" s="38"/>
      <c r="B54" s="38"/>
      <c r="C54" s="38"/>
      <c r="D54" s="38"/>
      <c r="E54" s="38"/>
      <c r="F54" s="38"/>
      <c r="G54" s="38"/>
      <c r="H54" s="38"/>
      <c r="I54" s="38"/>
      <c r="J54" s="107"/>
      <c r="K54" s="107"/>
      <c r="L54" s="107"/>
      <c r="M54" s="107"/>
      <c r="N54" s="107"/>
    </row>
    <row r="55" spans="1:14" customFormat="1">
      <c r="A55" s="38"/>
      <c r="B55" s="38"/>
      <c r="C55" s="38"/>
      <c r="D55" s="38"/>
      <c r="E55" s="38"/>
      <c r="F55" s="38"/>
      <c r="G55" s="38"/>
      <c r="H55" s="38"/>
      <c r="I55" s="38"/>
      <c r="J55" s="107"/>
      <c r="K55" s="107"/>
      <c r="L55" s="107"/>
      <c r="M55" s="107"/>
      <c r="N55" s="107"/>
    </row>
    <row r="56" spans="1:14" customFormat="1">
      <c r="A56" s="38"/>
      <c r="B56" s="38"/>
      <c r="D56" s="38"/>
      <c r="E56" s="38"/>
      <c r="F56" s="38"/>
      <c r="G56" s="38"/>
      <c r="H56" s="38"/>
      <c r="I56" s="38"/>
      <c r="J56" s="70"/>
      <c r="K56" s="70"/>
      <c r="L56" s="70"/>
      <c r="M56" s="70"/>
      <c r="N56" s="70"/>
    </row>
    <row r="57" spans="1:14" customFormat="1">
      <c r="A57" s="38"/>
      <c r="B57" s="38"/>
      <c r="C57" s="54"/>
      <c r="D57" s="38"/>
      <c r="E57" s="38"/>
      <c r="F57" s="38"/>
      <c r="G57" s="38"/>
      <c r="H57" s="38"/>
      <c r="I57" s="38"/>
      <c r="J57" s="70"/>
      <c r="K57" s="70"/>
      <c r="L57" s="70"/>
      <c r="M57" s="70"/>
      <c r="N57" s="70"/>
    </row>
    <row r="58" spans="1:14" customFormat="1" ht="14.25" customHeight="1">
      <c r="A58" s="38"/>
      <c r="B58" s="38"/>
      <c r="C58" s="38"/>
      <c r="D58" s="38"/>
      <c r="E58" s="38"/>
      <c r="F58" s="38"/>
      <c r="G58" s="38"/>
      <c r="H58" s="38"/>
      <c r="I58" s="38"/>
      <c r="J58" s="70"/>
      <c r="K58" s="70"/>
      <c r="L58" s="70"/>
      <c r="M58" s="70"/>
      <c r="N58" s="70"/>
    </row>
    <row r="59" spans="1:14" customFormat="1" ht="18.75">
      <c r="A59" s="75" t="s">
        <v>45</v>
      </c>
      <c r="B59" s="38"/>
      <c r="C59" s="38"/>
      <c r="D59" s="38"/>
      <c r="E59" s="38"/>
      <c r="F59" s="75" t="s">
        <v>46</v>
      </c>
      <c r="G59" s="74"/>
      <c r="H59" s="38"/>
      <c r="I59" s="38"/>
      <c r="J59" s="38"/>
      <c r="K59" s="38"/>
      <c r="L59" s="38"/>
      <c r="M59" s="38"/>
      <c r="N59" s="38"/>
    </row>
    <row r="60" spans="1:14" customFormat="1">
      <c r="A60" s="38"/>
      <c r="B60" s="38"/>
      <c r="C60" s="38"/>
      <c r="D60" s="38"/>
      <c r="E60" s="38"/>
      <c r="F60" s="150" t="s">
        <v>47</v>
      </c>
      <c r="G60" s="38"/>
      <c r="H60" s="107"/>
      <c r="I60" s="107"/>
      <c r="J60" s="107"/>
      <c r="K60" s="38"/>
      <c r="L60" s="38"/>
      <c r="M60" s="38"/>
      <c r="N60" s="38"/>
    </row>
    <row r="61" spans="1:14" customFormat="1">
      <c r="A61" s="38"/>
      <c r="C61" s="54" t="s">
        <v>48</v>
      </c>
      <c r="D61" s="38"/>
      <c r="E61" s="38"/>
      <c r="F61" s="154" t="s">
        <v>880</v>
      </c>
      <c r="G61" s="149"/>
      <c r="H61" s="107"/>
      <c r="I61" s="107"/>
      <c r="J61" s="107"/>
      <c r="K61" s="38"/>
      <c r="L61" s="38"/>
      <c r="M61" s="38"/>
      <c r="N61" s="38"/>
    </row>
    <row r="62" spans="1:14" s="539" customFormat="1">
      <c r="A62" s="38"/>
      <c r="B62" s="54"/>
      <c r="C62" s="54"/>
      <c r="D62" s="38"/>
      <c r="E62" s="38"/>
      <c r="F62" s="602" t="s">
        <v>913</v>
      </c>
      <c r="G62" s="603"/>
      <c r="H62" s="603"/>
      <c r="I62" s="603"/>
      <c r="J62" s="107"/>
      <c r="K62" s="38"/>
      <c r="L62" s="38"/>
      <c r="M62" s="38"/>
      <c r="N62" s="38"/>
    </row>
    <row r="63" spans="1:14" s="539" customFormat="1">
      <c r="A63" s="38"/>
      <c r="C63" s="54" t="s">
        <v>914</v>
      </c>
      <c r="D63" s="38" t="str">
        <f>IFERROR(INDEX('CALCUL DEET'!D54:P82,1,MATCH(MAX('CALCUL DEET'!D82:P82),'CALCUL DEET'!D82:P82,0)),"")</f>
        <v/>
      </c>
      <c r="E63" s="38"/>
      <c r="F63" s="603"/>
      <c r="G63" s="603"/>
      <c r="H63" s="603"/>
      <c r="I63" s="603"/>
      <c r="J63" s="107"/>
      <c r="K63" s="38"/>
      <c r="L63" s="38"/>
      <c r="M63" s="38"/>
      <c r="N63" s="38"/>
    </row>
    <row r="64" spans="1:14" customFormat="1" ht="20.25" customHeight="1">
      <c r="A64" s="38"/>
      <c r="B64" s="38"/>
      <c r="C64" s="38"/>
      <c r="D64" s="38"/>
      <c r="E64" s="38"/>
      <c r="F64" s="603"/>
      <c r="G64" s="603"/>
      <c r="H64" s="603"/>
      <c r="I64" s="603"/>
      <c r="J64" s="378"/>
      <c r="K64" s="378"/>
      <c r="L64" s="38"/>
      <c r="M64" s="38"/>
      <c r="N64" s="38"/>
    </row>
    <row r="65" spans="1:14" customFormat="1">
      <c r="A65" s="38"/>
      <c r="B65" s="38"/>
      <c r="C65" s="54" t="s">
        <v>49</v>
      </c>
      <c r="D65" s="38"/>
      <c r="E65" s="38"/>
      <c r="F65" s="378"/>
      <c r="G65" s="378"/>
      <c r="H65" s="378"/>
      <c r="I65" s="378"/>
      <c r="J65" s="378"/>
      <c r="K65" s="378"/>
      <c r="L65" s="38"/>
      <c r="M65" s="38"/>
      <c r="N65" s="38"/>
    </row>
    <row r="66" spans="1:14" customFormat="1" ht="20.25" customHeight="1">
      <c r="A66" s="38"/>
      <c r="B66" s="38"/>
      <c r="D66" s="38"/>
      <c r="E66" s="38"/>
      <c r="F66" s="378"/>
      <c r="G66" s="378"/>
      <c r="H66" s="378"/>
      <c r="I66" s="378"/>
      <c r="J66" s="378"/>
      <c r="K66" s="378"/>
      <c r="L66" s="38"/>
      <c r="M66" s="38"/>
      <c r="N66" s="38"/>
    </row>
    <row r="67" spans="1:14" s="486" customFormat="1" ht="20.25" customHeight="1">
      <c r="A67" s="38"/>
      <c r="B67" s="38"/>
      <c r="C67" s="480"/>
      <c r="D67" s="38"/>
      <c r="E67" s="38"/>
      <c r="F67" s="378"/>
      <c r="G67" s="378"/>
      <c r="H67" s="378"/>
      <c r="I67" s="378"/>
      <c r="J67" s="378"/>
      <c r="K67" s="378"/>
      <c r="L67" s="38"/>
      <c r="M67" s="38"/>
      <c r="N67" s="38"/>
    </row>
    <row r="68" spans="1:14" s="486" customFormat="1" ht="20.25" customHeight="1">
      <c r="A68" s="38"/>
      <c r="B68" s="38"/>
      <c r="D68" s="38"/>
      <c r="E68" s="38"/>
      <c r="F68" s="378"/>
      <c r="G68" s="378"/>
      <c r="H68" s="378"/>
      <c r="I68" s="378"/>
      <c r="J68" s="378"/>
      <c r="K68" s="378"/>
      <c r="L68" s="38"/>
      <c r="M68" s="38"/>
      <c r="N68" s="38"/>
    </row>
    <row r="69" spans="1:14" customFormat="1">
      <c r="A69" s="38"/>
      <c r="B69" s="38"/>
      <c r="C69" s="38"/>
      <c r="D69" s="38"/>
      <c r="E69" s="38"/>
      <c r="F69" s="378"/>
      <c r="G69" s="378"/>
      <c r="H69" s="378"/>
      <c r="I69" s="378"/>
      <c r="J69" s="378"/>
      <c r="K69" s="378"/>
      <c r="L69" s="38"/>
      <c r="M69" s="38"/>
      <c r="N69" s="38"/>
    </row>
    <row r="70" spans="1:14" s="459" customFormat="1" ht="20.45" customHeight="1">
      <c r="A70" s="38"/>
      <c r="B70" s="38"/>
      <c r="C70" s="38"/>
      <c r="D70" s="38"/>
      <c r="E70" s="38"/>
      <c r="F70" s="38"/>
      <c r="G70" s="38"/>
      <c r="H70" s="38"/>
      <c r="I70" s="38"/>
      <c r="J70" s="38"/>
      <c r="K70" s="378"/>
      <c r="L70" s="38"/>
      <c r="M70" s="38"/>
      <c r="N70" s="38"/>
    </row>
    <row r="71" spans="1:14" s="459" customFormat="1" ht="18.75">
      <c r="A71" s="75" t="s">
        <v>53</v>
      </c>
      <c r="B71" s="38"/>
      <c r="C71" s="38"/>
      <c r="D71" s="38"/>
      <c r="E71" s="38"/>
      <c r="F71" s="479" t="s">
        <v>881</v>
      </c>
      <c r="G71" s="478"/>
      <c r="H71" s="478"/>
      <c r="I71" s="478"/>
      <c r="J71" s="478"/>
      <c r="K71" s="378"/>
      <c r="L71" s="38"/>
      <c r="M71" s="38"/>
      <c r="N71" s="38"/>
    </row>
    <row r="72" spans="1:14" s="459" customFormat="1">
      <c r="A72" s="38"/>
      <c r="B72" s="38"/>
      <c r="C72" s="54" t="s">
        <v>54</v>
      </c>
      <c r="D72" s="38"/>
      <c r="E72" s="38"/>
      <c r="F72" s="477"/>
      <c r="G72" s="107"/>
      <c r="H72" s="107"/>
      <c r="I72" s="107"/>
      <c r="J72" s="107"/>
      <c r="K72" s="38"/>
      <c r="L72" s="38"/>
      <c r="M72" s="38"/>
      <c r="N72" s="38"/>
    </row>
    <row r="73" spans="1:14" s="459" customFormat="1" ht="14.65" customHeight="1">
      <c r="A73" s="38"/>
      <c r="B73" s="38"/>
      <c r="C73" s="38"/>
      <c r="D73" s="38"/>
      <c r="E73" s="38"/>
      <c r="F73" s="477" t="s">
        <v>50</v>
      </c>
      <c r="G73" s="107"/>
      <c r="H73" s="152">
        <v>70</v>
      </c>
      <c r="I73" s="153" t="s">
        <v>51</v>
      </c>
      <c r="K73" s="38"/>
      <c r="L73" s="38"/>
      <c r="M73" s="38"/>
      <c r="N73" s="38"/>
    </row>
    <row r="74" spans="1:14" s="459" customFormat="1" ht="27" customHeight="1">
      <c r="A74" s="38"/>
      <c r="B74" s="38"/>
      <c r="C74" s="38"/>
      <c r="D74" s="38"/>
      <c r="E74" s="38"/>
      <c r="F74" s="554" t="s">
        <v>52</v>
      </c>
      <c r="G74" s="555"/>
      <c r="H74" s="555"/>
      <c r="I74" s="107"/>
      <c r="J74" s="107"/>
      <c r="K74" s="38"/>
      <c r="L74" s="38"/>
      <c r="M74" s="38"/>
      <c r="N74" s="38"/>
    </row>
    <row r="75" spans="1:14" customFormat="1">
      <c r="A75" s="38"/>
      <c r="B75" s="38"/>
      <c r="C75" s="38"/>
      <c r="D75" s="38"/>
      <c r="E75" s="38"/>
      <c r="F75" s="38"/>
      <c r="G75" s="38"/>
      <c r="H75" s="38"/>
      <c r="I75" s="38"/>
      <c r="J75" s="38"/>
      <c r="K75" s="38"/>
      <c r="L75" s="38"/>
      <c r="M75" s="38"/>
      <c r="N75" s="38"/>
    </row>
    <row r="76" spans="1:14" customFormat="1" ht="30.95" customHeight="1">
      <c r="A76" s="38"/>
      <c r="B76" s="38"/>
      <c r="C76" s="38"/>
      <c r="D76" s="38"/>
      <c r="E76" s="38"/>
      <c r="F76" s="38"/>
      <c r="G76" s="38"/>
      <c r="H76" s="38"/>
      <c r="I76" s="38"/>
      <c r="J76" s="38"/>
      <c r="K76" s="38"/>
      <c r="L76" s="38"/>
      <c r="M76" s="38"/>
      <c r="N76" s="38"/>
    </row>
    <row r="77" spans="1:14">
      <c r="F77" s="477"/>
      <c r="G77" s="107"/>
      <c r="H77" s="107"/>
      <c r="I77" s="107"/>
      <c r="J77" s="107"/>
    </row>
    <row r="78" spans="1:14"/>
    <row r="79" spans="1:14">
      <c r="B79" s="557" t="s">
        <v>55</v>
      </c>
      <c r="C79" s="557"/>
      <c r="D79" s="557"/>
      <c r="E79" s="557"/>
      <c r="F79" s="557"/>
      <c r="G79" s="557"/>
      <c r="H79" s="557"/>
      <c r="I79" s="557"/>
      <c r="J79" s="557"/>
    </row>
    <row r="80" spans="1:14">
      <c r="B80" s="557"/>
      <c r="C80" s="557"/>
      <c r="D80" s="557"/>
      <c r="E80" s="557"/>
      <c r="F80" s="557"/>
      <c r="G80" s="557"/>
      <c r="H80" s="557"/>
      <c r="I80" s="557"/>
      <c r="J80" s="557"/>
    </row>
    <row r="81"/>
    <row r="82"/>
  </sheetData>
  <sheetProtection sheet="1" formatColumns="0" formatRows="0"/>
  <protectedRanges>
    <protectedRange sqref="K6:K7" name="Site"/>
    <protectedRange sqref="H73" name="Forçage chauffage"/>
    <protectedRange sqref="C8:H28" name="Batiment_Activités_1"/>
    <protectedRange sqref="K8:K14" name="Site_1"/>
    <protectedRange sqref="I8:J14" name="Batiment_Activités_1_1"/>
    <protectedRange sqref="I8:I14" name="Plage2_5_1"/>
    <protectedRange sqref="I33" name="Places_Parking_1"/>
    <protectedRange sqref="K15:K28" name="Site_2"/>
    <protectedRange sqref="I15:J28" name="Batiment_Activités_2"/>
    <protectedRange sqref="I41:I44 C43:G45" name="Compteurs_2"/>
    <protectedRange sqref="I45 I38:I40" name="Plage3_1_2_1"/>
    <protectedRange sqref="C2:E2" name="Nom_etablissement_1"/>
  </protectedRanges>
  <mergeCells count="32">
    <mergeCell ref="F62:I64"/>
    <mergeCell ref="B79:J80"/>
    <mergeCell ref="G30:H30"/>
    <mergeCell ref="C2:E2"/>
    <mergeCell ref="C6:E6"/>
    <mergeCell ref="F6:G6"/>
    <mergeCell ref="I6:L7"/>
    <mergeCell ref="I8:L8"/>
    <mergeCell ref="I9:L9"/>
    <mergeCell ref="I10:L10"/>
    <mergeCell ref="I11:L11"/>
    <mergeCell ref="I23:L23"/>
    <mergeCell ref="I12:L12"/>
    <mergeCell ref="I13:L13"/>
    <mergeCell ref="I14:L14"/>
    <mergeCell ref="I15:L15"/>
    <mergeCell ref="I16:L16"/>
    <mergeCell ref="I17:L17"/>
    <mergeCell ref="I18:L18"/>
    <mergeCell ref="I19:L19"/>
    <mergeCell ref="M38:XFD38"/>
    <mergeCell ref="F74:H74"/>
    <mergeCell ref="M42:N42"/>
    <mergeCell ref="I20:L20"/>
    <mergeCell ref="I21:L21"/>
    <mergeCell ref="I22:L22"/>
    <mergeCell ref="K37:N37"/>
    <mergeCell ref="I24:L24"/>
    <mergeCell ref="I25:L25"/>
    <mergeCell ref="I26:L26"/>
    <mergeCell ref="I27:L27"/>
    <mergeCell ref="I28:L28"/>
  </mergeCells>
  <phoneticPr fontId="42" type="noConversion"/>
  <conditionalFormatting sqref="C9:C28 F9:F28">
    <cfRule type="containsBlanks" dxfId="57" priority="177">
      <formula>LEN(TRIM(C9))=0</formula>
    </cfRule>
    <cfRule type="cellIs" dxfId="56" priority="178" operator="greaterThan">
      <formula>0</formula>
    </cfRule>
  </conditionalFormatting>
  <conditionalFormatting sqref="H9:H27 C8:H8 C9:G28">
    <cfRule type="containsBlanks" dxfId="55" priority="127">
      <formula>LEN(TRIM(C8))=0</formula>
    </cfRule>
    <cfRule type="cellIs" dxfId="54" priority="128" operator="greaterThan">
      <formula>0</formula>
    </cfRule>
  </conditionalFormatting>
  <conditionalFormatting sqref="I8:I28">
    <cfRule type="containsBlanks" dxfId="53" priority="69">
      <formula>LEN(TRIM(I8))=0</formula>
    </cfRule>
    <cfRule type="cellIs" dxfId="52" priority="70" operator="greaterThan">
      <formula>0</formula>
    </cfRule>
  </conditionalFormatting>
  <conditionalFormatting sqref="E8:E28">
    <cfRule type="containsBlanks" dxfId="51" priority="61">
      <formula>LEN(TRIM(E8))=0</formula>
    </cfRule>
    <cfRule type="cellIs" dxfId="50" priority="62" operator="greaterThan">
      <formula>0</formula>
    </cfRule>
  </conditionalFormatting>
  <conditionalFormatting sqref="E8:E28">
    <cfRule type="containsBlanks" dxfId="49" priority="59">
      <formula>LEN(TRIM(E8))=0</formula>
    </cfRule>
    <cfRule type="cellIs" dxfId="48" priority="60" operator="greaterThan">
      <formula>0</formula>
    </cfRule>
  </conditionalFormatting>
  <conditionalFormatting sqref="G8:G28">
    <cfRule type="containsBlanks" dxfId="47" priority="57">
      <formula>LEN(TRIM(G8))=0</formula>
    </cfRule>
    <cfRule type="cellIs" dxfId="46" priority="58" operator="greaterThan">
      <formula>0</formula>
    </cfRule>
  </conditionalFormatting>
  <conditionalFormatting sqref="C39:C45">
    <cfRule type="notContainsBlanks" dxfId="45" priority="39">
      <formula>LEN(TRIM(C39))&gt;0</formula>
    </cfRule>
  </conditionalFormatting>
  <conditionalFormatting sqref="C38:G45">
    <cfRule type="containsBlanks" dxfId="44" priority="40">
      <formula>LEN(TRIM(C38))=0</formula>
    </cfRule>
    <cfRule type="cellIs" dxfId="43" priority="41" operator="greaterThan">
      <formula>0</formula>
    </cfRule>
  </conditionalFormatting>
  <conditionalFormatting sqref="I38 H39:I45">
    <cfRule type="containsBlanks" dxfId="42" priority="37">
      <formula>LEN(TRIM(H38))=0</formula>
    </cfRule>
    <cfRule type="cellIs" dxfId="41" priority="38" operator="greaterThan">
      <formula>0</formula>
    </cfRule>
  </conditionalFormatting>
  <conditionalFormatting sqref="H38">
    <cfRule type="containsBlanks" dxfId="40" priority="35">
      <formula>LEN(TRIM(H38))=0</formula>
    </cfRule>
    <cfRule type="cellIs" dxfId="39" priority="36" operator="greaterThan">
      <formula>0</formula>
    </cfRule>
  </conditionalFormatting>
  <conditionalFormatting sqref="H9:H27">
    <cfRule type="containsBlanks" dxfId="38" priority="19">
      <formula>LEN(TRIM(H9))=0</formula>
    </cfRule>
    <cfRule type="cellIs" dxfId="37" priority="20" operator="greaterThan">
      <formula>0</formula>
    </cfRule>
  </conditionalFormatting>
  <conditionalFormatting sqref="H9:H27">
    <cfRule type="cellIs" dxfId="36" priority="18" operator="greaterThan">
      <formula>0</formula>
    </cfRule>
    <cfRule type="containsBlanks" dxfId="35" priority="179">
      <formula>LEN(TRIM(H9))=0</formula>
    </cfRule>
  </conditionalFormatting>
  <conditionalFormatting sqref="H8">
    <cfRule type="containsBlanks" dxfId="34" priority="10">
      <formula>LEN(TRIM(H8))=0</formula>
    </cfRule>
    <cfRule type="cellIs" dxfId="33" priority="11" operator="greaterThan">
      <formula>0</formula>
    </cfRule>
  </conditionalFormatting>
  <conditionalFormatting sqref="H8">
    <cfRule type="cellIs" dxfId="32" priority="9" operator="greaterThan">
      <formula>0</formula>
    </cfRule>
    <cfRule type="containsBlanks" dxfId="31" priority="12">
      <formula>LEN(TRIM(H8))=0</formula>
    </cfRule>
  </conditionalFormatting>
  <conditionalFormatting sqref="G9:G28">
    <cfRule type="containsBlanks" dxfId="30" priority="7">
      <formula>LEN(TRIM(G9))=0</formula>
    </cfRule>
    <cfRule type="cellIs" dxfId="29" priority="8" operator="greaterThan">
      <formula>0</formula>
    </cfRule>
  </conditionalFormatting>
  <conditionalFormatting sqref="H28">
    <cfRule type="containsBlanks" dxfId="28" priority="4">
      <formula>LEN(TRIM(H28))=0</formula>
    </cfRule>
    <cfRule type="cellIs" dxfId="27" priority="5" operator="greaterThan">
      <formula>0</formula>
    </cfRule>
  </conditionalFormatting>
  <conditionalFormatting sqref="H28">
    <cfRule type="containsBlanks" dxfId="26" priority="2">
      <formula>LEN(TRIM(H28))=0</formula>
    </cfRule>
    <cfRule type="cellIs" dxfId="25" priority="3" operator="greaterThan">
      <formula>0</formula>
    </cfRule>
  </conditionalFormatting>
  <conditionalFormatting sqref="H28">
    <cfRule type="cellIs" dxfId="24" priority="1" operator="greaterThan">
      <formula>0</formula>
    </cfRule>
    <cfRule type="containsBlanks" dxfId="23" priority="6">
      <formula>LEN(TRIM(H28))=0</formula>
    </cfRule>
  </conditionalFormatting>
  <dataValidations count="4">
    <dataValidation type="list" allowBlank="1" showInputMessage="1" showErrorMessage="1" sqref="G38:G45" xr:uid="{00000000-0002-0000-0300-000000000000}">
      <formula1>Combustibles</formula1>
    </dataValidation>
    <dataValidation type="list" allowBlank="1" showInputMessage="1" showErrorMessage="1" sqref="D38:D45" xr:uid="{00000000-0002-0000-0300-000001000000}">
      <formula1>Liste_Type_compteur</formula1>
    </dataValidation>
    <dataValidation type="list" allowBlank="1" showInputMessage="1" showErrorMessage="1" sqref="E38:F45" xr:uid="{00000000-0002-0000-0300-000002000000}">
      <formula1>INDIRECT(D38)</formula1>
    </dataValidation>
    <dataValidation type="date" allowBlank="1" showInputMessage="1" showErrorMessage="1" sqref="I38:I45" xr:uid="{00000000-0002-0000-0300-000003000000}">
      <formula1>40179</formula1>
      <formula2>47848</formula2>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3" r:id="rId4" name="Drop Down 7">
              <controlPr defaultSize="0" autoLine="0" autoPict="0">
                <anchor moveWithCells="1">
                  <from>
                    <xdr:col>3</xdr:col>
                    <xdr:colOff>285750</xdr:colOff>
                    <xdr:row>60</xdr:row>
                    <xdr:rowOff>19050</xdr:rowOff>
                  </from>
                  <to>
                    <xdr:col>4</xdr:col>
                    <xdr:colOff>76200</xdr:colOff>
                    <xdr:row>61</xdr:row>
                    <xdr:rowOff>76200</xdr:rowOff>
                  </to>
                </anchor>
              </controlPr>
            </control>
          </mc:Choice>
        </mc:AlternateContent>
        <mc:AlternateContent xmlns:mc="http://schemas.openxmlformats.org/markup-compatibility/2006">
          <mc:Choice Requires="x14">
            <control shapeId="9226" r:id="rId5" name="Drop Down 10">
              <controlPr defaultSize="0" autoLine="0" autoPict="0">
                <anchor moveWithCells="1">
                  <from>
                    <xdr:col>3</xdr:col>
                    <xdr:colOff>76200</xdr:colOff>
                    <xdr:row>28</xdr:row>
                    <xdr:rowOff>171450</xdr:rowOff>
                  </from>
                  <to>
                    <xdr:col>4</xdr:col>
                    <xdr:colOff>361950</xdr:colOff>
                    <xdr:row>30</xdr:row>
                    <xdr:rowOff>76200</xdr:rowOff>
                  </to>
                </anchor>
              </controlPr>
            </control>
          </mc:Choice>
        </mc:AlternateContent>
        <mc:AlternateContent xmlns:mc="http://schemas.openxmlformats.org/markup-compatibility/2006">
          <mc:Choice Requires="x14">
            <control shapeId="9227" r:id="rId6" name="Drop Down 11">
              <controlPr defaultSize="0" autoLine="0" autoPict="0">
                <anchor moveWithCells="1">
                  <from>
                    <xdr:col>3</xdr:col>
                    <xdr:colOff>285750</xdr:colOff>
                    <xdr:row>64</xdr:row>
                    <xdr:rowOff>19050</xdr:rowOff>
                  </from>
                  <to>
                    <xdr:col>4</xdr:col>
                    <xdr:colOff>57150</xdr:colOff>
                    <xdr:row>65</xdr:row>
                    <xdr:rowOff>76200</xdr:rowOff>
                  </to>
                </anchor>
              </controlPr>
            </control>
          </mc:Choice>
        </mc:AlternateContent>
        <mc:AlternateContent xmlns:mc="http://schemas.openxmlformats.org/markup-compatibility/2006">
          <mc:Choice Requires="x14">
            <control shapeId="9230" r:id="rId7" name="Drop Down 14">
              <controlPr defaultSize="0" autoLine="0" autoPict="0">
                <anchor moveWithCells="1">
                  <from>
                    <xdr:col>3</xdr:col>
                    <xdr:colOff>200025</xdr:colOff>
                    <xdr:row>70</xdr:row>
                    <xdr:rowOff>190500</xdr:rowOff>
                  </from>
                  <to>
                    <xdr:col>4</xdr:col>
                    <xdr:colOff>47625</xdr:colOff>
                    <xdr:row>72</xdr:row>
                    <xdr:rowOff>0</xdr:rowOff>
                  </to>
                </anchor>
              </controlPr>
            </control>
          </mc:Choice>
        </mc:AlternateContent>
        <mc:AlternateContent xmlns:mc="http://schemas.openxmlformats.org/markup-compatibility/2006">
          <mc:Choice Requires="x14">
            <control shapeId="9248" r:id="rId8" name="Drop Down 32">
              <controlPr defaultSize="0" autoLine="0" autoPict="0">
                <anchor moveWithCells="1">
                  <from>
                    <xdr:col>3</xdr:col>
                    <xdr:colOff>76200</xdr:colOff>
                    <xdr:row>31</xdr:row>
                    <xdr:rowOff>133350</xdr:rowOff>
                  </from>
                  <to>
                    <xdr:col>5</xdr:col>
                    <xdr:colOff>590550</xdr:colOff>
                    <xdr:row>33</xdr:row>
                    <xdr:rowOff>76200</xdr:rowOff>
                  </to>
                </anchor>
              </controlPr>
            </control>
          </mc:Choice>
        </mc:AlternateContent>
        <mc:AlternateContent xmlns:mc="http://schemas.openxmlformats.org/markup-compatibility/2006">
          <mc:Choice Requires="x14">
            <control shapeId="9249" r:id="rId9" name="Drop Down 33">
              <controlPr defaultSize="0" autoLine="0" autoPict="0">
                <anchor moveWithCells="1">
                  <from>
                    <xdr:col>7</xdr:col>
                    <xdr:colOff>247650</xdr:colOff>
                    <xdr:row>58</xdr:row>
                    <xdr:rowOff>209550</xdr:rowOff>
                  </from>
                  <to>
                    <xdr:col>8</xdr:col>
                    <xdr:colOff>457200</xdr:colOff>
                    <xdr:row>60</xdr:row>
                    <xdr:rowOff>38100</xdr:rowOff>
                  </to>
                </anchor>
              </controlPr>
            </control>
          </mc:Choice>
        </mc:AlternateContent>
        <mc:AlternateContent xmlns:mc="http://schemas.openxmlformats.org/markup-compatibility/2006">
          <mc:Choice Requires="x14">
            <control shapeId="9250" r:id="rId10" name="Drop Down 34">
              <controlPr defaultSize="0" autoLine="0" autoPict="0">
                <anchor moveWithCells="1">
                  <from>
                    <xdr:col>6</xdr:col>
                    <xdr:colOff>1057275</xdr:colOff>
                    <xdr:row>70</xdr:row>
                    <xdr:rowOff>19050</xdr:rowOff>
                  </from>
                  <to>
                    <xdr:col>8</xdr:col>
                    <xdr:colOff>104775</xdr:colOff>
                    <xdr:row>71</xdr:row>
                    <xdr:rowOff>47625</xdr:rowOff>
                  </to>
                </anchor>
              </controlPr>
            </control>
          </mc:Choice>
        </mc:AlternateContent>
        <mc:AlternateContent xmlns:mc="http://schemas.openxmlformats.org/markup-compatibility/2006">
          <mc:Choice Requires="x14">
            <control shapeId="9256" r:id="rId11" name="Drop Down 40">
              <controlPr defaultSize="0" autoLine="0" autoPict="0">
                <anchor moveWithCells="1">
                  <from>
                    <xdr:col>2</xdr:col>
                    <xdr:colOff>57150</xdr:colOff>
                    <xdr:row>47</xdr:row>
                    <xdr:rowOff>152400</xdr:rowOff>
                  </from>
                  <to>
                    <xdr:col>3</xdr:col>
                    <xdr:colOff>323850</xdr:colOff>
                    <xdr:row>49</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Liste!$T$16:$T$17</xm:f>
          </x14:formula1>
          <xm:sqref>H38:H45</xm:sqref>
        </x14:dataValidation>
      </x14:dataValidations>
    </ext>
    <ext xmlns:x14="http://schemas.microsoft.com/office/spreadsheetml/2009/9/main" uri="{A8765BA9-456A-4dab-B4F3-ACF838C121DE}">
      <x14:slicerList>
        <x14:slicer r:id="rId1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tabColor theme="4"/>
  </sheetPr>
  <dimension ref="A1:K33"/>
  <sheetViews>
    <sheetView zoomScaleNormal="100" workbookViewId="0">
      <selection activeCell="G32" sqref="G32"/>
    </sheetView>
  </sheetViews>
  <sheetFormatPr baseColWidth="10" defaultColWidth="0" defaultRowHeight="15" zeroHeight="1"/>
  <cols>
    <col min="1" max="9" width="11.42578125" customWidth="1"/>
    <col min="10" max="10" width="12.85546875" customWidth="1"/>
    <col min="11" max="11" width="14.28515625" customWidth="1"/>
    <col min="12" max="16384" width="18.42578125" hidden="1"/>
  </cols>
  <sheetData>
    <row r="1" spans="1:11">
      <c r="A1" s="485" t="str">
        <f>IFERROR(IF(VLOOKUP(Calcul_Bilan_Energie!N2,DJU!$O$14:$Q$44,2,0)=12,0,"/!\ DJU Incomplets"),"/!\ DJU Incomplets")</f>
        <v>/!\ DJU Incomplets</v>
      </c>
      <c r="B1" s="104" t="s">
        <v>0</v>
      </c>
      <c r="C1" s="575">
        <f>Site!C2</f>
        <v>0</v>
      </c>
      <c r="D1" s="575"/>
      <c r="E1" s="575"/>
      <c r="F1" s="38"/>
      <c r="G1" s="38"/>
      <c r="H1" s="38"/>
      <c r="I1" s="38"/>
      <c r="J1" s="38"/>
      <c r="K1" s="38"/>
    </row>
    <row r="2" spans="1:11">
      <c r="A2" s="38"/>
      <c r="C2" s="38"/>
      <c r="D2" s="38"/>
      <c r="E2" s="38"/>
      <c r="F2" s="38"/>
      <c r="G2" s="38"/>
      <c r="H2" s="38"/>
      <c r="I2" s="38"/>
      <c r="J2" s="38"/>
      <c r="K2" s="38"/>
    </row>
    <row r="3" spans="1:11">
      <c r="A3" s="109"/>
      <c r="B3" s="38"/>
      <c r="C3" s="38"/>
      <c r="D3" s="38"/>
      <c r="E3" s="38"/>
      <c r="F3" s="38"/>
      <c r="G3" s="38"/>
      <c r="H3" s="38"/>
      <c r="I3" s="38"/>
      <c r="J3" s="38"/>
    </row>
    <row r="4" spans="1:11">
      <c r="B4" s="38"/>
      <c r="C4" s="38"/>
      <c r="D4" s="38"/>
      <c r="E4" s="38"/>
      <c r="F4" s="38"/>
      <c r="G4" s="38"/>
      <c r="H4" s="38"/>
      <c r="I4" s="38"/>
      <c r="J4" s="38"/>
      <c r="K4" s="38"/>
    </row>
    <row r="5" spans="1:11">
      <c r="A5" s="38"/>
      <c r="B5" s="38"/>
      <c r="C5" s="38"/>
      <c r="D5" s="38"/>
      <c r="E5" s="38"/>
      <c r="F5" s="38"/>
      <c r="G5" s="38"/>
      <c r="H5" s="38"/>
      <c r="I5" s="109"/>
      <c r="J5" s="38"/>
      <c r="K5" s="38"/>
    </row>
    <row r="6" spans="1:11">
      <c r="A6" s="38"/>
      <c r="B6" s="38"/>
      <c r="C6" s="453" t="s">
        <v>869</v>
      </c>
      <c r="D6" s="38"/>
      <c r="E6" s="38"/>
      <c r="F6" s="38"/>
      <c r="G6" s="38"/>
      <c r="H6" s="38"/>
      <c r="J6" s="38"/>
      <c r="K6" s="54"/>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453" t="s">
        <v>870</v>
      </c>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ht="20.25" customHeight="1">
      <c r="A33" s="38"/>
      <c r="B33" s="38"/>
      <c r="C33" s="38"/>
      <c r="D33" s="38"/>
      <c r="E33" s="38"/>
      <c r="F33" s="38"/>
      <c r="G33" s="38"/>
      <c r="H33" s="38"/>
      <c r="I33" s="38"/>
      <c r="J33" s="38"/>
      <c r="K33" s="38"/>
    </row>
  </sheetData>
  <sheetProtection sheet="1" autoFilter="0" pivotTables="0"/>
  <protectedRanges>
    <protectedRange sqref="C1:E1" name="Plage1"/>
  </protectedRanges>
  <mergeCells count="1">
    <mergeCell ref="C1:E1"/>
  </mergeCells>
  <conditionalFormatting sqref="A1">
    <cfRule type="cellIs" dxfId="22" priority="1" operator="notEqual">
      <formula>"/!\ DJU Incomplets"</formula>
    </cfRule>
    <cfRule type="cellIs" dxfId="21" priority="2" operator="equal">
      <formula>"/!\ DJU Incomplets"</formula>
    </cfRule>
  </conditionalFormatting>
  <hyperlinks>
    <hyperlink ref="C6" location="Synthèse!C6" tooltip="Talon = Consommation journalière du mois de juillet" display="Synthèse!C6" xr:uid="{CAA69EA1-6FDF-4F7C-AD75-211DEDBD8433}"/>
    <hyperlink ref="C9" location="Synthèse!C9:C10" tooltip="Talon = Puissance minimale nocturne (Voir OptiTURPE) " display="Synthèse!C9:C10" xr:uid="{31A99221-2013-40F9-965C-01D59FDB9A91}"/>
  </hyperlink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0"/>
  <dimension ref="A1:X49"/>
  <sheetViews>
    <sheetView topLeftCell="B1" zoomScale="70" zoomScaleNormal="70" workbookViewId="0">
      <selection activeCell="H1" sqref="H1"/>
    </sheetView>
  </sheetViews>
  <sheetFormatPr baseColWidth="10" defaultColWidth="11.42578125" defaultRowHeight="15"/>
  <cols>
    <col min="1" max="1" width="23.140625" bestFit="1" customWidth="1"/>
    <col min="2" max="2" width="21.7109375" bestFit="1" customWidth="1"/>
    <col min="3" max="3" width="26.140625" bestFit="1" customWidth="1"/>
    <col min="4" max="4" width="33.5703125" bestFit="1" customWidth="1"/>
    <col min="5" max="5" width="11.7109375" bestFit="1" customWidth="1"/>
    <col min="6" max="6" width="23.140625" customWidth="1"/>
    <col min="7" max="7" width="19" bestFit="1" customWidth="1"/>
    <col min="8" max="8" width="26.140625" bestFit="1" customWidth="1"/>
    <col min="9" max="9" width="24.140625" bestFit="1" customWidth="1"/>
    <col min="10" max="10" width="20.28515625" bestFit="1" customWidth="1"/>
    <col min="12" max="12" width="19.5703125" bestFit="1" customWidth="1"/>
    <col min="13" max="13" width="22" bestFit="1" customWidth="1"/>
    <col min="14" max="14" width="17.140625" customWidth="1"/>
    <col min="15" max="15" width="18.5703125" bestFit="1" customWidth="1"/>
    <col min="16" max="16" width="21.42578125" bestFit="1" customWidth="1"/>
    <col min="17" max="17" width="15.5703125" bestFit="1" customWidth="1"/>
    <col min="18" max="18" width="18.42578125" bestFit="1" customWidth="1"/>
    <col min="19" max="19" width="25.42578125" bestFit="1" customWidth="1"/>
    <col min="20" max="20" width="23" bestFit="1" customWidth="1"/>
    <col min="24" max="24" width="36.140625" customWidth="1"/>
  </cols>
  <sheetData>
    <row r="1" spans="2:24">
      <c r="B1" t="s">
        <v>306</v>
      </c>
      <c r="C1" s="174" t="s">
        <v>846</v>
      </c>
      <c r="D1" s="522" t="s" vm="5">
        <v>861</v>
      </c>
      <c r="G1" t="s">
        <v>307</v>
      </c>
      <c r="H1" s="174" t="s">
        <v>846</v>
      </c>
      <c r="I1" s="522" t="s" vm="5">
        <v>861</v>
      </c>
    </row>
    <row r="2" spans="2:24">
      <c r="C2" s="174" t="s">
        <v>20</v>
      </c>
      <c r="D2" s="522" t="s" vm="6">
        <v>861</v>
      </c>
      <c r="H2" s="174" t="s">
        <v>20</v>
      </c>
      <c r="I2" s="522" t="s" vm="6">
        <v>861</v>
      </c>
      <c r="M2" t="s">
        <v>308</v>
      </c>
      <c r="N2" t="e">
        <f>VALUE(I1)</f>
        <v>#VALUE!</v>
      </c>
    </row>
    <row r="3" spans="2:24">
      <c r="C3" s="174" t="s">
        <v>21</v>
      </c>
      <c r="D3" s="522" t="s" vm="1">
        <v>861</v>
      </c>
      <c r="H3" s="174" t="s">
        <v>21</v>
      </c>
      <c r="I3" s="522" t="s" vm="1">
        <v>861</v>
      </c>
      <c r="L3">
        <v>2</v>
      </c>
      <c r="M3" t="s">
        <v>876</v>
      </c>
      <c r="N3" t="e" cm="1">
        <f t="array" ref="N3">INDEX(Site!$C$8:$H$24,MATCH($N$2,Site!$B$8:$B$24,0),ROW(M3)-2)</f>
        <v>#VALUE!</v>
      </c>
    </row>
    <row r="4" spans="2:24">
      <c r="H4" s="437"/>
      <c r="I4" s="437"/>
      <c r="L4">
        <v>3</v>
      </c>
      <c r="M4" t="s">
        <v>310</v>
      </c>
      <c r="N4" s="437" t="e" cm="1">
        <f t="array" ref="N4">INDEX(Site!$C$8:$H$24,MATCH($N$2,Site!$B$8:$B$24,0),ROW(M4)-2)</f>
        <v>#VALUE!</v>
      </c>
    </row>
    <row r="5" spans="2:24">
      <c r="C5" s="174" t="s">
        <v>64</v>
      </c>
      <c r="D5" t="s">
        <v>843</v>
      </c>
      <c r="H5" s="174" t="s">
        <v>64</v>
      </c>
      <c r="I5" t="s">
        <v>847</v>
      </c>
      <c r="L5">
        <v>4</v>
      </c>
      <c r="M5" t="s">
        <v>311</v>
      </c>
      <c r="N5" s="437" t="e" cm="1">
        <f t="array" ref="N5">INDEX(Site!$C$8:$H$24,MATCH($N$2,Site!$B$8:$B$24,0),ROW(M5)-2)</f>
        <v>#VALUE!</v>
      </c>
    </row>
    <row r="6" spans="2:24">
      <c r="C6" s="88" t="s">
        <v>29</v>
      </c>
      <c r="D6" s="233">
        <v>0</v>
      </c>
      <c r="H6" s="88" t="s">
        <v>29</v>
      </c>
      <c r="I6" s="233">
        <v>0</v>
      </c>
      <c r="L6">
        <v>5</v>
      </c>
      <c r="M6" t="s">
        <v>11</v>
      </c>
      <c r="N6" s="437" t="e" cm="1">
        <f t="array" ref="N6">INDEX(Site!$C$8:$H$24,MATCH($N$2,Site!$B$8:$B$24,0),ROW(M6)-2)</f>
        <v>#VALUE!</v>
      </c>
    </row>
    <row r="7" spans="2:24">
      <c r="C7" s="88" t="s">
        <v>86</v>
      </c>
      <c r="D7" s="233">
        <v>0</v>
      </c>
      <c r="H7" s="88" t="s">
        <v>86</v>
      </c>
      <c r="I7" s="233">
        <v>0</v>
      </c>
      <c r="L7">
        <v>6</v>
      </c>
      <c r="M7" t="s">
        <v>312</v>
      </c>
      <c r="N7" s="437" t="e" cm="1">
        <f t="array" ref="N7">INDEX(Site!$C$8:$H$24,MATCH($N$2,Site!$B$8:$B$24,0),ROW(M7)-2)</f>
        <v>#VALUE!</v>
      </c>
    </row>
    <row r="8" spans="2:24">
      <c r="M8" t="s">
        <v>313</v>
      </c>
      <c r="N8" s="171">
        <f>IFERROR(N3/(N6+N7),0)</f>
        <v>0</v>
      </c>
    </row>
    <row r="9" spans="2:24">
      <c r="L9" t="s">
        <v>314</v>
      </c>
    </row>
    <row r="10" spans="2:24">
      <c r="L10" t="s">
        <v>315</v>
      </c>
      <c r="M10" s="141">
        <f>GETPIVOTDATA("[Measures].[Somme de Conso_kWh_PCI]",$C$5)/1000</f>
        <v>0</v>
      </c>
    </row>
    <row r="11" spans="2:24">
      <c r="L11" t="s">
        <v>316</v>
      </c>
      <c r="M11" s="78">
        <f>GETPIVOTDATA("[Measures].[Somme de Cout_jour]",$H$5)</f>
        <v>0</v>
      </c>
    </row>
    <row r="12" spans="2:24" ht="18.75">
      <c r="X12" s="146" t="s">
        <v>317</v>
      </c>
    </row>
    <row r="13" spans="2:24">
      <c r="L13" t="s">
        <v>318</v>
      </c>
      <c r="M13" t="s">
        <v>319</v>
      </c>
      <c r="N13" t="s">
        <v>320</v>
      </c>
      <c r="O13" t="s">
        <v>321</v>
      </c>
      <c r="P13" t="s">
        <v>895</v>
      </c>
    </row>
    <row r="14" spans="2:24">
      <c r="M14" s="32" t="s">
        <v>186</v>
      </c>
      <c r="N14" s="472">
        <f>IFERROR(GETPIVOTDATA("[Measures].[Somme de Conso_kWh_PCI]",TCD_Conso!$B$3,"[Tab_concat].[Type]","[Tab_concat].[Type].&amp;[Consommation]","[Tab_concat].[Detail usage]","[Tab_concat].[Detail usage].&amp;["&amp;M14&amp;"]","[Tab_concat].[Annee]","[Tab_concat].[Annee].&amp;["&amp;$N$2&amp;"]"),0)</f>
        <v>0</v>
      </c>
      <c r="O14" s="472">
        <f>IFERROR(GETPIVOTDATA("[Measures].[Somme de Conso_kWhEP]",TCD_Conso!$B$3,"[Tab_concat].[Type]","[Tab_concat].[Type].&amp;[Consommation]","[Tab_concat].[Detail usage]","[Tab_concat].[Detail usage].&amp;["&amp;M14&amp;"]","[Tab_concat].[Annee]","[Tab_concat].[Annee].&amp;["&amp;$N$2&amp;"]"),0)</f>
        <v>0</v>
      </c>
      <c r="P14" s="472">
        <f>IFERROR(GETPIVOTDATA("[Measures].[Moyenne de Conso_kWh_PCI]",$C$46,"[Tab_concat].[Detail usage]","[Tab_concat].[Detail usage].&amp;["&amp;M15&amp;"]"),0)</f>
        <v>0</v>
      </c>
      <c r="R14" s="32" t="s">
        <v>322</v>
      </c>
      <c r="W14" t="s">
        <v>303</v>
      </c>
      <c r="X14" t="str">
        <f>Controle_des_données!$B$43</f>
        <v>Oui</v>
      </c>
    </row>
    <row r="15" spans="2:24">
      <c r="M15" s="77" t="s">
        <v>146</v>
      </c>
      <c r="N15" s="472">
        <f>IFERROR(GETPIVOTDATA("[Measures].[Somme de Conso_kWh_PCI]",TCD_Conso!$B$3,"[Tab_concat].[Type]","[Tab_concat].[Type].&amp;[Consommation]","[Tab_concat].[Detail usage]","[Tab_concat].[Detail usage].&amp;["&amp;M15&amp;"]","[Tab_concat].[Annee]","[Tab_concat].[Annee].&amp;["&amp;$N$2&amp;"]"),0)</f>
        <v>0</v>
      </c>
      <c r="O15" s="472">
        <f>IFERROR(GETPIVOTDATA("[Measures].[Somme de Conso_kWhEP]",TCD_Conso!$B$3,"[Tab_concat].[Type]","[Tab_concat].[Type].&amp;[Consommation]","[Tab_concat].[Detail usage]","[Tab_concat].[Detail usage].&amp;["&amp;M15&amp;"]","[Tab_concat].[Annee]","[Tab_concat].[Annee].&amp;["&amp;$N$2&amp;"]"),0)</f>
        <v>0</v>
      </c>
      <c r="P15" s="472">
        <f t="shared" ref="P15:P18" si="0">IFERROR(GETPIVOTDATA("[Measures].[Moyenne de Conso_kWh_PCI]",$C$46,"[Tab_concat].[Detail usage]","[Tab_concat].[Detail usage].&amp;["&amp;M16&amp;"]"),0)</f>
        <v>0</v>
      </c>
      <c r="R15" t="s">
        <v>323</v>
      </c>
      <c r="S15" t="str">
        <f>IF(SUM(Site!F8:F23)&gt;0,"oui","non")</f>
        <v>non</v>
      </c>
      <c r="W15" t="s">
        <v>304</v>
      </c>
      <c r="X15" t="str">
        <f>Controle_des_données!$B$44</f>
        <v>Non</v>
      </c>
    </row>
    <row r="16" spans="2:24">
      <c r="B16" t="s">
        <v>324</v>
      </c>
      <c r="C16" s="174" t="s">
        <v>846</v>
      </c>
      <c r="D16" s="522" t="s" vm="5">
        <v>861</v>
      </c>
      <c r="G16" s="275"/>
      <c r="H16" s="275"/>
      <c r="I16" s="275"/>
      <c r="M16" s="77" t="s">
        <v>163</v>
      </c>
      <c r="N16" s="472">
        <f>IFERROR(GETPIVOTDATA("[Measures].[Somme de Conso_kWh_PCI]",TCD_Conso!$B$3,"[Tab_concat].[Type]","[Tab_concat].[Type].&amp;[Consommation]","[Tab_concat].[Detail usage]","[Tab_concat].[Detail usage].&amp;["&amp;M16&amp;"]","[Tab_concat].[Annee]","[Tab_concat].[Annee].&amp;["&amp;$N$2&amp;"]"),0)</f>
        <v>0</v>
      </c>
      <c r="O16" s="472">
        <f>IFERROR(GETPIVOTDATA("[Measures].[Somme de Conso_kWhEP]",TCD_Conso!$B$3,"[Tab_concat].[Type]","[Tab_concat].[Type].&amp;[Consommation]","[Tab_concat].[Detail usage]","[Tab_concat].[Detail usage].&amp;["&amp;M16&amp;"]","[Tab_concat].[Annee]","[Tab_concat].[Annee].&amp;["&amp;$N$2&amp;"]"),0)</f>
        <v>0</v>
      </c>
      <c r="P16" s="472">
        <f t="shared" si="0"/>
        <v>0</v>
      </c>
      <c r="R16" s="88"/>
      <c r="S16" t="str">
        <f>IF($S$15="oui",Liste!B44,Liste!C44)</f>
        <v>Bâtiment à usage de bureau ou d'administration</v>
      </c>
      <c r="T16" t="s">
        <v>325</v>
      </c>
      <c r="W16" t="s">
        <v>305</v>
      </c>
      <c r="X16">
        <f>Controle_des_données!$B$45</f>
        <v>70</v>
      </c>
    </row>
    <row r="17" spans="3:24">
      <c r="C17" s="174" t="s">
        <v>20</v>
      </c>
      <c r="D17" s="522" t="s" vm="6">
        <v>861</v>
      </c>
      <c r="G17" s="275"/>
      <c r="H17" s="275"/>
      <c r="I17" s="275"/>
      <c r="M17" s="77" t="s">
        <v>326</v>
      </c>
      <c r="N17" s="472">
        <f>IFERROR(GETPIVOTDATA("[Measures].[Somme de Conso_kWh_PCI]",TCD_Conso!$B$3,"[Tab_concat].[Type]","[Tab_concat].[Type].&amp;[Consommation]","[Tab_concat].[Detail usage]","[Tab_concat].[Detail usage].&amp;["&amp;M17&amp;"]","[Tab_concat].[Annee]","[Tab_concat].[Annee].&amp;["&amp;$N$2&amp;"]"),0)</f>
        <v>0</v>
      </c>
      <c r="O17" s="472">
        <f>IFERROR(GETPIVOTDATA("[Measures].[Somme de Conso_kWhEP]",TCD_Conso!$B$3,"[Tab_concat].[Type]","[Tab_concat].[Type].&amp;[Consommation]","[Tab_concat].[Detail usage]","[Tab_concat].[Detail usage].&amp;["&amp;M17&amp;"]","[Tab_concat].[Annee]","[Tab_concat].[Annee].&amp;["&amp;$N$2&amp;"]"),0)</f>
        <v>0</v>
      </c>
      <c r="P17" s="472">
        <f t="shared" si="0"/>
        <v>0</v>
      </c>
      <c r="Q17" s="475"/>
      <c r="R17" s="88" t="s">
        <v>256</v>
      </c>
      <c r="S17">
        <f>IF($S$15="oui",Liste!B45,Liste!C45)</f>
        <v>50</v>
      </c>
      <c r="T17">
        <f>S17</f>
        <v>50</v>
      </c>
      <c r="W17" t="s">
        <v>327</v>
      </c>
      <c r="X17" s="88" t="e">
        <f t="array" ref="X17">MATCH(TRUE,(N16:N18)&gt;0,0)</f>
        <v>#N/A</v>
      </c>
    </row>
    <row r="18" spans="3:24">
      <c r="C18" s="174" t="s">
        <v>21</v>
      </c>
      <c r="D18" s="522" t="s" vm="1">
        <v>861</v>
      </c>
      <c r="G18" s="275"/>
      <c r="H18" s="275"/>
      <c r="I18" s="275"/>
      <c r="M18" s="32" t="s">
        <v>181</v>
      </c>
      <c r="N18" s="472">
        <f>IFERROR(GETPIVOTDATA("[Measures].[Somme de Conso_kWh_PCI]",TCD_Conso!$B$3,"[Tab_concat].[Type]","[Tab_concat].[Type].&amp;[Consommation]","[Tab_concat].[Detail usage]","[Tab_concat].[Detail usage].&amp;["&amp;M18&amp;"]","[Tab_concat].[Annee]","[Tab_concat].[Annee].&amp;["&amp;$N$2&amp;"]"),0)</f>
        <v>0</v>
      </c>
      <c r="O18" s="472">
        <f>IFERROR(GETPIVOTDATA("[Measures].[Somme de Conso_kWhEP]",TCD_Conso!$B$3,"[Tab_concat].[Type]","[Tab_concat].[Type].&amp;[Consommation]","[Tab_concat].[Detail usage]","[Tab_concat].[Detail usage].&amp;["&amp;M18&amp;"]","[Tab_concat].[Annee]","[Tab_concat].[Annee].&amp;["&amp;$N$2&amp;"]"),0)</f>
        <v>0</v>
      </c>
      <c r="P18" s="472">
        <f t="shared" si="0"/>
        <v>0</v>
      </c>
      <c r="R18" s="88" t="s">
        <v>257</v>
      </c>
      <c r="S18">
        <f>IF($S$15="oui",Liste!B46,Liste!C46)</f>
        <v>110</v>
      </c>
      <c r="T18">
        <f>S18-S17</f>
        <v>60</v>
      </c>
      <c r="X18" s="147"/>
    </row>
    <row r="19" spans="3:24">
      <c r="C19" s="437"/>
      <c r="D19" s="437"/>
      <c r="G19" s="275"/>
      <c r="H19" s="275"/>
      <c r="I19" s="275"/>
      <c r="M19" s="77" t="s">
        <v>328</v>
      </c>
      <c r="N19" s="472">
        <f>SUM(N14:N18)</f>
        <v>0</v>
      </c>
      <c r="O19" s="472">
        <f>SUM(O14:O18)</f>
        <v>0</v>
      </c>
      <c r="P19" s="472">
        <f>SUM(P14:P18)</f>
        <v>0</v>
      </c>
      <c r="R19" s="88" t="s">
        <v>258</v>
      </c>
      <c r="S19">
        <f>IF($S$15="oui",Liste!B47,Liste!C47)</f>
        <v>210</v>
      </c>
      <c r="T19">
        <f>S19-S18</f>
        <v>100</v>
      </c>
      <c r="X19" s="147"/>
    </row>
    <row r="20" spans="3:24">
      <c r="C20" s="174" t="s">
        <v>64</v>
      </c>
      <c r="D20" t="s">
        <v>848</v>
      </c>
      <c r="G20" s="275"/>
      <c r="H20" s="275"/>
      <c r="I20" s="494"/>
      <c r="J20" s="492"/>
      <c r="M20" s="77" t="s">
        <v>329</v>
      </c>
      <c r="N20">
        <f>'CALCUL DEET'!V7</f>
        <v>2322.9499999999998</v>
      </c>
      <c r="R20" s="88" t="s">
        <v>259</v>
      </c>
      <c r="S20">
        <f>IF($S$15="oui",Liste!B48,Liste!C48)</f>
        <v>350</v>
      </c>
      <c r="T20">
        <f>S20-S19</f>
        <v>140</v>
      </c>
      <c r="X20" s="147"/>
    </row>
    <row r="21" spans="3:24">
      <c r="C21" s="88" t="s">
        <v>29</v>
      </c>
      <c r="D21" s="233">
        <v>0</v>
      </c>
      <c r="G21" s="275"/>
      <c r="H21" s="275"/>
      <c r="I21" s="275"/>
      <c r="M21" s="77" t="s">
        <v>330</v>
      </c>
      <c r="N21" t="e">
        <f>GETPIVOTDATA("DJU(chauffagiste)",DJU!$H$13,"annee",N2)</f>
        <v>#REF!</v>
      </c>
      <c r="R21" s="88" t="s">
        <v>260</v>
      </c>
      <c r="S21">
        <f>IF($S$15="oui",Liste!B49,Liste!C49)</f>
        <v>540</v>
      </c>
      <c r="T21">
        <f>S21-S20</f>
        <v>190</v>
      </c>
      <c r="W21" s="32"/>
      <c r="X21" s="32"/>
    </row>
    <row r="22" spans="3:24">
      <c r="C22" s="88" t="s">
        <v>86</v>
      </c>
      <c r="D22" s="233">
        <v>0</v>
      </c>
      <c r="G22" s="275"/>
      <c r="H22" s="275"/>
      <c r="I22" s="275"/>
      <c r="M22" s="77" t="s">
        <v>864</v>
      </c>
      <c r="N22" s="52" t="e">
        <f>N19/$N$4*(N20/N21)</f>
        <v>#VALUE!</v>
      </c>
      <c r="O22" s="52" t="e">
        <f>O19/$N$4*(N20/N21)</f>
        <v>#VALUE!</v>
      </c>
      <c r="P22" s="473" t="str">
        <f>IFERROR((X26)/(12*N3),"N/A")</f>
        <v>N/A</v>
      </c>
      <c r="T22">
        <f>SUM(T17:T21)</f>
        <v>540</v>
      </c>
      <c r="W22" s="88" t="s">
        <v>308</v>
      </c>
      <c r="X22" t="e">
        <f>N2</f>
        <v>#VALUE!</v>
      </c>
    </row>
    <row r="23" spans="3:24">
      <c r="M23" s="77" t="s">
        <v>27</v>
      </c>
      <c r="R23" s="88" t="s">
        <v>331</v>
      </c>
      <c r="S23" s="142" t="e">
        <f>O28</f>
        <v>#REF!</v>
      </c>
      <c r="W23" t="s">
        <v>332</v>
      </c>
      <c r="X23" s="128" t="e">
        <f>N26</f>
        <v>#REF!</v>
      </c>
    </row>
    <row r="24" spans="3:24">
      <c r="M24" t="s">
        <v>28</v>
      </c>
      <c r="N24" s="472">
        <f>IFERROR(GETPIVOTDATA("[Measures].[Somme de Conso_kWh_PCI]",TCD_Conso!$B$3,"[Tab_concat].[Type]","[Tab_concat].[Type].&amp;[Consommation]","[Tab_concat].[Detail usage]","[Tab_concat].[Detail usage].&amp;["&amp;M24&amp;"]","[Tab_concat].[Annee]","[Tab_concat].[Annee].&amp;["&amp;$N$2&amp;"]"),0)</f>
        <v>0</v>
      </c>
      <c r="O24" s="472">
        <f>IFERROR(GETPIVOTDATA("[Measures].[Somme de Conso_kWhEP]",TCD_Conso!$B$3,"[Tab_concat].[Type]","[Tab_concat].[Type].&amp;[Consommation]","[Tab_concat].[Detail usage]","[Tab_concat].[Detail usage].&amp;["&amp;M24&amp;"]","[Tab_concat].[Annee]","[Tab_concat].[Annee].&amp;["&amp;$N$2&amp;"]"),0)</f>
        <v>0</v>
      </c>
      <c r="P24" s="472"/>
      <c r="R24" s="88" t="s">
        <v>333</v>
      </c>
      <c r="S24" s="128" t="e">
        <f>S23-0.5*S25</f>
        <v>#REF!</v>
      </c>
      <c r="W24" t="s">
        <v>334</v>
      </c>
      <c r="X24" s="128">
        <f>N25</f>
        <v>0</v>
      </c>
    </row>
    <row r="25" spans="3:24">
      <c r="M25" t="s">
        <v>153</v>
      </c>
      <c r="N25" s="472">
        <f>IFERROR(GETPIVOTDATA("[Measures].[Somme de Conso_kWh_PCI]",TCD_Conso!$B$3,"[Tab_concat].[Type]","[Tab_concat].[Type].&amp;[Consommation]","[Tab_concat].[Detail usage]","[Tab_concat].[Detail usage].&amp;["&amp;M25&amp;"]","[Tab_concat].[Annee]","[Tab_concat].[Annee].&amp;["&amp;$N$2&amp;"]"),0)</f>
        <v>0</v>
      </c>
      <c r="O25" s="472">
        <f>IFERROR(GETPIVOTDATA("[Measures].[Somme de Conso_kWhEP]",TCD_Conso!$B$3,"[Tab_concat].[Type]","[Tab_concat].[Type].&amp;[Consommation]","[Tab_concat].[Detail usage]","[Tab_concat].[Detail usage].&amp;["&amp;M25&amp;"]","[Tab_concat].[Annee]","[Tab_concat].[Annee].&amp;["&amp;$N$2&amp;"]"),0)</f>
        <v>0</v>
      </c>
      <c r="P25" s="472"/>
      <c r="R25" s="88" t="s">
        <v>335</v>
      </c>
      <c r="S25" s="128">
        <v>30</v>
      </c>
      <c r="W25" t="str">
        <f>IF(X14="Oui","Chauffage seul",INDEX(M16:M18,X17,1))</f>
        <v>Chauffage seul</v>
      </c>
      <c r="X25" s="128" t="e">
        <f>SUM(N16:N18)-X26</f>
        <v>#VALUE!</v>
      </c>
    </row>
    <row r="26" spans="3:24">
      <c r="M26" s="77" t="s">
        <v>336</v>
      </c>
      <c r="N26" s="472" t="e">
        <f>IF(N19&gt;0,N24-N25,(N24-N25)*(N21/N20))</f>
        <v>#REF!</v>
      </c>
      <c r="O26" s="472">
        <f>O24-O25</f>
        <v>0</v>
      </c>
      <c r="P26" s="495"/>
      <c r="R26" s="88" t="s">
        <v>337</v>
      </c>
      <c r="S26" s="128" t="e">
        <f>SUM(T17:T22)-S24-S25</f>
        <v>#REF!</v>
      </c>
      <c r="W26" s="32" t="e">
        <f>IF(X26&gt;0,Estimation_ECS!B44,"")</f>
        <v>#VALUE!</v>
      </c>
      <c r="X26" s="128" t="e">
        <f>HLOOKUP($X$22,Estimation_ECS!$C$40:$R$44,5)</f>
        <v>#VALUE!</v>
      </c>
    </row>
    <row r="27" spans="3:24">
      <c r="M27" s="77" t="s">
        <v>863</v>
      </c>
      <c r="N27" s="52" t="e">
        <f>N26/$N$3</f>
        <v>#REF!</v>
      </c>
      <c r="O27" s="52" t="e">
        <f>O26/$N$3</f>
        <v>#VALUE!</v>
      </c>
      <c r="P27" s="451" t="e">
        <f>VLOOKUP(N2,Compteur_1!K11:L31,2,1)*1000/N3</f>
        <v>#VALUE!</v>
      </c>
      <c r="S27" s="128"/>
      <c r="W27" t="str">
        <f>IF(X27&gt;0,"Cuisson seule","")</f>
        <v/>
      </c>
      <c r="X27" s="128">
        <f>N14</f>
        <v>0</v>
      </c>
    </row>
    <row r="28" spans="3:24">
      <c r="M28" t="s">
        <v>338</v>
      </c>
      <c r="N28" s="52" t="e">
        <f>(N19*(N20/N21)+N26)/N3</f>
        <v>#REF!</v>
      </c>
      <c r="O28" s="100" t="e">
        <f>(O19*(N20/N21)+O26)/N3</f>
        <v>#REF!</v>
      </c>
    </row>
    <row r="29" spans="3:24">
      <c r="M29" t="s">
        <v>339</v>
      </c>
      <c r="N29" t="e">
        <f>DATE(N2,12,31)-DATE(N2,1,1)+1</f>
        <v>#VALUE!</v>
      </c>
    </row>
    <row r="30" spans="3:24">
      <c r="M30" t="s">
        <v>340</v>
      </c>
      <c r="N30">
        <f>Ouverture!K10</f>
        <v>0</v>
      </c>
      <c r="Q30" t="str">
        <f>IFERROR((X26*1000)/(12*30*N3),"N/A")</f>
        <v>N/A</v>
      </c>
    </row>
    <row r="31" spans="3:24">
      <c r="L31" t="s">
        <v>37</v>
      </c>
      <c r="M31" t="s">
        <v>341</v>
      </c>
      <c r="N31" t="e">
        <f>N29-N30</f>
        <v>#VALUE!</v>
      </c>
      <c r="Q31">
        <f>70803/(365*3024)</f>
        <v>6.4147097195042399E-2</v>
      </c>
    </row>
    <row r="32" spans="3:24">
      <c r="M32" t="s">
        <v>342</v>
      </c>
      <c r="N32" s="80" t="str">
        <f>IFERROR(GETPIVOTDATA("[Measures].[Somme de Demande_jour]",$C$20,"[Tab_concat].[Combustible]","[Tab_concat].[Combustible].&amp;[Eau (m3)]")/(N6+N7)*1000/N31,"N/A")</f>
        <v>N/A</v>
      </c>
    </row>
    <row r="33" spans="1:16">
      <c r="A33" s="437"/>
      <c r="P33" t="e">
        <f>P22/(24*6)</f>
        <v>#VALUE!</v>
      </c>
    </row>
    <row r="35" spans="1:16">
      <c r="L35" s="437"/>
      <c r="M35" s="437"/>
      <c r="P35" t="e">
        <f>15000*6*24/N3</f>
        <v>#VALUE!</v>
      </c>
    </row>
    <row r="36" spans="1:16">
      <c r="L36" s="437"/>
      <c r="M36" s="437"/>
    </row>
    <row r="41" spans="1:16">
      <c r="C41" s="174" t="s">
        <v>846</v>
      </c>
      <c r="D41" s="522" t="s" vm="5">
        <v>861</v>
      </c>
    </row>
    <row r="42" spans="1:16">
      <c r="B42" s="450" t="s">
        <v>862</v>
      </c>
      <c r="C42" s="174" t="s">
        <v>20</v>
      </c>
      <c r="D42" s="522" t="s" vm="6">
        <v>861</v>
      </c>
      <c r="E42" s="450"/>
      <c r="F42" s="450"/>
      <c r="G42" s="450"/>
      <c r="H42" s="450"/>
      <c r="I42" s="450"/>
    </row>
    <row r="43" spans="1:16">
      <c r="B43" s="450"/>
      <c r="C43" s="174" t="s">
        <v>21</v>
      </c>
      <c r="D43" s="522" t="s" vm="1">
        <v>861</v>
      </c>
      <c r="E43" s="450"/>
      <c r="F43" s="450"/>
      <c r="G43" s="450"/>
      <c r="H43" s="450"/>
      <c r="I43" s="450"/>
    </row>
    <row r="44" spans="1:16">
      <c r="B44" s="450"/>
      <c r="C44" s="174" t="s">
        <v>68</v>
      </c>
      <c r="D44" s="522" t="s" vm="2">
        <v>861</v>
      </c>
      <c r="E44" s="450"/>
      <c r="F44" s="450"/>
      <c r="G44" s="450"/>
      <c r="H44" s="450"/>
      <c r="I44" s="450"/>
    </row>
    <row r="45" spans="1:16">
      <c r="B45" s="450"/>
      <c r="C45" s="450"/>
      <c r="D45" s="450"/>
      <c r="E45" s="450"/>
      <c r="F45" s="450"/>
      <c r="G45" s="450"/>
      <c r="H45" s="450"/>
      <c r="I45" s="450"/>
    </row>
    <row r="46" spans="1:16">
      <c r="B46" s="450"/>
      <c r="C46" s="174" t="s">
        <v>64</v>
      </c>
      <c r="D46" t="s">
        <v>849</v>
      </c>
      <c r="E46" s="450"/>
      <c r="F46" s="450"/>
      <c r="G46" s="450"/>
    </row>
    <row r="47" spans="1:16">
      <c r="B47" s="450"/>
      <c r="C47" s="88" t="s">
        <v>28</v>
      </c>
      <c r="D47" s="233">
        <v>0</v>
      </c>
      <c r="E47" s="450"/>
      <c r="F47" s="450"/>
      <c r="G47" s="450"/>
    </row>
    <row r="48" spans="1:16">
      <c r="B48" s="450"/>
      <c r="C48" s="88" t="s">
        <v>86</v>
      </c>
      <c r="D48" s="233">
        <v>0</v>
      </c>
      <c r="E48" s="450"/>
      <c r="F48" s="450"/>
      <c r="G48" s="450"/>
    </row>
    <row r="49" spans="2:7">
      <c r="B49" s="450"/>
      <c r="E49" s="450"/>
      <c r="F49" s="450"/>
      <c r="G49" s="450"/>
    </row>
  </sheetData>
  <pageMargins left="0.7" right="0.7" top="0.75" bottom="0.75" header="0.3" footer="0.3"/>
  <pageSetup paperSize="9" orientation="portrait"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
    <tabColor theme="6"/>
  </sheetPr>
  <dimension ref="A1:K33"/>
  <sheetViews>
    <sheetView workbookViewId="0">
      <selection activeCell="E5" sqref="E5"/>
    </sheetView>
  </sheetViews>
  <sheetFormatPr baseColWidth="10" defaultColWidth="0" defaultRowHeight="15" customHeight="1" zeroHeight="1"/>
  <cols>
    <col min="1" max="11" width="11.42578125" customWidth="1"/>
    <col min="12" max="16384" width="11.42578125" hidden="1"/>
  </cols>
  <sheetData>
    <row r="1" spans="1:11">
      <c r="A1" s="38"/>
      <c r="B1" s="38"/>
      <c r="C1" s="38"/>
      <c r="D1" s="38"/>
      <c r="E1" s="38"/>
      <c r="F1" s="38"/>
      <c r="G1" s="38"/>
      <c r="H1" s="38"/>
      <c r="I1" s="38"/>
      <c r="J1" s="38"/>
      <c r="K1" s="38"/>
    </row>
    <row r="2" spans="1:11">
      <c r="A2" s="38"/>
      <c r="B2" s="38"/>
      <c r="C2" s="38"/>
      <c r="D2" s="38"/>
      <c r="E2" s="38"/>
      <c r="F2" s="38"/>
      <c r="G2" s="38"/>
      <c r="H2" s="38"/>
      <c r="I2" s="38"/>
      <c r="J2" s="38"/>
      <c r="K2" s="38"/>
    </row>
    <row r="3" spans="1:11">
      <c r="A3" s="38"/>
      <c r="B3" s="106" t="s">
        <v>0</v>
      </c>
      <c r="C3" s="576">
        <f>Site!C2</f>
        <v>0</v>
      </c>
      <c r="D3" s="576"/>
      <c r="E3" s="576"/>
      <c r="F3" s="38"/>
      <c r="G3" s="38"/>
      <c r="H3" s="38"/>
      <c r="I3" s="38"/>
      <c r="J3" s="38"/>
      <c r="K3" s="38"/>
    </row>
    <row r="4" spans="1:11">
      <c r="A4" s="38"/>
      <c r="B4" s="38"/>
      <c r="C4" s="38"/>
      <c r="D4" s="38"/>
      <c r="E4" s="38"/>
      <c r="F4" s="38"/>
      <c r="G4" s="38"/>
      <c r="H4" s="38"/>
      <c r="I4" s="38"/>
      <c r="J4" s="38"/>
      <c r="K4" s="38"/>
    </row>
    <row r="5" spans="1:11">
      <c r="A5" s="38"/>
      <c r="B5" s="105"/>
      <c r="C5" s="105" t="s">
        <v>56</v>
      </c>
      <c r="D5" s="79" t="str">
        <f>DJU!A2</f>
        <v>Le Mans</v>
      </c>
      <c r="E5" s="38"/>
      <c r="F5" s="38"/>
      <c r="G5" s="38"/>
      <c r="H5" s="38"/>
      <c r="I5" s="38"/>
      <c r="J5" s="38"/>
      <c r="K5" s="38"/>
    </row>
    <row r="6" spans="1:11">
      <c r="A6" s="38"/>
      <c r="B6" s="38"/>
      <c r="C6" s="38"/>
      <c r="D6" s="38"/>
      <c r="E6" s="38"/>
      <c r="F6" s="38"/>
      <c r="G6" s="38"/>
      <c r="H6" s="38"/>
      <c r="I6" s="38"/>
      <c r="J6" s="38"/>
      <c r="K6" s="38"/>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38"/>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G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c r="A33" s="38"/>
      <c r="B33" s="38"/>
      <c r="C33" s="38"/>
      <c r="D33" s="38"/>
      <c r="E33" s="38"/>
      <c r="F33" s="38"/>
      <c r="G33" s="38" t="s">
        <v>57</v>
      </c>
      <c r="H33" s="38"/>
      <c r="I33" s="38"/>
      <c r="J33" s="38"/>
      <c r="K33" s="38"/>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6669FF9A6C2E45B6E34480CBECE584" ma:contentTypeVersion="15" ma:contentTypeDescription="Create a new document." ma:contentTypeScope="" ma:versionID="7f813046db7683bcbce9b2bbfc324b02">
  <xsd:schema xmlns:xsd="http://www.w3.org/2001/XMLSchema" xmlns:xs="http://www.w3.org/2001/XMLSchema" xmlns:p="http://schemas.microsoft.com/office/2006/metadata/properties" xmlns:ns3="50efc2f2-ed42-4ad2-8b88-4bd24066a633" xmlns:ns4="e11cf51e-129a-4273-89ec-3acd2dfe0f03" targetNamespace="http://schemas.microsoft.com/office/2006/metadata/properties" ma:root="true" ma:fieldsID="92b5a621f987ae4fc4ccf95bb130a005" ns3:_="" ns4:_="">
    <xsd:import namespace="50efc2f2-ed42-4ad2-8b88-4bd24066a633"/>
    <xsd:import namespace="e11cf51e-129a-4273-89ec-3acd2dfe0f03"/>
    <xsd:element name="properties">
      <xsd:complexType>
        <xsd:sequence>
          <xsd:element name="documentManagement">
            <xsd:complexType>
              <xsd:all>
                <xsd:element ref="ns3:_activity"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ObjectDetectorVersions"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fc2f2-ed42-4ad2-8b88-4bd24066a633"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1cf51e-129a-4273-89ec-3acd2dfe0f0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d 5 8 8 d 4 e 5 - c 8 a 7 - 4 7 e a - a c a 4 - 3 3 c 1 8 e 3 5 5 8 9 6 " > < 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11.xml>��< ? x m l   v e r s i o n = " 1 . 0 "   e n c o d i n g = " U T F - 1 6 " ? > < G e m i n i   x m l n s = " h t t p : / / g e m i n i / p i v o t c u s t o m i z a t i o n / 6 e 5 5 f 1 6 8 - f 7 d 1 - 4 0 5 b - 8 6 9 4 - 0 3 1 d d 7 3 8 f 3 c 3 " > < 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12.xml>��< ? x m l   v e r s i o n = " 1 . 0 "   e n c o d i n g = " U T F - 1 6 " ? > < G e m i n i   x m l n s = " h t t p : / / g e m i n i / p i v o t c u s t o m i z a t i o n / 5 9 1 2 7 9 6 9 - 3 a e 8 - 4 6 9 0 - 9 5 f 6 - b e b 1 1 8 b 6 0 9 5 3 " > < 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4 6 b e 0 8 f b - b e b 1 - 4 9 9 9 - 9 b d 3 - e 7 d 1 6 1 c 8 f f 2 3 " > < C u s t o m C o n t e n t > < ! [ C D A T A [ < ? x m l   v e r s i o n = " 1 . 0 "   e n c o d i n g = " u t f - 1 6 " ? > < S e t t i n g s > < C a l c u l a t e d F i e l d s > < i t e m > < M e a s u r e N a m e > C o n s o _ D J U < / M e a s u r e N a m e > < D i s p l a y N a m e > C o n s o _ D J U < / D i s p l a y N a m e > < V i s i b l e > F a l s e < / V i s i b l e > < / i t e m > < i t e m > < M e a s u r e N a m e > C o u t   U n i t a i r e   M o y e n < / M e a s u r e N a m e > < D i s p l a y N a m e > C o u t   U n i t a i r e   M o y e n < / D i s p l a y N a m e > < V i s i b l e > F a l s e < / V i s i b l e > < / i t e m > < / C a l c u l a t e d F i e l d s > < S A H o s t H a s h > 0 < / S A H o s t H a s h > < G e m i n i F i e l d L i s t V i s i b l e > T r u e < / G e m i n i F i e l d L i s t V i s i b l e > < / S e t t i n g s > ] ] > < / 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 T a b _ c o n c a t _ f 1 4 8 b 1 5 1 - 7 8 6 5 - 4 9 f 6 - 8 1 9 0 - 9 3 b 9 2 3 6 3 f b a 8 < / K e y > < V a l u e   x m l n s : a = " h t t p : / / s c h e m a s . d a t a c o n t r a c t . o r g / 2 0 0 4 / 0 7 / M i c r o s o f t . A n a l y s i s S e r v i c e s . C o m m o n " > < a : H a s F o c u s > t r u e < / a : H a s F o c u s > < a : S i z e A t D p i 9 6 > 1 8 7 < / a : S i z e A t D p i 9 6 > < a : V i s i b l e > t r u e < / a : V i s i b l e > < / V a l u e > < / K e y V a l u e O f s t r i n g S a n d b o x E d i t o r . M e a s u r e G r i d S t a t e S c d E 3 5 R y > < K e y V a l u e O f s t r i n g S a n d b o x E d i t o r . M e a s u r e G r i d S t a t e S c d E 3 5 R y > < K e y > T a b l e a u 1 6 < / K e y > < V a l u e   x m l n s : a = " h t t p : / / s c h e m a s . d a t a c o n t r a c t . o r g / 2 0 0 4 / 0 7 / M i c r o s o f t . A n a l y s i s S e r v i c e s . C o m m o n " > < a : H a s F o c u s > t r u e < / a : H a s F o c u s > < a : S i z e A t D p i 9 6 > 1 8 9 < / a : S i z e A t D p i 9 6 > < a : V i s i b l e > t r u e < / a : V i s i b l e > < / V a l u e > < / K e y V a l u e O f s t r i n g S a n d b o x E d i t o r . M e a s u r e G r i d S t a t e S c d E 3 5 R y > < / A r r a y O f K e y V a l u e O f s t r i n g S a n d b o x E d i t o r . M e a s u r e G r i d S t a t e S c d E 3 5 R y > ] ] > < / C u s t o m C o n t e n t > < / G e m i n i > 
</file>

<file path=customXml/item16.xml>��< ? x m l   v e r s i o n = " 1 . 0 "   e n c o d i n g = " U T F - 1 6 " ? > < G e m i n i   x m l n s = " h t t p : / / g e m i n i / p i v o t c u s t o m i z a t i o n / T a b l e X M L _ T a b _ C a l c u l s " > < C u s t o m C o n t e n t > < ! [ C D A T A [ < T a b l e W i d g e t G r i d S e r i a l i z a t i o n   x m l n s : x s i = " h t t p : / / w w w . w 3 . o r g / 2 0 0 1 / X M L S c h e m a - i n s t a n c e "   x m l n s : x s d = " h t t p : / / w w w . w 3 . o r g / 2 0 0 1 / X M L S c h e m a " > < C o l u m n S u g g e s t e d T y p e   / > < C o l u m n F o r m a t   / > < C o l u m n A c c u r a c y   / > < C o l u m n C u r r e n c y S y m b o l   / > < C o l u m n P o s i t i v e P a t t e r n   / > < C o l u m n N e g a t i v e P a t t e r n   / > < C o l u m n W i d t h s > < i t e m > < k e y > < s t r i n g > D � b u t   m o i s < / s t r i n g > < / k e y > < v a l u e > < i n t > 2 0 4 < / i n t > < / v a l u e > < / i t e m > < i t e m > < k e y > < s t r i n g > f i n   m o i s < / s t r i n g > < / k e y > < v a l u e > < i n t > 1 6 1 < / i n t > < / v a l u e > < / i t e m > < i t e m > < k e y > < s t r i n g > t r a n c h e < / s t r i n g > < / k e y > < v a l u e > < i n t > 1 5 6 < / i n t > < / v a l u e > < / i t e m > < i t e m > < k e y > < s t r i n g > M O I S < / s t r i n g > < / k e y > < v a l u e > < i n t > 1 3 1 < / i n t > < / v a l u e > < / i t e m > < i t e m > < k e y > < s t r i n g > A N N E E < / s t r i n g > < / k e y > < v a l u e > < i n t > 1 4 8 < / i n t > < / v a l u e > < / i t e m > < i t e m > < k e y > < s t r i n g > C o m p t e u r < / s t r i n g > < / k e y > < v a l u e > < i n t > 1 8 6 < / i n t > < / v a l u e > < / i t e m > < i t e m > < k e y > < s t r i n g > C o l o n n e 1 < / s t r i n g > < / k e y > < v a l u e > < i n t > 1 8 0 < / i n t > < / v a l u e > < / i t e m > < i t e m > < k e y > < s t r i n g > N o m < / s t r i n g > < / k e y > < v a l u e > < i n t > 1 2 2 < / i n t > < / v a l u e > < / i t e m > < i t e m > < k e y > < s t r i n g > D a t e _ l i v r a i s o n < / s t r i n g > < / k e y > < v a l u e > < i n t > 2 3 7 < / i n t > < / v a l u e > < / i t e m > < i t e m > < k e y > < s t r i n g > D � b u t   p e r i o d e   l i v r a i s o n < / s t r i n g > < / k e y > < v a l u e > < i n t > 3 4 9 < / i n t > < / v a l u e > < / i t e m > < i t e m > < k e y > < s t r i n g > i n d e x _ d a t e _ l i v r a i s o n < / s t r i n g > < / k e y > < v a l u e > < i n t > 3 1 7 < / i n t > < / v a l u e > < / i t e m > < i t e m > < k e y > < s t r i n g > r a t i o _ a v a n t _ d e b u t < / s t r i n g > < / k e y > < v a l u e > < i n t > 2 9 0 < / i n t > < / v a l u e > < / i t e m > < i t e m > < k e y > < s t r i n g > R a t i o _ j o u r _ a v a n t _ l i v r < / s t r i n g > < / k e y > < v a l u e > < i n t > 3 2 6 < / i n t > < / v a l u e > < / i t e m > < i t e m > < k e y > < s t r i n g > R a t i o _ j o u r _ a p r � s _ l i v r < / s t r i n g > < / k e y > < v a l u e > < i n t > 3 2 5 < / i n t > < / v a l u e > < / i t e m > < i t e m > < k e y > < s t r i n g > C o n s o _ m o i s _ U < / s t r i n g > < / k e y > < v a l u e > < i n t > 2 4 7 < / i n t > < / v a l u e > < / i t e m > < i t e m > < k e y > < s t r i n g > R a t i o _ C o u t _ a v a n t _ d e b u t < / s t r i n g > < / k e y > < v a l u e > < i n t > 3 7 0 < / i n t > < / v a l u e > < / i t e m > < i t e m > < k e y > < s t r i n g > R a t i o _ C o u t _ a v a n t _ l i v r < / s t r i n g > < / k e y > < v a l u e > < i n t > 3 3 5 < / i n t > < / v a l u e > < / i t e m > < i t e m > < k e y > < s t r i n g > R a t i o _ C o u t _ a p r � s _ l i v r < / s t r i n g > < / k e y > < v a l u e > < i n t > 3 3 4 < / i n t > < / v a l u e > < / i t e m > < i t e m > < k e y > < s t r i n g > C o u t _ m o i s < / s t r i n g > < / k e y > < v a l u e > < i n t > 1 9 5 < / i n t > < / v a l u e > < / i t e m > < i t e m > < k e y > < s t r i n g > C o n s o _ m o i s _ k W h < / s t r i n g > < / k e y > < v a l u e > < i n t > 2 8 5 < / i n t > < / v a l u e > < / i t e m > < i t e m > < k e y > < s t r i n g > C o n s o _ m o i s _ k W h E P < / s t r i n g > < / k e y > < v a l u e > < i n t > 3 1 6 < / i n t > < / v a l u e > < / i t e m > < i t e m > < k e y > < s t r i n g > C o n s o _ m o i s _ k W h D E E T < / s t r i n g > < / k e y > < v a l u e > < i n t > 3 4 8 < / i n t > < / v a l u e > < / i t e m > < i t e m > < k e y > < s t r i n g > C o u t _ u n i t a i e < / s t r i n g > < / k e y > < v a l u e > < i n t > 2 2 1 < / i n t > < / v a l u e > < / i t e m > < i t e m > < k e y > < s t r i n g > T y p e < / s t r i n g > < / k e y > < v a l u e > < i n t > 1 2 2 < / i n t > < / v a l u e > < / i t e m > < i t e m > < k e y > < s t r i n g > S o u r c e < / s t r i n g > < / k e y > < v a l u e > < i n t > 1 4 7 < / i n t > < / v a l u e > < / i t e m > < i t e m > < k e y > < s t r i n g > D e t a i l   u s a g e < / s t r i n g > < / k e y > < v a l u e > < i n t > 2 1 2 < / i n t > < / v a l u e > < / i t e m > < i t e m > < k e y > < s t r i n g > C o m b u s t i b l e < / s t r i n g > < / k e y > < v a l u e > < i n t > 2 1 8 < / i n t > < / v a l u e > < / i t e m > < / C o l u m n W i d t h s > < C o l u m n D i s p l a y I n d e x > < i t e m > < k e y > < s t r i n g > D � b u t   m o i s < / s t r i n g > < / k e y > < v a l u e > < i n t > 0 < / i n t > < / v a l u e > < / i t e m > < i t e m > < k e y > < s t r i n g > f i n   m o i s < / s t r i n g > < / k e y > < v a l u e > < i n t > 1 < / i n t > < / v a l u e > < / i t e m > < i t e m > < k e y > < s t r i n g > t r a n c h e < / s t r i n g > < / k e y > < v a l u e > < i n t > 2 < / i n t > < / v a l u e > < / i t e m > < i t e m > < k e y > < s t r i n g > M O I S < / s t r i n g > < / k e y > < v a l u e > < i n t > 3 < / i n t > < / v a l u e > < / i t e m > < i t e m > < k e y > < s t r i n g > A N N E E < / s t r i n g > < / k e y > < v a l u e > < i n t > 4 < / i n t > < / v a l u e > < / i t e m > < i t e m > < k e y > < s t r i n g > C o m p t e u r < / s t r i n g > < / k e y > < v a l u e > < i n t > 5 < / i n t > < / v a l u e > < / i t e m > < i t e m > < k e y > < s t r i n g > C o l o n n e 1 < / s t r i n g > < / k e y > < v a l u e > < i n t > 6 < / i n t > < / v a l u e > < / i t e m > < i t e m > < k e y > < s t r i n g > N o m < / s t r i n g > < / k e y > < v a l u e > < i n t > 7 < / i n t > < / v a l u e > < / i t e m > < i t e m > < k e y > < s t r i n g > D a t e _ l i v r a i s o n < / s t r i n g > < / k e y > < v a l u e > < i n t > 8 < / i n t > < / v a l u e > < / i t e m > < i t e m > < k e y > < s t r i n g > D � b u t   p e r i o d e   l i v r a i s o n < / s t r i n g > < / k e y > < v a l u e > < i n t > 9 < / i n t > < / v a l u e > < / i t e m > < i t e m > < k e y > < s t r i n g > i n d e x _ d a t e _ l i v r a i s o n < / s t r i n g > < / k e y > < v a l u e > < i n t > 1 0 < / i n t > < / v a l u e > < / i t e m > < i t e m > < k e y > < s t r i n g > r a t i o _ a v a n t _ d e b u t < / s t r i n g > < / k e y > < v a l u e > < i n t > 1 1 < / i n t > < / v a l u e > < / i t e m > < i t e m > < k e y > < s t r i n g > R a t i o _ j o u r _ a v a n t _ l i v r < / s t r i n g > < / k e y > < v a l u e > < i n t > 1 2 < / i n t > < / v a l u e > < / i t e m > < i t e m > < k e y > < s t r i n g > R a t i o _ j o u r _ a p r � s _ l i v r < / s t r i n g > < / k e y > < v a l u e > < i n t > 1 3 < / i n t > < / v a l u e > < / i t e m > < i t e m > < k e y > < s t r i n g > C o n s o _ m o i s _ U < / s t r i n g > < / k e y > < v a l u e > < i n t > 1 4 < / i n t > < / v a l u e > < / i t e m > < i t e m > < k e y > < s t r i n g > R a t i o _ C o u t _ a v a n t _ d e b u t < / s t r i n g > < / k e y > < v a l u e > < i n t > 1 5 < / i n t > < / v a l u e > < / i t e m > < i t e m > < k e y > < s t r i n g > R a t i o _ C o u t _ a v a n t _ l i v r < / s t r i n g > < / k e y > < v a l u e > < i n t > 1 6 < / i n t > < / v a l u e > < / i t e m > < i t e m > < k e y > < s t r i n g > R a t i o _ C o u t _ a p r � s _ l i v r < / s t r i n g > < / k e y > < v a l u e > < i n t > 1 7 < / i n t > < / v a l u e > < / i t e m > < i t e m > < k e y > < s t r i n g > C o u t _ m o i s < / s t r i n g > < / k e y > < v a l u e > < i n t > 1 8 < / i n t > < / v a l u e > < / i t e m > < i t e m > < k e y > < s t r i n g > C o n s o _ m o i s _ k W h < / s t r i n g > < / k e y > < v a l u e > < i n t > 1 9 < / i n t > < / v a l u e > < / i t e m > < i t e m > < k e y > < s t r i n g > C o n s o _ m o i s _ k W h E P < / s t r i n g > < / k e y > < v a l u e > < i n t > 2 0 < / i n t > < / v a l u e > < / i t e m > < i t e m > < k e y > < s t r i n g > C o n s o _ m o i s _ k W h D E E T < / s t r i n g > < / k e y > < v a l u e > < i n t > 2 1 < / i n t > < / v a l u e > < / i t e m > < i t e m > < k e y > < s t r i n g > C o u t _ u n i t a i e < / s t r i n g > < / k e y > < v a l u e > < i n t > 2 2 < / i n t > < / v a l u e > < / i t e m > < i t e m > < k e y > < s t r i n g > T y p e < / s t r i n g > < / k e y > < v a l u e > < i n t > 2 3 < / i n t > < / v a l u e > < / i t e m > < i t e m > < k e y > < s t r i n g > S o u r c e < / s t r i n g > < / k e y > < v a l u e > < i n t > 2 4 < / i n t > < / v a l u e > < / i t e m > < i t e m > < k e y > < s t r i n g > D e t a i l   u s a g e < / s t r i n g > < / k e y > < v a l u e > < i n t > 2 5 < / i n t > < / v a l u e > < / i t e m > < i t e m > < k e y > < s t r i n g > C o m b u s t i b l e < / s t r i n g > < / k e y > < v a l u e > < i n t > 2 6 < / 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P o w e r P i v o t V e r s i o n " > < C u s t o m C o n t e n t > < ! [ C D A T A [ 2 0 1 5 . 1 3 0 . 1 6 0 6 . 4 4 ] ] > < / C u s t o m C o n t e n t > < / G e m i n i > 
</file>

<file path=customXml/item18.xml>��< ? x m l   v e r s i o n = " 1 . 0 "   e n c o d i n g = " U T F - 1 6 " ? > < G e m i n i   x m l n s = " h t t p : / / g e m i n i / p i v o t c u s t o m i z a t i o n / M a n u a l C a l c M o d e " > < C u s t o m C o n t e n t > < ! [ C D A T A [ F a l s e ] ] > < / 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 C o l u m n s \ C o m p t e u r / L i v r a i s o n 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 C o l u m n s \ D e t a i l   u s a g e < / K e y > < / a : K e y > < a : V a l u e   i : t y p e = " T a b l e W i d g e t B a s e V i e w S t a t e " / > < / a : K e y V a l u e O f D i a g r a m O b j e c t K e y a n y T y p e z b w N T n L X > < a : K e y V a l u e O f D i a g r a m O b j e c t K e y a n y T y p e z b w N T n L X > < a : K e y > < K e y > C o l u m n s \ C o m b u s t i b l e < / K e y > < / a : K e y > < a : V a l u e   i : t y p e = " T a b l e W i d g e t B a s e V i e w S t a t e " / > < / a : K e y V a l u e O f D i a g r a m O b j e c t K e y a n y T y p e z b w N T n L X > < a : K e y V a l u e O f D i a g r a m O b j e c t K e y a n y T y p e z b w N T n L X > < a : K e y > < K e y > C o l u m n s \ P C I < / K e y > < / a : K e y > < a : V a l u e   i : t y p e = " T a b l e W i d g e t B a s e V i e w S t a t e " / > < / a : K e y V a l u e O f D i a g r a m O b j e c t K e y a n y T y p e z b w N T n L X > < a : K e y V a l u e O f D i a g r a m O b j e c t K e y a n y T y p e z b w N T n L X > < a : K e y > < K e y > C o l u m n s \ P C I _ D E E T < / 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 C o l u m n s \ P C I _ E P 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 T a b _ c o n c a t 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 T a b _ c o n c a t 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 C o l u m n s \ C o m p t e u r < / K e y > < / a : K e y > < a : V a l u e   i : t y p e = " T a b l e W i d g e t B a s e V i e w S t a t e " / > < / a : K e y V a l u e O f D i a g r a m O b j e c t K e y a n y T y p e z b w N T n L X > < a : K e y V a l u e O f D i a g r a m O b j e c t K e y a n y T y p e z b w N T n L X > < a : K e y > < K e y > C o l u m n s \ D a t e s < / K e y > < / a : K e y > < a : V a l u e   i : t y p e = " T a b l e W i d g e t B a s e V i e w S t a t e " / > < / a : K e y V a l u e O f D i a g r a m O b j e c t K e y a n y T y p e z b w N T n L X > < a : K e y V a l u e O f D i a g r a m O b j e c t K e y a n y T y p e z b w N T n L X > < a : K e y > < K e y > C o l u m n s \ D e m a n d e _ j o u r < / K e y > < / a : K e y > < a : V a l u e   i : t y p e = " T a b l e W i d g e t B a s e V i e w S t a t e " / > < / a : K e y V a l u e O f D i a g r a m O b j e c t K e y a n y T y p e z b w N T n L X > < a : K e y V a l u e O f D i a g r a m O b j e c t K e y a n y T y p e z b w N T n L X > < a : K e y > < K e y > C o l u m n s \ C o u t _ j o u r < / K e y > < / a : K e y > < a : V a l u e   i : t y p e = " T a b l e W i d g e t B a s e V i e w S t a t e " / > < / a : K e y V a l u e O f D i a g r a m O b j e c t K e y a n y T y p e z b w N T n L X > < a : K e y V a l u e O f D i a g r a m O b j e c t K e y a n y T y p e z b w N T n L X > < a : K e y > < K e y > C o l u m n s \ D J U _ c h a u f f a g i s t e < / K e y > < / a : K e y > < a : V a l u e   i : t y p e = " T a b l e W i d g e t B a s e V i e w S t a t e " / > < / a : K e y V a l u e O f D i a g r a m O b j e c t K e y a n y T y p e z b w N T n L X > < a : K e y V a l u e O f D i a g r a m O b j e c t K e y a n y T y p e z b w N T n L X > < a : K e y > < K e y > C o l u m n s \ D J U _ c l i m a t i c i e n < / K e y > < / a : K e y > < a : V a l u e   i : t y p e = " T a b l e W i d g e t B a s e V i e w S t a t e " / > < / a : K e y V a l u e O f D i a g r a m O b j e c t K e y a n y T y p e z b w N T n L X > < a : K e y V a l u e O f D i a g r a m O b j e c t K e y a n y T y p e z b w N T n L X > < a : K e y > < K e y > C o l u m n s \ C o l o n n e 2 < / 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 C o l u m n s \ C o m b u s t i b l e < / K e y > < / a : K e y > < a : V a l u e   i : t y p e = " T a b l e W i d g e t B a s e V i e w S t a t e " / > < / a : K e y V a l u e O f D i a g r a m O b j e c t K e y a n y T y p e z b w N T n L X > < a : K e y V a l u e O f D i a g r a m O b j e c t K e y a n y T y p e z b w N T n L X > < a : K e y > < K e y > C o l u m n s \ C o n s o _ k W h _ P C I < / K e y > < / a : K e y > < a : V a l u e   i : t y p e = " T a b l e W i d g e t B a s e V i e w S t a t e " / > < / a : K e y V a l u e O f D i a g r a m O b j e c t K e y a n y T y p e z b w N T n L X > < a : K e y V a l u e O f D i a g r a m O b j e c t K e y a n y T y p e z b w N T n L X > < a : K e y > < K e y > C o l u m n s \ C o n s o _ k W h _ D E E T < / 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 C o l u m n s \ D e t a i l   u s a g e < / K e y > < / a : K e y > < a : V a l u e   i : t y p e = " T a b l e W i d g e t B a s e V i e w S t a t e " / > < / a : K e y V a l u e O f D i a g r a m O b j e c t K e y a n y T y p e z b w N T n L X > < a : K e y V a l u e O f D i a g r a m O b j e c t K e y a n y T y p e z b w N T n L X > < a : K e y > < K e y > C o l u m n s \ C o n s o _ k W h E P < / K e y > < / a : K e y > < a : V a l u e   i : t y p e = " T a b l e W i d g e t B a s e V i e w S t a t e " / > < / a : K e y V a l u e O f D i a g r a m O b j e c t K e y a n y T y p e z b w N T n L X > < a : K e y V a l u e O f D i a g r a m O b j e c t K e y a n y T y p e z b w N T n L X > < a : K e y > < K e y > C o l u m n s \ A n n e e < / K e y > < / a : K e y > < a : V a l u e   i : t y p e = " T a b l e W i d g e t B a s e V i e w S t a t e " / > < / a : K e y V a l u e O f D i a g r a m O b j e c t K e y a n y T y p e z b w N T n L X > < a : K e y V a l u e O f D i a g r a m O b j e c t K e y a n y T y p e z b w N T n L X > < a : K e y > < K e y > C o l u m n s \ M o i s < / K e y > < / a : K e y > < a : V a l u e   i : t y p e = " T a b l e W i d g e t B a s e V i e w S t a t e " / > < / a : K e y V a l u e O f D i a g r a m O b j e c t K e y a n y T y p e z b w N T n L X > < a : K e y V a l u e O f D i a g r a m O b j e c t K e y a n y T y p e z b w N T n L X > < a : K e y > < K e y > C o l u m n s \ C o u t _ u n i t a i r e < / K e y > < / a : K e y > < a : V a l u e   i : t y p e = " T a b l e W i d g e t B a s e V i e w S t a t e " / > < / a : K e y V a l u e O f D i a g r a m O b j e c t K e y a n y T y p e z b w N T n L X > < a : K e y V a l u e O f D i a g r a m O b j e c t K e y a n y T y p e z b w N T n L X > < a : K e y > < K e y > C o l u m n s \ D a t e s   ( a n n � e ) < / K e y > < / a : K e y > < a : V a l u e   i : t y p e = " T a b l e W i d g e t B a s e V i e w S t a t e " / > < / a : K e y V a l u e O f D i a g r a m O b j e c t K e y a n y T y p e z b w N T n L X > < a : K e y V a l u e O f D i a g r a m O b j e c t K e y a n y T y p e z b w N T n L X > < a : K e y > < K e y > C o l u m n s \ D a t e s   ( t r i m e s t r e ) < / K e y > < / a : K e y > < a : V a l u e   i : t y p e = " T a b l e W i d g e t B a s e V i e w S t a t e " / > < / a : K e y V a l u e O f D i a g r a m O b j e c t K e y a n y T y p e z b w N T n L X > < a : K e y V a l u e O f D i a g r a m O b j e c t K e y a n y T y p e z b w N T n L X > < a : K e y > < K e y > C o l u m n s \ D a t e s   ( i n d e x   d e s   m o i s ) < / K e y > < / a : K e y > < a : V a l u e   i : t y p e = " T a b l e W i d g e t B a s e V i e w S t a t e " / > < / a : K e y V a l u e O f D i a g r a m O b j e c t K e y a n y T y p e z b w N T n L X > < a : K e y V a l u e O f D i a g r a m O b j e c t K e y a n y T y p e z b w N T n L X > < a : K e y > < K e y > C o l u m n s \ D a t e s   ( m o i s ) < / K e y > < / a : K e y > < a : V a l u e   i : t y p e = " T a b l e W i d g e t B a s e V i e w S t a t e " / > < / a : K e y V a l u e O f D i a g r a m O b j e c t K e y a n y T y p e z b w N T n L X > < a : K e y V a l u e O f D i a g r a m O b j e c t K e y a n y T y p e z b w N T n L X > < a : K e y > < K e y > C o l u m n s \ D J U _ q u o t _ c h a u f f a g i s t e < / K e y > < / a : K e y > < a : V a l u e   i : t y p e = " T a b l e W i d g e t B a s e V i e w S t a t e " / > < / a : K e y V a l u e O f D i a g r a m O b j e c t K e y a n y T y p e z b w N T n L X > < a : K e y V a l u e O f D i a g r a m O b j e c t K e y a n y T y p e z b w N T n L X > < a : K e y > < K e y > C o l u m n s \ D J U _ q u o t _ c l i m a t i c i e n 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 2 0 2 6 - 0 3 - 2 3 T 1 1 : 5 2 : 5 5 . 7 4 1 7 1 2 3 + 0 1 : 0 0 < / L a s t P r o c e s s e d T i m e > < / D a t a M o d e l i n g S a n d b o x . S e r i a l i z e d S a n d b o x E r r o r C a c h e > ] ] > < / C u s t o m C o n t e n t > < / G e m i n i > 
</file>

<file path=customXml/item20.xml>��< ? x m l   v e r s i o n = " 1 . 0 "   e n c o d i n g = " U T F - 1 6 " ? > < G e m i n i   x m l n s = " h t t p : / / g e m i n i / p i v o t c u s t o m i z a t i o n / e d 4 7 7 c 8 1 - 6 7 b c - 4 3 1 7 - b e 4 f - 4 4 6 a 8 d f 0 8 b d d " > < C u s t o m C o n t e n t > < ! [ C D A T A [ < ? x m l   v e r s i o n = " 1 . 0 "   e n c o d i n g = " u t f - 1 6 " ? > < S e t t i n g s > < C a l c u l a t e d F i e l d s > < i t e m > < M e a s u r e N a m e > C o n s o _ D J U < / M e a s u r e N a m e > < D i s p l a y N a m e > C o n s o _ D J U < / D i s p l a y N a m e > < V i s i b l e > F a l s e < / V i s i b l e > < / i t e m > < i t e m > < M e a s u r e N a m e > C o u t   U n i t a i r e   M o y e n < / M e a s u r e N a m e > < D i s p l a y N a m e > C o u t   U n i t a i r e   M o y e n < / D i s p l a y N a m e > < V i s i b l e > F a l s e < / V i s i b l e > < / i t e m > < / C a l c u l a t e d F i e l d s > < S A H o s t H a s h > 0 < / S A H o s t H a s h > < G e m i n i F i e l d L i s t V i s i b l e > T r u e < / G e m i n i F i e l d L i s t V i s i b l e > < / S e t t i n g s > ] ] > < / C u s t o m C o n t e n t > < / G e m i n i > 
</file>

<file path=customXml/item21.xml>��< ? x m l   v e r s i o n = " 1 . 0 "   e n c o d i n g = " U T F - 1 6 " ? > < G e m i n i   x m l n s = " h t t p : / / g e m i n i / p i v o t c u s t o m i z a t i o n / C l i e n t W i n d o w X M L " > < C u s t o m C o n t e n t > < ! [ C D A T A [ T a b _ c o n c a t _ f 1 4 8 b 1 5 1 - 7 8 6 5 - 4 9 f 6 - 8 1 9 0 - 9 3 b 9 2 3 6 3 f b a 8 ] ] > < / C u s t o m C o n t e n t > < / G e m i n i > 
</file>

<file path=customXml/item22.xml>��< ? x m l   v e r s i o n = " 1 . 0 "   e n c o d i n g = " U T F - 1 6 " ? > < G e m i n i   x m l n s = " h t t p : / / g e m i n i / p i v o t c u s t o m i z a t i o n / T a b l e X M L _ T a b _ c o n c a t _ f 1 4 8 b 1 5 1 - 7 8 6 5 - 4 9 f 6 - 8 1 9 0 - 9 3 b 9 2 3 6 3 f b a 8 " > < C u s t o m C o n t e n t > < ! [ C D A T A [ < T a b l e W i d g e t G r i d S e r i a l i z a t i o n   x m l n s : x s d = " h t t p : / / w w w . w 3 . o r g / 2 0 0 1 / X M L S c h e m a "   x m l n s : x s i = " h t t p : / / w w w . w 3 . o r g / 2 0 0 1 / X M L S c h e m a - i n s t a n c e " > < C o l u m n S u g g e s t e d T y p e   / > < C o l u m n F o r m a t   / > < C o l u m n A c c u r a c y   / > < C o l u m n C u r r e n c y S y m b o l   / > < C o l u m n P o s i t i v e P a t t e r n   / > < C o l u m n N e g a t i v e P a t t e r n   / > < C o l u m n W i d t h s > < i t e m > < k e y > < s t r i n g > D e m a n d e _ j o u r < / s t r i n g > < / k e y > < v a l u e > < i n t > 2 4 5 < / i n t > < / v a l u e > < / i t e m > < i t e m > < k e y > < s t r i n g > C o u t _ j o u r < / s t r i n g > < / k e y > < v a l u e > < i n t > 1 8 5 < / i n t > < / v a l u e > < / i t e m > < i t e m > < k e y > < s t r i n g > C o m p t e u r < / s t r i n g > < / k e y > < v a l u e > < i n t > 1 8 6 < / i n t > < / v a l u e > < / i t e m > < i t e m > < k e y > < s t r i n g > D a t e s < / s t r i n g > < / k e y > < v a l u e > < i n t > 2 2 2 < / i n t > < / v a l u e > < / i t e m > < i t e m > < k e y > < s t r i n g > D J U _ c h a u f f a g i s t e < / s t r i n g > < / k e y > < v a l u e > < i n t > 2 7 3 < / i n t > < / v a l u e > < / i t e m > < i t e m > < k e y > < s t r i n g > S o u r c e < / s t r i n g > < / k e y > < v a l u e > < i n t > 1 4 7 < / i n t > < / v a l u e > < / i t e m > < i t e m > < k e y > < s t r i n g > T y p e < / s t r i n g > < / k e y > < v a l u e > < i n t > 3 2 9 < / i n t > < / v a l u e > < / i t e m > < i t e m > < k e y > < s t r i n g > C o m b u s t i b l e < / s t r i n g > < / k e y > < v a l u e > < i n t > 2 1 8 < / i n t > < / v a l u e > < / i t e m > < i t e m > < k e y > < s t r i n g > C o n s o _ k W h _ D E E T < / s t r i n g > < / k e y > < v a l u e > < i n t > 2 8 9 < / i n t > < / v a l u e > < / i t e m > < i t e m > < k e y > < s t r i n g > C o n s o _ k W h _ P C I < / s t r i n g > < / k e y > < v a l u e > < i n t > 2 9 4 < / i n t > < / v a l u e > < / i t e m > < i t e m > < k e y > < s t r i n g > N o m < / s t r i n g > < / k e y > < v a l u e > < i n t > 1 2 2 < / i n t > < / v a l u e > < / i t e m > < i t e m > < k e y > < s t r i n g > D e t a i l   u s a g e < / s t r i n g > < / k e y > < v a l u e > < i n t > 2 1 2 < / i n t > < / v a l u e > < / i t e m > < i t e m > < k e y > < s t r i n g > A n n e e < / s t r i n g > < / k e y > < v a l u e > < i n t > 1 4 2 < / i n t > < / v a l u e > < / i t e m > < i t e m > < k e y > < s t r i n g > M o i s < / s t r i n g > < / k e y > < v a l u e > < i n t > 1 2 4 < / i n t > < / v a l u e > < / i t e m > < i t e m > < k e y > < s t r i n g > C o n s o _ k W h E P < / s t r i n g > < / k e y > < v a l u e > < i n t > 2 2 6 < / i n t > < / v a l u e > < / i t e m > < i t e m > < k e y > < s t r i n g > C o u t _ u n i t a i r e < / s t r i n g > < / k e y > < v a l u e > < i n t > 2 3 1 < / i n t > < / v a l u e > < / i t e m > < i t e m > < k e y > < s t r i n g > D a t e s   ( a n n � e ) < / s t r i n g > < / k e y > < v a l u e > < i n t > 2 1 9 < / i n t > < / v a l u e > < / i t e m > < i t e m > < k e y > < s t r i n g > D a t e s   ( t r i m e s t r e ) < / s t r i n g > < / k e y > < v a l u e > < i n t > 1 4 2 < / i n t > < / v a l u e > < / i t e m > < i t e m > < k e y > < s t r i n g > D a t e s   ( i n d e x   d e s   m o i s ) < / s t r i n g > < / k e y > < v a l u e > < i n t > 1 7 7 < / i n t > < / v a l u e > < / i t e m > < i t e m > < k e y > < s t r i n g > D a t e s   ( m o i s ) < / s t r i n g > < / k e y > < v a l u e > < i n t > 1 1 4 < / i n t > < / v a l u e > < / i t e m > < i t e m > < k e y > < s t r i n g > D J U _ c l i m a t i c i e n < / s t r i n g > < / k e y > < v a l u e > < i n t > 2 5 8 < / i n t > < / v a l u e > < / i t e m > < i t e m > < k e y > < s t r i n g > D J U _ q u o t _ c h a u f f a g i s t e < / s t r i n g > < / k e y > < v a l u e > < i n t > 3 4 6 < / i n t > < / v a l u e > < / i t e m > < i t e m > < k e y > < s t r i n g > D J U _ q u o t _ c l i m a t i c i e n < / s t r i n g > < / k e y > < v a l u e > < i n t > 3 3 1 < / i n t > < / v a l u e > < / i t e m > < i t e m > < k e y > < s t r i n g > C o l o n n e 2 < / s t r i n g > < / k e y > < v a l u e > < i n t > 1 3 6 < / i n t > < / v a l u e > < / i t e m > < / C o l u m n W i d t h s > < C o l u m n D i s p l a y I n d e x > < i t e m > < k e y > < s t r i n g > D e m a n d e _ j o u r < / s t r i n g > < / k e y > < v a l u e > < i n t > 0 < / i n t > < / v a l u e > < / i t e m > < i t e m > < k e y > < s t r i n g > C o u t _ j o u r < / s t r i n g > < / k e y > < v a l u e > < i n t > 1 < / i n t > < / v a l u e > < / i t e m > < i t e m > < k e y > < s t r i n g > C o m p t e u r < / s t r i n g > < / k e y > < v a l u e > < i n t > 2 < / i n t > < / v a l u e > < / i t e m > < i t e m > < k e y > < s t r i n g > D a t e s < / s t r i n g > < / k e y > < v a l u e > < i n t > 3 < / i n t > < / v a l u e > < / i t e m > < i t e m > < k e y > < s t r i n g > D J U _ c h a u f f a g i s t e < / s t r i n g > < / k e y > < v a l u e > < i n t > 1 9 < / i n t > < / v a l u e > < / i t e m > < i t e m > < k e y > < s t r i n g > S o u r c e < / s t r i n g > < / k e y > < v a l u e > < i n t > 5 < / i n t > < / v a l u e > < / i t e m > < i t e m > < k e y > < s t r i n g > T y p e < / s t r i n g > < / k e y > < v a l u e > < i n t > 4 < / i n t > < / v a l u e > < / i t e m > < i t e m > < k e y > < s t r i n g > C o m b u s t i b l e < / s t r i n g > < / k e y > < v a l u e > < i n t > 6 < / i n t > < / v a l u e > < / i t e m > < i t e m > < k e y > < s t r i n g > C o n s o _ k W h _ D E E T < / s t r i n g > < / k e y > < v a l u e > < i n t > 8 < / i n t > < / v a l u e > < / i t e m > < i t e m > < k e y > < s t r i n g > C o n s o _ k W h _ P C I < / s t r i n g > < / k e y > < v a l u e > < i n t > 7 < / i n t > < / v a l u e > < / i t e m > < i t e m > < k e y > < s t r i n g > N o m < / s t r i n g > < / k e y > < v a l u e > < i n t > 9 < / i n t > < / v a l u e > < / i t e m > < i t e m > < k e y > < s t r i n g > D e t a i l   u s a g e < / s t r i n g > < / k e y > < v a l u e > < i n t > 1 0 < / i n t > < / v a l u e > < / i t e m > < i t e m > < k e y > < s t r i n g > A n n e e < / s t r i n g > < / k e y > < v a l u e > < i n t > 1 2 < / i n t > < / v a l u e > < / i t e m > < i t e m > < k e y > < s t r i n g > C o n s o _ k W h E P < / s t r i n g > < / k e y > < v a l u e > < i n t > 1 1 < / i n t > < / v a l u e > < / i t e m > < i t e m > < k e y > < s t r i n g > M o i s < / s t r i n g > < / k e y > < v a l u e > < i n t > 1 3 < / i n t > < / v a l u e > < / i t e m > < i t e m > < k e y > < s t r i n g > C o u t _ u n i t a i r e < / s t r i n g > < / k e y > < v a l u e > < i n t > 1 4 < / i n t > < / v a l u e > < / i t e m > < i t e m > < k e y > < s t r i n g > D a t e s   ( a n n � e ) < / s t r i n g > < / k e y > < v a l u e > < i n t > 1 5 < / i n t > < / v a l u e > < / i t e m > < i t e m > < k e y > < s t r i n g > D a t e s   ( t r i m e s t r e ) < / s t r i n g > < / k e y > < v a l u e > < i n t > 1 6 < / i n t > < / v a l u e > < / i t e m > < i t e m > < k e y > < s t r i n g > D a t e s   ( i n d e x   d e s   m o i s ) < / s t r i n g > < / k e y > < v a l u e > < i n t > 1 7 < / i n t > < / v a l u e > < / i t e m > < i t e m > < k e y > < s t r i n g > D a t e s   ( m o i s ) < / s t r i n g > < / k e y > < v a l u e > < i n t > 1 8 < / i n t > < / v a l u e > < / i t e m > < i t e m > < k e y > < s t r i n g > D J U _ c l i m a t i c i e n < / s t r i n g > < / k e y > < v a l u e > < i n t > 2 0 < / i n t > < / v a l u e > < / i t e m > < i t e m > < k e y > < s t r i n g > D J U _ q u o t _ c h a u f f a g i s t e < / s t r i n g > < / k e y > < v a l u e > < i n t > 2 1 < / i n t > < / v a l u e > < / i t e m > < i t e m > < k e y > < s t r i n g > D J U _ q u o t _ c l i m a t i c i e n < / s t r i n g > < / k e y > < v a l u e > < i n t > 2 2 < / i n t > < / v a l u e > < / i t e m > < i t e m > < k e y > < s t r i n g > C o l o n n e 2 < / s t r i n g > < / k e y > < v a l u e > < i n t > 2 3 < / i n t > < / v a l u e > < / i t e m > < / C o l u m n D i s p l a y I n d e x > < C o l u m n F r o z e n   / > < C o l u m n C h e c k e d   / > < C o l u m n F i l t e r > < i t e m > < k e y > < s t r i n g > A n n e e < / s t r i n g > < / k e y > < v a l u e > < F i l t e r E x p r e s s i o n   x s i : n i l = " t r u e "   / > < / v a l u e > < / i t e m > < / C o l u m n F i l t e r > < S e l e c t i o n F i l t e r > < i t e m > < k e y > < s t r i n g > A n n e e < / s t r i n g > < / k e y > < v a l u e > < S e l e c t i o n F i l t e r > < S e l e c t i o n T y p e > S e l e c t < / S e l e c t i o n T y p e > < I t e m s > < a n y T y p e   x s i : t y p e = " x s d : l o n g " > 2 0 2 3 < / a n y T y p e > < / I t e m s > < / S e l e c t i o n F i l t e r > < / v a l u e > < / i t e m > < / S e l e c t i o n F i l t e r > < F i l t e r P a r a m e t e r s > < i t e m > < k e y > < s t r i n g > A n n e e < / s t r i n g > < / k e y > < v a l u e > < C o m m a n d P a r a m e t e r s   / > < / v a l u e > < / i t e m > < / F i l t e r P a r a m e t e r s > < S o r t B y C o l u m n > D a t e s < / S o r t B y C o l u m n > < I s S o r t D e s c e n d i n g > f a l s e < / I s S o r t D e s c e n d i n g > < / T a b l e W i d g e t G r i d S e r i a l i z a t i o n > ] ] > < / C u s t o m C o n t e n t > < / G e m i n i > 
</file>

<file path=customXml/item23.xml>��< ? x m l   v e r s i o n = " 1 . 0 "   e n c o d i n g = " U T F - 1 6 " ? > < G e m i n i   x m l n s = " h t t p : / / g e m i n i / p i v o t c u s t o m i z a t i o n / I s S a n d b o x E m b e d d e d " > < C u s t o m C o n t e n t > < ! [ C D A T A [ y e s ] ] > < / C u s t o m C o n t e n t > < / G e m i n i > 
</file>

<file path=customXml/item24.xml>��< ? x m l   v e r s i o n = " 1 . 0 "   e n c o d i n g = " u t f - 1 6 " ? > < D a t a M a s h u p   s q m i d = " 7 b f a 5 8 7 9 - a 6 8 7 - 4 7 f 9 - a a e 6 - 1 a 0 5 b 5 0 5 9 6 5 4 "   x m l n s = " h t t p : / / s c h e m a s . m i c r o s o f t . c o m / D a t a M a s h u p " > A A A A A B w I A A B Q S w M E F A A C A A g A Y V N 4 X L + 1 N o u m A A A A 9 w A A A B I A H A B D b 2 5 m a W c v U G F j a 2 F n Z S 5 4 b W w g o h g A K K A U A A A A A A A A A A A A A A A A A A A A A A A A A A A A h Y 8 x D o I w G I W v Q r r T l p I Y J T 9 l M H G S x G h i X B u o 0 A j F t M V y N w e P 5 B X E K O r m + L 7 3 D e / d r z f I h r Y J L t J Y 1 e k U R Z i i Q O q i K 5 W u U t S 7 Y z h H G Y e N K E 6 i k s E o a 5 s M t k x R 7 d w 5 I c R 7 j 3 2 M O 1 M R R m l E D v l 6 V 9 S y F e g j q / 9 y q L R 1 Q h c S c d i / x n C G F z M c s 4 j F m A K Z K O R K f w 0 2 D n 6 2 P x C W f e N 6 I / n R h K s t k C k C e Z / g D 1 B L A w Q U A A I A C A B h U 3 h 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V N 4 X G t e u U o U B Q A A J k c A A B M A H A B G b 3 J t d W x h c y 9 T Z W N 0 a W 9 u M S 5 t I K I Y A C i g F A A A A A A A A A A A A A A A A A A A A A A A A A A A A O 2 b X 2 8 i N x D A 3 5 H 4 D t b m B X R 7 9 J Y Q k u p 6 l U 4 h l S 5 N 7 q 4 h V R 8 Q Q g t r L m 5 2 b e r 1 X o l Q v k + 5 r 8 E X q 7 1 / 2 H / e A C E S D 5 n k I d i e 9 c z Y M / M b I q 2 P J 4 I w i v r R X + t 9 v V a v + X c 2 x w 6 6 t c c u t o O f 0 Q f k Y l G v I f n T Z w G f Y D l z M Z 9 g t 3 U e c I 6 p + I v x + z F j 9 4 3 m Y v D Z 9 v A H I 3 n W G D 4 O z h k V U m h o R l s c G b c P M 4 w 8 5 p A p W S 0 N u V k o 3 b r l N v W n j H v n z A 0 8 q q T 8 R q T Q X C y M v r B D U 6 9 X S 7 F a M s N E Q u 0 j 8 F w 8 m m h h 2 J R i L G c / U d H t t N T T 4 b T H i F + S V Z M j G n i Y s / I T v c s / G 5 M 7 O 5 h O 7 W / E F 7 h Z I e I S T 1 o 0 I Z g W J B 6 b a 1 e / Y u 4 z S m 2 X + K s l R v b f L J D G 4 9 T p j 4 4 T u d s o n o u J j J 4 t l E f Y n t y h I 0 c O G o P Q y 6 G J B h k X 5 N B q N v X H a 2 0 4 3 2 o T 1 Z n H B o S H p / R v 4 Z q 1 h W + W c m 5 K 6 C i + n N B B p a t 1 Q Z 0 v 0 2 s Z M H e N g Z o Y N j c q b O s V V p o X n + t a 7 5 W 8 4 1 Y 4 E 6 s 0 U S / g Y a z J 6 Q c 5 m 1 g 6 f B v b 9 M Y y j 5 x Y p m G Z 7 9 R v s 8 p S 5 K y W 3 7 H L Z r N s s F / M Z z Z 1 l O 5 N F r d T i 1 M N 8 i E p i n 3 k B 7 M Z J 5 6 U 8 9 P N b 7 D H v u N o 4 9 I V 5 + w x d X m 1 T q U k e Q r 5 k o R F e o W P G s t k Y W B e y T A q y 0 N q m N a N M P A 0 O a g m R 9 l J o y o X I 8 l 0 z s j G 7 R X 5 p j R O i S t 4 3 r o + d m U Z v G H / 5 k z L + B F H z K B o y B D 9 8 i u i g e s i e a c V y 4 Z R b Y J V Y U P J 1 N i A x q D g o M 6 A w q r U 3 6 z X C K 2 2 o V D 7 R + f M m w k c 8 F H 7 m Q T I 7 L A 3 B 6 J n U g P M d G K R f g y H R m + 1 H A c C O R j J E O e E O f k a Z h b l f y N 0 e + E / A p s K I s I C H Y r J t B h j X h a M A 8 j a J N f D n r w 0 P J L p z j f v G Y i t B D / J H e e J k E 0 f d F t R n / 1 0 W d 4 r F Y w / Z u o a x x 5 Z / c d l 3 L h R + G j L T / + e z M o 4 s 0 o 1 A i X x s Y G L T 6 u V 6 Z 7 s k + S H k Q m 8 5 y a + x r g k / Q v x s k 6 + V N V H 9 U h I F o y i 0 q 1 x L D 1 o X a a n q w m u 0 p k i t 6 K V Q T n u k 1 w L Z a / t e W P x r k S 3 k j d v t T s 1 0 R t k p W W 0 h L 9 6 r V k M l 1 4 C G s x l / f C L J 6 F B Y P n c 9 m a f 3 g i z o k p o a k E u 4 7 N Z L T P X F T a K U y h J u W x i 6 b A o 7 f D C c M r Z z L i D + U Y u Z g L d S I 8 n X z 8 y N e I J 6 F U R R 2 f m m n p K Y 5 E 0 6 7 k s 3 3 b s Q M v G J b 2 n n 6 / F K H s C m Z Y + 4 + g N / i d Y / R B q u 8 C X 8 U n z J / 0 Z y 9 B y L h n R 9 q S J U q k p + Q K T m 0 y / 1 p h I 7 f E 7 o U 7 r C k / F l 0 B g n v E / + e b 0 R O s X f l 4 H v t 7 s v M Z F u Q H S t T p b C 1 Z H R 7 s i O r R + x e E h e I C f b D D a 1 Q 3 G 8 d 4 N x v E r b D D U 1 y Q p C v 3 F A f u L Y + g v 1 B L 0 F y / V X 6 R J D e 1 F V X u h M 9 + q v i F d e 6 F c 9 S Q r b M J x 7 t 8 X u / Q P e j t e X R u R h b 7 W 5 E r u d / b m f g e 4 D 9 w / A P c 7 w H 2 1 B N w H 7 g P 3 g f s 7 c v 9 k b + 6 f A P e B + w f g / g l w X y 0 B 9 4 H 7 w H 3 g / o 7 c 7 + 7 N / S 5 w H 7 h / A O 5 3 g f t q C b g P 3 A f u A / d 3 5 P 7 p 3 t w / B e 4 D 9 w / A / V P g v l o C 7 g P 3 g f v A / R 2 5 f 7 Y 3 9 8 + A + 8 D 9 A 3 D / D L i v l o D 7 w H 3 g P n B / O + 5 P G J 3 Y Y m / m W 8 B 8 Y P 4 B m G 8 B 8 9 U S M P 9 1 M z + X i u 0 N l b Y C / d r X 9 1 7 i L b 3 2 6 8 N w 6 d A 0 F V B e 9 p h Q 3 F h U v q O X I 2 y 7 M D 4 u j D u F 8 U l h 3 C 2 M T w v j s 2 e 0 k G X v s i 8 W 6 q P z 5 V 4 t L X Q 7 e S X v / w d Q S w E C L Q A U A A I A C A B h U 3 h c v 7 U 2 i 6 Y A A A D 3 A A A A E g A A A A A A A A A A A A A A A A A A A A A A Q 2 9 u Z m l n L 1 B h Y 2 t h Z 2 U u e G 1 s U E s B A i 0 A F A A C A A g A Y V N 4 X A / K 6 a u k A A A A 6 Q A A A B M A A A A A A A A A A A A A A A A A 8 g A A A F t D b 2 5 0 Z W 5 0 X 1 R 5 c G V z X S 5 4 b W x Q S w E C L Q A U A A I A C A B h U 3 h c a 1 6 5 S h Q F A A A m R w A A E w A A A A A A A A A A A A A A A A D j A Q A A R m 9 y b X V s Y X M v U 2 V j d G l v b j E u b V B L B Q Y A A A A A A w A D A M I A A A B E 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g c g A A A A A A A P 5 x 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f Q 2 9 t c H R l d X J f M j w v S X R l b V B h d G g + P C 9 J d G V t T G 9 j Y X R p b 2 4 + P F N 0 Y W J s Z U V u d H J p Z X M + P E V u d H J 5 I F R 5 c G U 9 I k l z U H J p d m F 0 Z S I g V m F s d W U 9 I m w w I i A v P j x F b n R y e S B U e X B l P S J G a W x s R W 5 h Y m x l Z C I g V m F s d W U 9 I m w w I i A v P j x F b n R y e S B U e X B l P S J S Z X N 1 b H R U e X B l I i B W Y W x 1 Z T 0 i c 1 R h Y m x l I i A v P j x F b n R y e S B U e X B l P S J G a W x s Z W R D b 2 1 w b G V 0 Z V J l c 3 V s d F R v V 2 9 y a 3 N o Z W V 0 I i B W Y W x 1 Z T 0 i b D A i I C 8 + P E V u d H J 5 I F R 5 c G U 9 I k Z p b G x P Y m p l Y 3 R U e X B l I i B W Y W x 1 Z T 0 i c 0 N v b m 5 l Y 3 R p b 2 5 P b m x 5 I i A v P j x F b n R y e S B U e X B l P S J G a W x s V G 9 E Y X R h T W 9 k Z W x F b m F i b G V k I i B W Y W x 1 Z T 0 i b D A i I C 8 + P E V u d H J 5 I F R 5 c G U 9 I k 5 h d m l n Y X R p b 2 5 T d G V w T m F t Z S I g V m F s d W U 9 I n N O Y X Z p Z 2 F 0 a W 9 u I i A v P j x F b n R y e S B U e X B l P S J G a W x s U 3 R h d H V z I i B W Y W x 1 Z T 0 i c 0 N v b X B s Z X R l I i A v P j x F b n R y e S B U e X B l P S J C d W Z m Z X J O Z X h 0 U m V m c m V z a C I g V m F s d W U 9 I m w x I i A v P j x F b n R y e S B U e X B l P S J G a W x s T G F z d F V w Z G F 0 Z W Q i I F Z h b H V l P S J k M j A y N S 0 x M S 0 x N F Q x N T o z N T o w N C 4 z N z g z N z Q 0 W i I g L z 4 8 R W 5 0 c n k g V H l w Z T 0 i R m l s b E V y c m 9 y Q 2 9 k Z S I g V m F s d W U 9 I n N V b m t u b 3 d u I i A v P j x F b n R y e S B U e X B l P S J B Z G R l Z F R v R G F 0 Y U 1 v Z G V s I i B W Y W x 1 Z T 0 i b D A i I C 8 + P C 9 T d G F i b G V F b n R y a W V z P j w v S X R l b T 4 8 S X R l b T 4 8 S X R l b U x v Y 2 F 0 a W 9 u P j x J d G V t V H l w Z T 5 G b 3 J t d W x h P C 9 J d G V t V H l w Z T 4 8 S X R l b V B h d G g + U 2 V j d G l v b j E v V G F i X 0 N v b X B 0 Z X V y 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R m l s b G V k Q 2 9 t c G x l d G V S Z X N 1 b H R U b 1 d v c m t z a G V l d C I g V m F s d W U 9 I m w w I i A v P j x F b n R y e S B U e X B l P S J G a W x s R X J y b 3 J D b 2 R l I i B W Y W x 1 Z T 0 i c 1 V u a 2 5 v d 2 4 i I C 8 + P E V u d H J 5 I F R 5 c G U 9 I k J 1 Z m Z l c k 5 l e H R S Z W Z y Z X N o I i B W Y W x 1 Z T 0 i b D E i I C 8 + P E V u d H J 5 I F R 5 c G U 9 I k F k Z G V k V G 9 E Y X R h T W 9 k Z W w i I F Z h b H V l P S J s M C I g L z 4 8 R W 5 0 c n k g V H l w Z T 0 i T m F 2 a W d h d G l v b l N 0 Z X B O Y W 1 l I i B W Y W x 1 Z T 0 i c 0 5 h d m l n Y X R p b 2 4 i I C 8 + P E V u d H J 5 I F R 5 c G U 9 I k Z p b G x M Y X N 0 V X B k Y X R l Z C I g V m F s d W U 9 I m Q y M D I 1 L T E x L T E 0 V D E 1 O j M 1 O j A 0 L j Q w O T c 1 M j h a I i A v P j x F b n R y e S B U e X B l P S J G a W x s U 3 R h d H V z I i B W Y W x 1 Z T 0 i c 0 N v b X B s Z X R l I i A v P j w v U 3 R h Y m x l R W 5 0 c m l l c z 4 8 L 0 l 0 Z W 0 + P E l 0 Z W 0 + P E l 0 Z W 1 M b 2 N h d G l v b j 4 8 S X R l b V R 5 c G U + R m 9 y b X V s Y T w v S X R l b V R 5 c G U + P E l 0 Z W 1 Q Y X R o P l N l Y 3 R p b 2 4 x L 1 R h Y l 9 D b 2 1 w d G V 1 c l 8 z L 1 N v d X J j Z T w v S X R l b V B h d G g + P C 9 J d G V t T G 9 j Y X R p b 2 4 + P F N 0 Y W J s Z U V u d H J p Z X M g L z 4 8 L 0 l 0 Z W 0 + P E l 0 Z W 0 + P E l 0 Z W 1 M b 2 N h d G l v b j 4 8 S X R l b V R 5 c G U + R m 9 y b X V s Y T w v S X R l b V R 5 c G U + P E l 0 Z W 1 Q Y X R o P l N l Y 3 R p b 2 4 x L 1 R h Y l 9 D b 2 1 w d G V 1 c l 8 z L 1 R 5 c G U l M j B t b 2 R p Z m k l Q z M l Q T k 8 L 0 l 0 Z W 1 Q Y X R o P j w v S X R l b U x v Y 2 F 0 a W 9 u P j x T d G F i b G V F b n R y a W V z I C 8 + P C 9 J d G V t P j x J d G V t P j x J d G V t T G 9 j Y X R p b 2 4 + P E l 0 Z W 1 U e X B l P k Z v c m 1 1 b G E 8 L 0 l 0 Z W 1 U e X B l P j x J d G V t U G F 0 a D 5 T Z W N 0 a W 9 u M S 9 U Y W J f Y 2 9 u Y 2 F 0 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X V l c n l J R C I g V m F s d W U 9 I n M y O D A 4 Z j h m N C 0 z M G I 2 L T R h Y W Q t O W F m O C 0 2 M z A y O T d m M W J i Y W Q i I C 8 + P E V u d H J 5 I F R 5 c G U 9 I l B p d m 9 0 T 2 J q Z W N 0 T m F t Z S I g V m F s d W U 9 I n N U Q 0 R f Q 2 9 u c 2 8 h V E N E X 0 N v b n N v X 1 h f Y W 5 u Z W U i I C 8 + P E V u d H J 5 I F R 5 c G U 9 I k Z p b G x F c n J v c k N v d W 5 0 I i B W Y W x 1 Z T 0 i b D A i I C 8 + P E V u d H J 5 I F R 5 c G U 9 I k Z p b G x M Y X N 0 V X B k Y X R l Z C I g V m F s d W U 9 I m Q y M D I 2 L T A z L T I 0 V D A 5 O j I 2 O j U 1 L j E 4 M z M 4 O D d a I i A v P j x F b n R y e S B U e X B l P S J G a W x s R X J y b 3 J D b 2 R l I i B W Y W x 1 Z T 0 i c 1 V u a 2 5 v d 2 4 i I C 8 + P E V u d H J 5 I F R 5 c G U 9 I k Z p b G x D b 2 x 1 b W 5 U e X B l c y I g V m F s d W U 9 I n N B Q W t G Q l F N R E F B P T 0 i I C 8 + P E V u d H J 5 I F R 5 c G U 9 I k Z p b G x D b 3 V u d C I g V m F s d W U 9 I m w z N j Y i I C 8 + P E V u d H J 5 I F R 5 c G U 9 I k Z p b G x D b 2 x 1 b W 5 O Y W 1 l c y I g V m F s d W U 9 I n N b J n F 1 b 3 Q 7 Q 2 9 t c H R l d X I m c X V v d D s s J n F 1 b 3 Q 7 R G F 0 Z X M m c X V v d D s s J n F 1 b 3 Q 7 R G V t Y W 5 k Z V 9 q b 3 V y J n F 1 b 3 Q 7 L C Z x d W 9 0 O 0 N v d X R f a m 9 1 c i Z x d W 9 0 O y w m c X V v d D t E S l V f Y 2 h h d W Z m Y W d p c 3 R l J n F 1 b 3 Q 7 L C Z x d W 9 0 O 0 R K V V 9 j b G l t Y X R p Y 2 l l b i Z x d W 9 0 O y w m c X V v d D t D b 2 x v b m 5 l M i Z x d W 9 0 O 1 0 i I C 8 + P E V u d H J 5 I F R 5 c G U 9 I k F k Z G V k V G 9 E Y X R h T W 9 k Z W w i I F Z h b H V l P S J s M 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G F i X 2 N v b m N h d C 9 S Z X F 1 w 6 p 0 Z S B h a m 9 1 d M O p Z S 5 7 Q 2 9 t c H R l d X I s M H 0 m c X V v d D s s J n F 1 b 3 Q 7 U 2 V j d G l v b j E v V G F i X 2 N v b m N h d C 9 U e X B l I G 1 v Z G l m a c O p M S 5 7 R G F 0 Z X M s M X 0 m c X V v d D s s J n F 1 b 3 Q 7 U 2 V j d G l v b j E v V G F i X 2 N v b m N h d C 9 S Z X F 1 w 6 p 0 Z S B h a m 9 1 d M O p Z S 5 7 R G V t Y W 5 k Z V 9 q b 3 V y L D J 9 J n F 1 b 3 Q 7 L C Z x d W 9 0 O 1 N l Y 3 R p b 2 4 x L 1 R h Y l 9 j b 2 5 j Y X Q v U m V x d c O q d G U g Y W p v d X T D q W U u e 0 N v d X R f a m 9 1 c i w z f S Z x d W 9 0 O y w m c X V v d D t T Z W N 0 a W 9 u M S 9 U Y W J f Y 2 9 u Y 2 F 0 L 1 J l c X X D q n R l I G F q b 3 V 0 w 6 l l L n t E S l V f Y 2 h h d W Z m Y W d p c 3 R l L D R 9 J n F 1 b 3 Q 7 L C Z x d W 9 0 O 1 N l Y 3 R p b 2 4 x L 1 R h Y l 9 j b 2 5 j Y X Q v U m V x d c O q d G U g Y W p v d X T D q W U u e 0 R K V V 9 j b G l t Y X R p Y 2 l l b i w 1 f S Z x d W 9 0 O y w m c X V v d D t T Z W N 0 a W 9 u M S 9 U Y W J f Y 2 9 u Y 2 F 0 L 1 J l c X X D q n R l I G F q b 3 V 0 w 6 l l L n t D b 2 x v b m 5 l M i w 2 f S Z x d W 9 0 O 1 0 s J n F 1 b 3 Q 7 Q 2 9 s d W 1 u Q 2 9 1 b n Q m c X V v d D s 6 N y w m c X V v d D t L Z X l D b 2 x 1 b W 5 O Y W 1 l c y Z x d W 9 0 O z p b X S w m c X V v d D t D b 2 x 1 b W 5 J Z G V u d G l 0 a W V z J n F 1 b 3 Q 7 O l s m c X V v d D t T Z W N 0 a W 9 u M S 9 U Y W J f Y 2 9 u Y 2 F 0 L 1 J l c X X D q n R l I G F q b 3 V 0 w 6 l l L n t D b 2 1 w d G V 1 c i w w f S Z x d W 9 0 O y w m c X V v d D t T Z W N 0 a W 9 u M S 9 U Y W J f Y 2 9 u Y 2 F 0 L 1 R 5 c G U g b W 9 k a W Z p w 6 k x L n t E Y X R l c y w x f S Z x d W 9 0 O y w m c X V v d D t T Z W N 0 a W 9 u M S 9 U Y W J f Y 2 9 u Y 2 F 0 L 1 J l c X X D q n R l I G F q b 3 V 0 w 6 l l L n t E Z W 1 h b m R l X 2 p v d X I s M n 0 m c X V v d D s s J n F 1 b 3 Q 7 U 2 V j d G l v b j E v V G F i X 2 N v b m N h d C 9 S Z X F 1 w 6 p 0 Z S B h a m 9 1 d M O p Z S 5 7 Q 2 9 1 d F 9 q b 3 V y L D N 9 J n F 1 b 3 Q 7 L C Z x d W 9 0 O 1 N l Y 3 R p b 2 4 x L 1 R h Y l 9 j b 2 5 j Y X Q v U m V x d c O q d G U g Y W p v d X T D q W U u e 0 R K V V 9 j a G F 1 Z m Z h Z 2 l z d G U s N H 0 m c X V v d D s s J n F 1 b 3 Q 7 U 2 V j d G l v b j E v V G F i X 2 N v b m N h d C 9 S Z X F 1 w 6 p 0 Z S B h a m 9 1 d M O p Z S 5 7 R E p V X 2 N s a W 1 h d G l j a W V u L D V 9 J n F 1 b 3 Q 7 L C Z x d W 9 0 O 1 N l Y 3 R p b 2 4 x L 1 R h Y l 9 j b 2 5 j Y X Q v U m V x d c O q d G U g Y W p v d X T D q W U u e 0 N v b G 9 u b m U y L D Z 9 J n F 1 b 3 Q 7 X S w m c X V v d D t S Z W x h d G l v b n N o a X B J b m Z v J n F 1 b 3 Q 7 O l t d f S I g L z 4 8 L 1 N 0 Y W J s Z U V u d H J p Z X M + P C 9 J d G V t P j x J d G V t P j x J d G V t T G 9 j Y X R p b 2 4 + P E l 0 Z W 1 U e X B l P k Z v c m 1 1 b G E 8 L 0 l 0 Z W 1 U e X B l P j x J d G V t U G F 0 a D 5 T Z W N 0 a W 9 u M S 9 U Y W J f Y 2 9 u Y 2 F 0 L 1 N v d X J j Z T w v S X R l b V B h d G g + P C 9 J d G V t T G 9 j Y X R p b 2 4 + P F N 0 Y W J s Z U V u d H J p Z X M g L z 4 8 L 0 l 0 Z W 0 + P E l 0 Z W 0 + P E l 0 Z W 1 M b 2 N h d G l v b j 4 8 S X R l b V R 5 c G U + R m 9 y b X V s Y T w v S X R l b V R 5 c G U + P E l 0 Z W 1 Q Y X R o P l N l Y 3 R p b 2 4 x L 1 R h Y l 9 j b 2 5 j Y X Q v V H l w Z S U y M G 1 v Z G l m a S V D M y V B O T w v S X R l b V B h d G g + P C 9 J d G V t T G 9 j Y X R p b 2 4 + P F N 0 Y W J s Z U V u d H J p Z X M g L z 4 8 L 0 l 0 Z W 0 + P E l 0 Z W 0 + P E l 0 Z W 1 M b 2 N h d G l v b j 4 8 S X R l b V R 5 c G U + R m 9 y b X V s Y T w v S X R l b V R 5 c G U + P E l 0 Z W 1 Q Y X R o P l N l Y 3 R p b 2 4 x L 1 R h Y l 9 D b 2 1 w d G V 1 c l 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1 L T E x L T E 0 V D E 1 O j M 1 O j A 0 L j Q z O T I w M z h a I i A v P j x F b n R y e S B U e X B l P S J G a W x s Q 2 9 s d W 1 u V H l w Z X M i I F Z h b H V l P S J z Q n d j R E F 3 T U R B d 0 1 E Q U E 9 P S I g L z 4 8 R W 5 0 c n k g V H l w Z T 0 i R m l s b E V y c m 9 y Q 2 9 k Z S I g V m F s d W U 9 I n N V b m t u b 3 d u I i A v P j x F b n R y e S B U e X B l P S J B Z G R l Z F R v R G F 0 Y U 1 v Z G V s I i B W Y W x 1 Z T 0 i b D A i I C 8 + P E V u d H J 5 I F R 5 c G U 9 I k Z p b G x D b 2 x 1 b W 5 O Y W 1 l c y I g V m F s d W U 9 I n N b J n F 1 b 3 Q 7 R M O p Y n V 0 I G R l I H D D q X J p b 2 R l J n F 1 b 3 Q 7 L C Z x d W 9 0 O 0 Z p b i B k Z S B w w 6 l y a W 9 k Z S Z x d W 9 0 O y w m c X V v d D t R d W F u d G l 0 w 6 k m c X V v d D s s J n F 1 b 3 Q 7 T W 9 u d G F u d C Z x d W 9 0 O y w m c X V v d D t E Z W x 0 Y S B K b 3 V y J n F 1 b 3 Q 7 L C Z x d W 9 0 O 0 R l b W F u Z G V f a m 9 1 c i Z x d W 9 0 O y w m c X V v d D t D b 3 V 0 X 2 p v d X I m c X V v d D s s J n F 1 b 3 Q 7 S W 5 k Z X g m c X V v d D s s J n F 1 b 3 Q 7 Q 2 9 u c 2 8 v S m 9 1 c i Z x d W 9 0 O y w m c X V v d D t D b 2 1 t Z W 5 0 Y W l y Z X M 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X 0 N v b X B 0 Z X V y X z Q v V H l w Z S B t b 2 R p Z m n D q S 5 7 R M O p Y n V 0 I G R l I H D D q X J p b 2 R l L D B 9 J n F 1 b 3 Q 7 L C Z x d W 9 0 O 1 N l Y 3 R p b 2 4 x L 1 R h Y l 9 D b 2 1 w d G V 1 c l 8 0 L 1 R 5 c G U g b W 9 k a W Z p w 6 k u e 0 Z p b i B k Z S B w w 6 l y a W 9 k Z S w x f S Z x d W 9 0 O y w m c X V v d D t T Z W N 0 a W 9 u M S 9 U Y W J f Q 2 9 t c H R l d X J f N C 9 U e X B l I G 1 v Z G l m a c O p L n t R d W F u d G l 0 w 6 k s M n 0 m c X V v d D s s J n F 1 b 3 Q 7 U 2 V j d G l v b j E v V G F i X 0 N v b X B 0 Z X V y X z Q v V H l w Z S B t b 2 R p Z m n D q S 5 7 T W 9 u d G F u d C w z f S Z x d W 9 0 O y w m c X V v d D t T Z W N 0 a W 9 u M S 9 U Y W J f Q 2 9 t c H R l d X J f N C 9 U e X B l I G 1 v Z G l m a c O p L n t E Z W x 0 Y S B K b 3 V y L D R 9 J n F 1 b 3 Q 7 L C Z x d W 9 0 O 1 N l Y 3 R p b 2 4 x L 1 R h Y l 9 D b 2 1 w d G V 1 c l 8 0 L 1 R 5 c G U g b W 9 k a W Z p w 6 k u e 0 R l b W F u Z G V f a m 9 1 c i w 1 f S Z x d W 9 0 O y w m c X V v d D t T Z W N 0 a W 9 u M S 9 U Y W J f Q 2 9 t c H R l d X J f N C 9 U e X B l I G 1 v Z G l m a c O p L n t D b 3 V 0 X 2 p v d X I s N n 0 m c X V v d D s s J n F 1 b 3 Q 7 U 2 V j d G l v b j E v V G F i X 0 N v b X B 0 Z X V y X z Q v V H l w Z S B t b 2 R p Z m n D q S 5 7 S W 5 k Z X g s N 3 0 m c X V v d D s s J n F 1 b 3 Q 7 U 2 V j d G l v b j E v V G F i X 0 N v b X B 0 Z X V y X z Q v V H l w Z S B t b 2 R p Z m n D q S 5 7 Q 2 9 u c 2 8 v S m 9 1 c i w 4 f S Z x d W 9 0 O y w m c X V v d D t T Z W N 0 a W 9 u M S 9 U Y W J f Q 2 9 t c H R l d X J f N C 9 U e X B l I G 1 v Z G l m a c O p L n t D b 2 1 t Z W 5 0 Y W l y Z X M s O X 0 m c X V v d D t d L C Z x d W 9 0 O 0 N v b H V t b k N v d W 5 0 J n F 1 b 3 Q 7 O j E w L C Z x d W 9 0 O 0 t l e U N v b H V t b k 5 h b W V z J n F 1 b 3 Q 7 O l t d L C Z x d W 9 0 O 0 N v b H V t b k l k Z W 5 0 a X R p Z X M m c X V v d D s 6 W y Z x d W 9 0 O 1 N l Y 3 R p b 2 4 x L 1 R h Y l 9 D b 2 1 w d G V 1 c l 8 0 L 1 R 5 c G U g b W 9 k a W Z p w 6 k u e 0 T D q W J 1 d C B k Z S B w w 6 l y a W 9 k Z S w w f S Z x d W 9 0 O y w m c X V v d D t T Z W N 0 a W 9 u M S 9 U Y W J f Q 2 9 t c H R l d X J f N C 9 U e X B l I G 1 v Z G l m a c O p L n t G a W 4 g Z G U g c M O p c m l v Z G U s M X 0 m c X V v d D s s J n F 1 b 3 Q 7 U 2 V j d G l v b j E v V G F i X 0 N v b X B 0 Z X V y X z Q v V H l w Z S B t b 2 R p Z m n D q S 5 7 U X V h b n R p d M O p L D J 9 J n F 1 b 3 Q 7 L C Z x d W 9 0 O 1 N l Y 3 R p b 2 4 x L 1 R h Y l 9 D b 2 1 w d G V 1 c l 8 0 L 1 R 5 c G U g b W 9 k a W Z p w 6 k u e 0 1 v b n R h b n Q s M 3 0 m c X V v d D s s J n F 1 b 3 Q 7 U 2 V j d G l v b j E v V G F i X 0 N v b X B 0 Z X V y X z Q v V H l w Z S B t b 2 R p Z m n D q S 5 7 R G V s d G E g S m 9 1 c i w 0 f S Z x d W 9 0 O y w m c X V v d D t T Z W N 0 a W 9 u M S 9 U Y W J f Q 2 9 t c H R l d X J f N C 9 U e X B l I G 1 v Z G l m a c O p L n t E Z W 1 h b m R l X 2 p v d X I s N X 0 m c X V v d D s s J n F 1 b 3 Q 7 U 2 V j d G l v b j E v V G F i X 0 N v b X B 0 Z X V y X z Q v V H l w Z S B t b 2 R p Z m n D q S 5 7 Q 2 9 1 d F 9 q b 3 V y L D Z 9 J n F 1 b 3 Q 7 L C Z x d W 9 0 O 1 N l Y 3 R p b 2 4 x L 1 R h Y l 9 D b 2 1 w d G V 1 c l 8 0 L 1 R 5 c G U g b W 9 k a W Z p w 6 k u e 0 l u Z G V 4 L D d 9 J n F 1 b 3 Q 7 L C Z x d W 9 0 O 1 N l Y 3 R p b 2 4 x L 1 R h Y l 9 D b 2 1 w d G V 1 c l 8 0 L 1 R 5 c G U g b W 9 k a W Z p w 6 k u e 0 N v b n N v L 0 p v d X I s O H 0 m c X V v d D s s J n F 1 b 3 Q 7 U 2 V j d G l v b j E v V G F i X 0 N v b X B 0 Z X V y X z Q v V H l w Z S B t b 2 R p Z m n D q S 5 7 Q 2 9 t b W V u d G F p c m V z L D l 9 J n F 1 b 3 Q 7 X S w m c X V v d D t S Z W x h d G l v b n N o a X B J b m Z v J n F 1 b 3 Q 7 O l t d f S I g L z 4 8 L 1 N 0 Y W J s Z U V u d H J p Z X M + P C 9 J d G V t P j x J d G V t P j x J d G V t T G 9 j Y X R p b 2 4 + P E l 0 Z W 1 U e X B l P k Z v c m 1 1 b G E 8 L 0 l 0 Z W 1 U e X B l P j x J d G V t U G F 0 a D 5 T Z W N 0 a W 9 u M S 9 U Y W J f Q 2 9 t c H R l d X J f N C 9 T b 3 V y Y 2 U 8 L 0 l 0 Z W 1 Q Y X R o P j w v S X R l b U x v Y 2 F 0 a W 9 u P j x T d G F i b G V F b n R y a W V z I C 8 + P C 9 J d G V t P j x J d G V t P j x J d G V t T G 9 j Y X R p b 2 4 + P E l 0 Z W 1 U e X B l P k Z v c m 1 1 b G E 8 L 0 l 0 Z W 1 U e X B l P j x J d G V t U G F 0 a D 5 T Z W N 0 a W 9 u M S 9 U Y W J f Q 2 9 t c H R l d X J f N C 9 U e X B l J T I w b W 9 k a W Z p J U M z J U E 5 P C 9 J d G V t U G F 0 a D 4 8 L 0 l 0 Z W 1 M b 2 N h d G l v b j 4 8 U 3 R h Y m x l R W 5 0 c m l l c y A v P j w v S X R l b T 4 8 S X R l b T 4 8 S X R l b U x v Y 2 F 0 a W 9 u P j x J d G V t V H l w Z T 5 G b 3 J t d W x h P C 9 J d G V t V H l w Z T 4 8 S X R l b V B h d G g + U 2 V j d G l v b j E v V G F i X 0 N v b X B 0 Z X V y X z 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R m l s b G V k Q 2 9 t c G x l d G V S Z X N 1 b H R U b 1 d v c m t z a G V l d C I g V m F s d W U 9 I m w w I i A v P j x F b n R y e S B U e X B l P S J G a W x s R X J y b 3 J D b 2 R l I i B W Y W x 1 Z T 0 i c 1 V u a 2 5 v d 2 4 i I C 8 + P E V u d H J 5 I F R 5 c G U 9 I k J 1 Z m Z l c k 5 l e H R S Z W Z y Z X N o I i B W Y W x 1 Z T 0 i b D E i I C 8 + P E V u d H J 5 I F R 5 c G U 9 I k F k Z G V k V G 9 E Y X R h T W 9 k Z W w i I F Z h b H V l P S J s M C I g L z 4 8 R W 5 0 c n k g V H l w Z T 0 i T m F 2 a W d h d G l v b l N 0 Z X B O Y W 1 l I i B W Y W x 1 Z T 0 i c 0 5 h d m l n Y X R p b 2 4 i I C 8 + P E V u d H J 5 I F R 5 c G U 9 I k Z p b G x M Y X N 0 V X B k Y X R l Z C I g V m F s d W U 9 I m Q y M D I 1 L T E x L T E 0 V D E 1 O j M 1 O j A 0 L j Q 3 M j c 4 M z B a I i A v P j x F b n R y e S B U e X B l P S J G a W x s U 3 R h d H V z I i B W Y W x 1 Z T 0 i c 0 N v b X B s Z X R l I i A v P j w v U 3 R h Y m x l R W 5 0 c m l l c z 4 8 L 0 l 0 Z W 0 + P E l 0 Z W 0 + P E l 0 Z W 1 M b 2 N h d G l v b j 4 8 S X R l b V R 5 c G U + R m 9 y b X V s Y T w v S X R l b V R 5 c G U + P E l 0 Z W 1 Q Y X R o P l N l Y 3 R p b 2 4 x L 1 R h Y l 9 D b 2 1 w d G V 1 c l 8 1 L 1 N v d X J j Z T w v S X R l b V B h d G g + P C 9 J d G V t T G 9 j Y X R p b 2 4 + P F N 0 Y W J s Z U V u d H J p Z X M g L z 4 8 L 0 l 0 Z W 0 + P E l 0 Z W 0 + P E l 0 Z W 1 M b 2 N h d G l v b j 4 8 S X R l b V R 5 c G U + R m 9 y b X V s Y T w v S X R l b V R 5 c G U + P E l 0 Z W 1 Q Y X R o P l N l Y 3 R p b 2 4 x L 1 R h Y l 9 D b 2 1 w d G V 1 c l 8 1 L 1 R 5 c G U l M j B t b 2 R p Z m k l Q z M l Q T k 8 L 0 l 0 Z W 1 Q Y X R o P j w v S X R l b U x v Y 2 F 0 a W 9 u P j x T d G F i b G V F b n R y a W V z I C 8 + P C 9 J d G V t P j x J d G V t P j x J d G V t T G 9 j Y X R p b 2 4 + P E l 0 Z W 1 U e X B l P k Z v c m 1 1 b G E 8 L 0 l 0 Z W 1 U e X B l P j x J d G V t U G F 0 a D 5 T Z W N 0 a W 9 u M S 9 U Y W J f Q 2 9 t c H R l d X J f N j w v S X R l b V B h d G g + P C 9 J d G V t T G 9 j Y X R p b 2 4 + P F N 0 Y W J s Z U V u d H J p Z X M + P E V u d H J 5 I F R 5 c G U 9 I k l z U H J p d m F 0 Z S I g V m F s d W U 9 I m w w I i A v P j x F b n R y e S B U e X B l P S J G a W x s R W 5 h Y m x l Z C I g V m F s d W U 9 I m w w I i A v P j x F b n R y e S B U e X B l P S J S Z X N 1 b H R U e X B l I i B W Y W x 1 Z T 0 i c 1 R h Y m x l I i A v P j x F b n R y e S B U e X B l P S J G a W x s Z W R D b 2 1 w b G V 0 Z V J l c 3 V s d F R v V 2 9 y a 3 N o Z W V 0 I i B W Y W x 1 Z T 0 i b D A i I C 8 + P E V u d H J 5 I F R 5 c G U 9 I k Z p b G x P Y m p l Y 3 R U e X B l I i B W Y W x 1 Z T 0 i c 0 N v b m 5 l Y 3 R p b 2 5 P b m x 5 I i A v P j x F b n R y e S B U e X B l P S J G a W x s V G 9 E Y X R h T W 9 k Z W x F b m F i b G V k I i B W Y W x 1 Z T 0 i b D A i I C 8 + P E V u d H J 5 I F R 5 c G U 9 I k Z p b G x F c n J v c k N v Z G U i I F Z h b H V l P S J z V W 5 r b m 9 3 b i I g L z 4 8 R W 5 0 c n k g V H l w Z T 0 i Q n V m Z m V y T m V 4 d F J l Z n J l c 2 g i I F Z h b H V l P S J s M S I g L z 4 8 R W 5 0 c n k g V H l w Z T 0 i Q W R k Z W R U b 0 R h d G F N b 2 R l b C I g V m F s d W U 9 I m w w I i A v P j x F b n R y e S B U e X B l P S J O Y X Z p Z 2 F 0 a W 9 u U 3 R l c E 5 h b W U i I F Z h b H V l P S J z T m F 2 a W d h d G l v b i I g L z 4 8 R W 5 0 c n k g V H l w Z T 0 i R m l s b E x h c 3 R V c G R h d G V k I i B W Y W x 1 Z T 0 i Z D I w M j U t M T E t M T R U M T U 6 M z U 6 M D Q u N T I 0 N z c x M 1 o i I C 8 + P E V u d H J 5 I F R 5 c G U 9 I k Z p b G x T d G F 0 d X M i I F Z h b H V l P S J z Q 2 9 t c G x l d G U i I C 8 + P C 9 T d G F i b G V F b n R y a W V z P j w v S X R l b T 4 8 S X R l b T 4 8 S X R l b U x v Y 2 F 0 a W 9 u P j x J d G V t V H l w Z T 5 G b 3 J t d W x h P C 9 J d G V t V H l w Z T 4 8 S X R l b V B h d G g + U 2 V j d G l v b j E v V G F i X 0 N v b X B 0 Z X V y X z Y v U 2 9 1 c m N l P C 9 J d G V t U G F 0 a D 4 8 L 0 l 0 Z W 1 M b 2 N h d G l v b j 4 8 U 3 R h Y m x l R W 5 0 c m l l c y A v P j w v S X R l b T 4 8 S X R l b T 4 8 S X R l b U x v Y 2 F 0 a W 9 u P j x J d G V t V H l w Z T 5 G b 3 J t d W x h P C 9 J d G V t V H l w Z T 4 8 S X R l b V B h d G g + U 2 V j d G l v b j E v V G F i X 0 N v b X B 0 Z X V y X z Y v V H l w Z S U y M G 1 v Z G l m a S V D M y V B O T w v S X R l b V B h d G g + P C 9 J d G V t T G 9 j Y X R p b 2 4 + P F N 0 Y W J s Z U V u d H J p Z X M g L z 4 8 L 0 l 0 Z W 0 + P E l 0 Z W 0 + P E l 0 Z W 1 M b 2 N h d G l v b j 4 8 S X R l b V R 5 c G U + R m 9 y b X V s Y T w v S X R l b V R 5 c G U + P E l 0 Z W 1 Q Y X R o P l N l Y 3 R p b 2 4 x L 1 R h Y l 9 D b 2 1 w d G V 1 c l 8 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Z p b G x l Z E N v b X B s Z X R l U m V z d W x 0 V G 9 X b 3 J r c 2 h l Z X Q i I F Z h b H V l P S J s M C I g L z 4 8 R W 5 0 c n k g V H l w Z T 0 i R m l s b E V y c m 9 y Q 2 9 k Z S I g V m F s d W U 9 I n N V b m t u b 3 d u I i A v P j x F b n R y e S B U e X B l P S J C d W Z m Z X J O Z X h 0 U m V m c m V z a C I g V m F s d W U 9 I m w x I i A v P j x F b n R y e S B U e X B l P S J B Z G R l Z F R v R G F 0 Y U 1 v Z G V s I i B W Y W x 1 Z T 0 i b D A i I C 8 + P E V u d H J 5 I F R 5 c G U 9 I k 5 h d m l n Y X R p b 2 5 T d G V w T m F t Z S I g V m F s d W U 9 I n N O Y X Z p Z 2 F 0 a W 9 u I i A v P j x F b n R y e S B U e X B l P S J G a W x s T G F z d F V w Z G F 0 Z W Q i I F Z h b H V l P S J k M j A y N S 0 x M S 0 x N F Q x N T o z N T o w N C 4 1 N j c 4 N T I x W i I g L z 4 8 R W 5 0 c n k g V H l w Z T 0 i R m l s b F N 0 Y X R 1 c y I g V m F s d W U 9 I n N D b 2 1 w b G V 0 Z S I g L z 4 8 L 1 N 0 Y W J s Z U V u d H J p Z X M + P C 9 J d G V t P j x J d G V t P j x J d G V t T G 9 j Y X R p b 2 4 + P E l 0 Z W 1 U e X B l P k Z v c m 1 1 b G E 8 L 0 l 0 Z W 1 U e X B l P j x J d G V t U G F 0 a D 5 T Z W N 0 a W 9 u M S 9 U Y W J f Q 2 9 t c H R l d X J f N y 9 T b 3 V y Y 2 U 8 L 0 l 0 Z W 1 Q Y X R o P j w v S X R l b U x v Y 2 F 0 a W 9 u P j x T d G F i b G V F b n R y a W V z I C 8 + P C 9 J d G V t P j x J d G V t P j x J d G V t T G 9 j Y X R p b 2 4 + P E l 0 Z W 1 U e X B l P k Z v c m 1 1 b G E 8 L 0 l 0 Z W 1 U e X B l P j x J d G V t U G F 0 a D 5 T Z W N 0 a W 9 u M S 9 U Y W J f Q 2 9 t c H R l d X J f N y 9 U e X B l J T I w b W 9 k a W Z p J U M z J U E 5 P C 9 J d G V t U G F 0 a D 4 8 L 0 l 0 Z W 1 M b 2 N h d G l v b j 4 8 U 3 R h Y m x l R W 5 0 c m l l c y A v P j w v S X R l b T 4 8 S X R l b T 4 8 S X R l b U x v Y 2 F 0 a W 9 u P j x J d G V t V H l w Z T 5 G b 3 J t d W x h P C 9 J d G V t V H l w Z T 4 8 S X R l b V B h d G g + U 2 V j d G l v b j E v V G F i X 0 N v b X B 0 Z X V y X z 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R m l s b G V k Q 2 9 t c G x l d G V S Z X N 1 b H R U b 1 d v c m t z a G V l d C I g V m F s d W U 9 I m w w I i A v P j x F b n R y e S B U e X B l P S J G a W x s R X J y b 3 J D b 2 R l I i B W Y W x 1 Z T 0 i c 1 V u a 2 5 v d 2 4 i I C 8 + P E V u d H J 5 I F R 5 c G U 9 I k J 1 Z m Z l c k 5 l e H R S Z W Z y Z X N o I i B W Y W x 1 Z T 0 i b D E i I C 8 + P E V u d H J 5 I F R 5 c G U 9 I k F k Z G V k V G 9 E Y X R h T W 9 k Z W w i I F Z h b H V l P S J s M C I g L z 4 8 R W 5 0 c n k g V H l w Z T 0 i T m F 2 a W d h d G l v b l N 0 Z X B O Y W 1 l I i B W Y W x 1 Z T 0 i c 0 5 h d m l n Y X R p b 2 4 i I C 8 + P E V u d H J 5 I F R 5 c G U 9 I k Z p b G x M Y X N 0 V X B k Y X R l Z C I g V m F s d W U 9 I m Q y M D I 1 L T E x L T E 0 V D E 1 O j M 1 O j A 0 L j Y w O D E 1 M T J a I i A v P j x F b n R y e S B U e X B l P S J G a W x s U 3 R h d H V z I i B W Y W x 1 Z T 0 i c 0 N v b X B s Z X R l I i A v P j w v U 3 R h Y m x l R W 5 0 c m l l c z 4 8 L 0 l 0 Z W 0 + P E l 0 Z W 0 + P E l 0 Z W 1 M b 2 N h d G l v b j 4 8 S X R l b V R 5 c G U + R m 9 y b X V s Y T w v S X R l b V R 5 c G U + P E l 0 Z W 1 Q Y X R o P l N l Y 3 R p b 2 4 x L 1 R h Y l 9 D b 2 1 w d G V 1 c l 8 4 L 1 N v d X J j Z T w v S X R l b V B h d G g + P C 9 J d G V t T G 9 j Y X R p b 2 4 + P F N 0 Y W J s Z U V u d H J p Z X M g L z 4 8 L 0 l 0 Z W 0 + P E l 0 Z W 0 + P E l 0 Z W 1 M b 2 N h d G l v b j 4 8 S X R l b V R 5 c G U + R m 9 y b X V s Y T w v S X R l b V R 5 c G U + P E l 0 Z W 1 Q Y X R o P l N l Y 3 R p b 2 4 x L 1 R h Y l 9 D b 2 1 w d G V 1 c l 8 4 L 1 R 5 c G U l M j B t b 2 R p Z m k l Q z M l Q T k 8 L 0 l 0 Z W 1 Q Y X R o P j w v S X R l b U x v Y 2 F 0 a W 9 u P j x T d G F i b G V F b n R y a W V z I C 8 + P C 9 J d G V t P j x J d G V t P j x J d G V t T G 9 j Y X R p b 2 4 + P E l 0 Z W 1 U e X B l P k Z v c m 1 1 b G E 8 L 0 l 0 Z W 1 U e X B l P j x J d G V t U G F 0 a D 5 T Z W N 0 a W 9 u M S 9 U Y W J f Y 2 9 u Y 2 F 0 L 0 x p Z 2 5 l c y U y M G Z p b H R y J U M z J U E 5 Z X M 8 L 0 l 0 Z W 1 Q Y X R o P j w v S X R l b U x v Y 2 F 0 a W 9 u P j x T d G F i b G V F b n R y a W V z I C 8 + P C 9 J d G V t P j x J d G V t P j x J d G V t T G 9 j Y X R p b 2 4 + P E l 0 Z W 1 U e X B l P k Z v c m 1 1 b G E 8 L 0 l 0 Z W 1 U e X B l P j x J d G V t U G F 0 a D 5 T Z W N 0 a W 9 u M S 9 U Y W J f Q 2 9 t c H R l d X J f M i 9 T b 3 V y Y 2 U 8 L 0 l 0 Z W 1 Q Y X R o P j w v S X R l b U x v Y 2 F 0 a W 9 u P j x T d G F i b G V F b n R y a W V z I C 8 + P C 9 J d G V t P j x J d G V t P j x J d G V t T G 9 j Y X R p b 2 4 + P E l 0 Z W 1 U e X B l P k Z v c m 1 1 b G E 8 L 0 l 0 Z W 1 U e X B l P j x J d G V t U G F 0 a D 5 T Z W N 0 a W 9 u M S 9 U Y W J f Q 2 9 t c H R l d X J f M i 9 U e X B l J T I w b W 9 k a W Z p J U M z J U E 5 P C 9 J d G V t U G F 0 a D 4 8 L 0 l 0 Z W 1 M b 2 N h d G l v b j 4 8 U 3 R h Y m x l R W 5 0 c m l l c y A v P j w v S X R l b T 4 8 S X R l b T 4 8 S X R l b U x v Y 2 F 0 a W 9 u P j x J d G V t V H l w Z T 5 G b 3 J t d W x h P C 9 J d G V t V H l w Z T 4 8 S X R l b V B h d G g + U 2 V j d G l v b j E v V G F i X 0 N v b X B 0 Z X V y X z I v Q 2 9 s b 2 5 u Z S U y M E N v b X B 0 Z X V y J T I w Y W p v d X Q l Q z M l Q T l l P C 9 J d G V t U G F 0 a D 4 8 L 0 l 0 Z W 1 M b 2 N h d G l v b j 4 8 U 3 R h Y m x l R W 5 0 c m l l c y A v P j w v S X R l b T 4 8 S X R l b T 4 8 S X R l b U x v Y 2 F 0 a W 9 u P j x J d G V t V H l w Z T 5 G b 3 J t d W x h P C 9 J d G V t V H l w Z T 4 8 S X R l b V B h d G g + U 2 V j d G l v b j E v V G F i X 0 N v b X B 0 Z X V y X z I v U H J l b W k l Q z M l Q T h y Z X M l M j B s a W d u Z X M l M j B z d X B w c m l t J U M z J U E 5 Z X M 8 L 0 l 0 Z W 1 Q Y X R o P j w v S X R l b U x v Y 2 F 0 a W 9 u P j x T d G F i b G V F b n R y a W V z I C 8 + P C 9 J d G V t P j x J d G V t P j x J d G V t T G 9 j Y X R p b 2 4 + P E l 0 Z W 1 U e X B l P k Z v c m 1 1 b G E 8 L 0 l 0 Z W 1 U e X B l P j x J d G V t U G F 0 a D 5 T Z W N 0 a W 9 u M S 9 U Y W J f Q 2 9 t c H R l d X J f M i 9 M a W d u Z X M l M j B m a W x 0 c i V D M y V B O W V z P C 9 J d G V t U G F 0 a D 4 8 L 0 l 0 Z W 1 M b 2 N h d G l v b j 4 8 U 3 R h Y m x l R W 5 0 c m l l c y A v P j w v S X R l b T 4 8 S X R l b T 4 8 S X R l b U x v Y 2 F 0 a W 9 u P j x J d G V t V H l w Z T 5 G b 3 J t d W x h P C 9 J d G V t V H l w Z T 4 8 S X R l b V B h d G g + U 2 V j d G l v b j E v V G F i X 0 N v b X B 0 Z X V y X z I v Q W p v d X Q l M j B M a X N 0 Z S U y M E R h d G V z P C 9 J d G V t U G F 0 a D 4 8 L 0 l 0 Z W 1 M b 2 N h d G l v b j 4 8 U 3 R h Y m x l R W 5 0 c m l l c y A v P j w v S X R l b T 4 8 S X R l b T 4 8 S X R l b U x v Y 2 F 0 a W 9 u P j x J d G V t V H l w Z T 5 G b 3 J t d W x h P C 9 J d G V t V H l w Z T 4 8 S X R l b V B h d G g + U 2 V j d G l v b j E v V G F i X 0 N v b X B 0 Z X V y X z I v R C V D M y V B O X Z l b G 9 w c G V y J T I w b G V z J T I w R G F 0 Z X M 8 L 0 l 0 Z W 1 Q Y X R o P j w v S X R l b U x v Y 2 F 0 a W 9 u P j x T d G F i b G V F b n R y a W V z I C 8 + P C 9 J d G V t P j x J d G V t P j x J d G V t T G 9 j Y X R p b 2 4 + P E l 0 Z W 1 U e X B l P k Z v c m 1 1 b G E 8 L 0 l 0 Z W 1 U e X B l P j x J d G V t U G F 0 a D 5 T Z W N 0 a W 9 u M S 9 U Y W J f Y 2 9 u Y 2 F 0 L 1 B y Z W 1 p J U M z J U E 4 c m V z J T I w b G l n b m V z J T I w c 3 V w c H J p b S V D M y V B O W V z P C 9 J d G V t U G F 0 a D 4 8 L 0 l 0 Z W 1 M b 2 N h d G l v b j 4 8 U 3 R h Y m x l R W 5 0 c m l l c y A v P j w v S X R l b T 4 8 S X R l b T 4 8 S X R l b U x v Y 2 F 0 a W 9 u P j x J d G V t V H l w Z T 5 G b 3 J t d W x h P C 9 J d G V t V H l w Z T 4 8 S X R l b V B h d G g + U 2 V j d G l v b j E v V G F i X 2 N v b m N h d C 9 D b 2 x v b m 5 l J T I w Q 2 9 t c H R l d X I l M j B h a m 9 1 d C V D M y V B O W U 8 L 0 l 0 Z W 1 Q Y X R o P j w v S X R l b U x v Y 2 F 0 a W 9 u P j x T d G F i b G V F b n R y a W V z I C 8 + P C 9 J d G V t P j x J d G V t P j x J d G V t T G 9 j Y X R p b 2 4 + P E l 0 Z W 1 U e X B l P k Z v c m 1 1 b G E 8 L 0 l 0 Z W 1 U e X B l P j x J d G V t U G F 0 a D 5 T Z W N 0 a W 9 u M S 9 U Y W J f Y 2 9 u Y 2 F 0 L 0 F q b 3 V 0 J T I w T G l z d G U l M j B E Y X R l c z w v S X R l b V B h d G g + P C 9 J d G V t T G 9 j Y X R p b 2 4 + P F N 0 Y W J s Z U V u d H J p Z X M g L z 4 8 L 0 l 0 Z W 0 + P E l 0 Z W 0 + P E l 0 Z W 1 M b 2 N h d G l v b j 4 8 S X R l b V R 5 c G U + R m 9 y b X V s Y T w v S X R l b V R 5 c G U + P E l 0 Z W 1 Q Y X R o P l N l Y 3 R p b 2 4 x L 1 R h Y l 9 j b 2 5 j Y X Q v R C V D M y V B O X Z l b G 9 w c G V y J T I w b G V z J T I w R G F 0 Z X M 8 L 0 l 0 Z W 1 Q Y X R o P j w v S X R l b U x v Y 2 F 0 a W 9 u P j x T d G F i b G V F b n R y a W V z I C 8 + P C 9 J d G V t P j x J d G V t P j x J d G V t T G 9 j Y X R p b 2 4 + P E l 0 Z W 1 U e X B l P k Z v c m 1 1 b G E 8 L 0 l 0 Z W 1 U e X B l P j x J d G V t U G F 0 a D 5 T Z W N 0 a W 9 u M S 9 U Y W J f Y 2 9 u Y 2 F 0 L 0 N v b G 9 u b m V z J T I w c 3 V w c H J p b S V D M y V B O W V z P C 9 J d G V t U G F 0 a D 4 8 L 0 l 0 Z W 1 M b 2 N h d G l v b j 4 8 U 3 R h Y m x l R W 5 0 c m l l c y A v P j w v S X R l b T 4 8 S X R l b T 4 8 S X R l b U x v Y 2 F 0 a W 9 u P j x J d G V t V H l w Z T 5 G b 3 J t d W x h P C 9 J d G V t V H l w Z T 4 8 S X R l b V B h d G g + U 2 V j d G l v b j E v V G F i X 2 N v b m N h d C 9 D b 2 x v b m 5 l c y U y M H B l c m 1 1 d C V D M y V B O W V z P C 9 J d G V t U G F 0 a D 4 8 L 0 l 0 Z W 1 M b 2 N h d G l v b j 4 8 U 3 R h Y m x l R W 5 0 c m l l c y A v P j w v S X R l b T 4 8 S X R l b T 4 8 S X R l b U x v Y 2 F 0 a W 9 u P j x J d G V t V H l w Z T 5 G b 3 J t d W x h P C 9 J d G V t V H l w Z T 4 8 S X R l b V B h d G g + U 2 V j d G l v b j E v V G F i X 0 N v b X B 0 Z X V y X z I v Q 2 9 s b 2 5 u Z X M l M j B z d X B w c m l t J U M z J U E 5 Z X M 8 L 0 l 0 Z W 1 Q Y X R o P j w v S X R l b U x v Y 2 F 0 a W 9 u P j x T d G F i b G V F b n R y a W V z I C 8 + P C 9 J d G V t P j x J d G V t P j x J d G V t T G 9 j Y X R p b 2 4 + P E l 0 Z W 1 U e X B l P k Z v c m 1 1 b G E 8 L 0 l 0 Z W 1 U e X B l P j x J d G V t U G F 0 a D 5 T Z W N 0 a W 9 u M S 9 U Y W J f Q 2 9 t c H R l d X J f M i 9 D b 2 x v b m 5 l c y U y M H B l c m 1 1 d C V D M y V B O W V z P C 9 J d G V t U G F 0 a D 4 8 L 0 l 0 Z W 1 M b 2 N h d G l v b j 4 8 U 3 R h Y m x l R W 5 0 c m l l c y A v P j w v S X R l b T 4 8 S X R l b T 4 8 S X R l b U x v Y 2 F 0 a W 9 u P j x J d G V t V H l w Z T 5 G b 3 J t d W x h P C 9 J d G V t V H l w Z T 4 8 S X R l b V B h d G g + U 2 V j d G l v b j E v V G F i X 0 N v b X B 0 Z X V y X z M v U H J l b W k l Q z M l Q T h y Z X M l M j B s a W d u Z X M l M j B z d X B w c m l t J U M z J U E 5 Z X M 8 L 0 l 0 Z W 1 Q Y X R o P j w v S X R l b U x v Y 2 F 0 a W 9 u P j x T d G F i b G V F b n R y a W V z I C 8 + P C 9 J d G V t P j x J d G V t P j x J d G V t T G 9 j Y X R p b 2 4 + P E l 0 Z W 1 U e X B l P k Z v c m 1 1 b G E 8 L 0 l 0 Z W 1 U e X B l P j x J d G V t U G F 0 a D 5 T Z W N 0 a W 9 u M S 9 U Y W J f Q 2 9 t c H R l d X J f M y 9 D b 2 x v b m 5 l J T I w Q 2 9 t c H R l d X I l M j B h a m 9 1 d C V D M y V B O W U 8 L 0 l 0 Z W 1 Q Y X R o P j w v S X R l b U x v Y 2 F 0 a W 9 u P j x T d G F i b G V F b n R y a W V z I C 8 + P C 9 J d G V t P j x J d G V t P j x J d G V t T G 9 j Y X R p b 2 4 + P E l 0 Z W 1 U e X B l P k Z v c m 1 1 b G E 8 L 0 l 0 Z W 1 U e X B l P j x J d G V t U G F 0 a D 5 T Z W N 0 a W 9 u M S 9 U Y W J f Q 2 9 t c H R l d X J f M y 9 M a W d u Z X M l M j B m a W x 0 c i V D M y V B O W V z P C 9 J d G V t U G F 0 a D 4 8 L 0 l 0 Z W 1 M b 2 N h d G l v b j 4 8 U 3 R h Y m x l R W 5 0 c m l l c y A v P j w v S X R l b T 4 8 S X R l b T 4 8 S X R l b U x v Y 2 F 0 a W 9 u P j x J d G V t V H l w Z T 5 G b 3 J t d W x h P C 9 J d G V t V H l w Z T 4 8 S X R l b V B h d G g + U 2 V j d G l v b j E v V G F i X 0 N v b X B 0 Z X V y X z M v Q W p v d X Q l M j B M a X N 0 Z S U y M E R h d G V z P C 9 J d G V t U G F 0 a D 4 8 L 0 l 0 Z W 1 M b 2 N h d G l v b j 4 8 U 3 R h Y m x l R W 5 0 c m l l c y A v P j w v S X R l b T 4 8 S X R l b T 4 8 S X R l b U x v Y 2 F 0 a W 9 u P j x J d G V t V H l w Z T 5 G b 3 J t d W x h P C 9 J d G V t V H l w Z T 4 8 S X R l b V B h d G g + U 2 V j d G l v b j E v V G F i X 0 N v b X B 0 Z X V y X z M v R C V D M y V B O X Z l b G 9 w c G V y J T I w b G V z J T I w R G F 0 Z X M 8 L 0 l 0 Z W 1 Q Y X R o P j w v S X R l b U x v Y 2 F 0 a W 9 u P j x T d G F i b G V F b n R y a W V z I C 8 + P C 9 J d G V t P j x J d G V t P j x J d G V t T G 9 j Y X R p b 2 4 + P E l 0 Z W 1 U e X B l P k Z v c m 1 1 b G E 8 L 0 l 0 Z W 1 U e X B l P j x J d G V t U G F 0 a D 5 T Z W N 0 a W 9 u M S 9 U Y W J f Q 2 9 t c H R l d X J f M y 9 D b 2 x v b m 5 l c y U y M H N 1 c H B y a W 0 l Q z M l Q T l l c z w v S X R l b V B h d G g + P C 9 J d G V t T G 9 j Y X R p b 2 4 + P F N 0 Y W J s Z U V u d H J p Z X M g L z 4 8 L 0 l 0 Z W 0 + P E l 0 Z W 0 + P E l 0 Z W 1 M b 2 N h d G l v b j 4 8 S X R l b V R 5 c G U + R m 9 y b X V s Y T w v S X R l b V R 5 c G U + P E l 0 Z W 1 Q Y X R o P l N l Y 3 R p b 2 4 x L 1 R h Y l 9 D b 2 1 w d G V 1 c l 8 z L 0 N v b G 9 u b m V z J T I w c G V y b X V 0 J U M z J U E 5 Z X M 8 L 0 l 0 Z W 1 Q Y X R o P j w v S X R l b U x v Y 2 F 0 a W 9 u P j x T d G F i b G V F b n R y a W V z I C 8 + P C 9 J d G V t P j x J d G V t P j x J d G V t T G 9 j Y X R p b 2 4 + P E l 0 Z W 1 U e X B l P k Z v c m 1 1 b G E 8 L 0 l 0 Z W 1 U e X B l P j x J d G V t U G F 0 a D 5 T Z W N 0 a W 9 u M S 9 U Y W J f Q 2 9 t c H R l d X J f N C 9 Q c m V t a S V D M y V B O H J l c y U y M G x p Z 2 5 l c y U y M H N 1 c H B y a W 0 l Q z M l Q T l l c z w v S X R l b V B h d G g + P C 9 J d G V t T G 9 j Y X R p b 2 4 + P F N 0 Y W J s Z U V u d H J p Z X M g L z 4 8 L 0 l 0 Z W 0 + P E l 0 Z W 0 + P E l 0 Z W 1 M b 2 N h d G l v b j 4 8 S X R l b V R 5 c G U + R m 9 y b X V s Y T w v S X R l b V R 5 c G U + P E l 0 Z W 1 Q Y X R o P l N l Y 3 R p b 2 4 x L 1 R h Y l 9 D b 2 1 w d G V 1 c l 8 0 L 0 N v b G 9 u b m U l M j B D b 2 1 w d G V 1 c i U y M G F q b 3 V 0 J U M z J U E 5 Z T w v S X R l b V B h d G g + P C 9 J d G V t T G 9 j Y X R p b 2 4 + P F N 0 Y W J s Z U V u d H J p Z X M g L z 4 8 L 0 l 0 Z W 0 + P E l 0 Z W 0 + P E l 0 Z W 1 M b 2 N h d G l v b j 4 8 S X R l b V R 5 c G U + R m 9 y b X V s Y T w v S X R l b V R 5 c G U + P E l 0 Z W 1 Q Y X R o P l N l Y 3 R p b 2 4 x L 1 R h Y l 9 D b 2 1 w d G V 1 c l 8 0 L 0 x p Z 2 5 l c y U y M G Z p b H R y J U M z J U E 5 Z X M 8 L 0 l 0 Z W 1 Q Y X R o P j w v S X R l b U x v Y 2 F 0 a W 9 u P j x T d G F i b G V F b n R y a W V z I C 8 + P C 9 J d G V t P j x J d G V t P j x J d G V t T G 9 j Y X R p b 2 4 + P E l 0 Z W 1 U e X B l P k Z v c m 1 1 b G E 8 L 0 l 0 Z W 1 U e X B l P j x J d G V t U G F 0 a D 5 T Z W N 0 a W 9 u M S 9 U Y W J f Q 2 9 t c H R l d X J f N C 9 B a m 9 1 d C U y M E x p c 3 R l J T I w R G F 0 Z X M 8 L 0 l 0 Z W 1 Q Y X R o P j w v S X R l b U x v Y 2 F 0 a W 9 u P j x T d G F i b G V F b n R y a W V z I C 8 + P C 9 J d G V t P j x J d G V t P j x J d G V t T G 9 j Y X R p b 2 4 + P E l 0 Z W 1 U e X B l P k Z v c m 1 1 b G E 8 L 0 l 0 Z W 1 U e X B l P j x J d G V t U G F 0 a D 5 T Z W N 0 a W 9 u M S 9 U Y W J f Q 2 9 t c H R l d X J f N C 9 E J U M z J U E 5 d m V s b 3 B w Z X I l M j B s Z X M l M j B E Y X R l c z w v S X R l b V B h d G g + P C 9 J d G V t T G 9 j Y X R p b 2 4 + P F N 0 Y W J s Z U V u d H J p Z X M g L z 4 8 L 0 l 0 Z W 0 + P E l 0 Z W 0 + P E l 0 Z W 1 M b 2 N h d G l v b j 4 8 S X R l b V R 5 c G U + R m 9 y b X V s Y T w v S X R l b V R 5 c G U + P E l 0 Z W 1 Q Y X R o P l N l Y 3 R p b 2 4 x L 1 R h Y l 9 D b 2 1 w d G V 1 c l 8 0 L 0 N v b G 9 u b m V z J T I w c 3 V w c H J p b S V D M y V B O W V z P C 9 J d G V t U G F 0 a D 4 8 L 0 l 0 Z W 1 M b 2 N h d G l v b j 4 8 U 3 R h Y m x l R W 5 0 c m l l c y A v P j w v S X R l b T 4 8 S X R l b T 4 8 S X R l b U x v Y 2 F 0 a W 9 u P j x J d G V t V H l w Z T 5 G b 3 J t d W x h P C 9 J d G V t V H l w Z T 4 8 S X R l b V B h d G g + U 2 V j d G l v b j E v V G F i X 0 N v b X B 0 Z X V y X z Q v Q 2 9 s b 2 5 u Z X M l M j B w Z X J t d X Q l Q z M l Q T l l c z w v S X R l b V B h d G g + P C 9 J d G V t T G 9 j Y X R p b 2 4 + P F N 0 Y W J s Z U V u d H J p Z X M g L z 4 8 L 0 l 0 Z W 0 + P E l 0 Z W 0 + P E l 0 Z W 1 M b 2 N h d G l v b j 4 8 S X R l b V R 5 c G U + R m 9 y b X V s Y T w v S X R l b V R 5 c G U + P E l 0 Z W 1 Q Y X R o P l N l Y 3 R p b 2 4 x L 1 R h Y l 9 D b 2 1 w d G V 1 c l 8 1 L 1 B y Z W 1 p J U M z J U E 4 c m V z J T I w b G l n b m V z J T I w c 3 V w c H J p b S V D M y V B O W V z P C 9 J d G V t U G F 0 a D 4 8 L 0 l 0 Z W 1 M b 2 N h d G l v b j 4 8 U 3 R h Y m x l R W 5 0 c m l l c y A v P j w v S X R l b T 4 8 S X R l b T 4 8 S X R l b U x v Y 2 F 0 a W 9 u P j x J d G V t V H l w Z T 5 G b 3 J t d W x h P C 9 J d G V t V H l w Z T 4 8 S X R l b V B h d G g + U 2 V j d G l v b j E v V G F i X 0 N v b X B 0 Z X V y X z U v Q 2 9 s b 2 5 u Z S U y M E N v b X B 0 Z X V y J T I w Y W p v d X Q l Q z M l Q T l l P C 9 J d G V t U G F 0 a D 4 8 L 0 l 0 Z W 1 M b 2 N h d G l v b j 4 8 U 3 R h Y m x l R W 5 0 c m l l c y A v P j w v S X R l b T 4 8 S X R l b T 4 8 S X R l b U x v Y 2 F 0 a W 9 u P j x J d G V t V H l w Z T 5 G b 3 J t d W x h P C 9 J d G V t V H l w Z T 4 8 S X R l b V B h d G g + U 2 V j d G l v b j E v V G F i X 0 N v b X B 0 Z X V y X z U v T G l n b m V z J T I w Z m l s d H I l Q z M l Q T l l c z w v S X R l b V B h d G g + P C 9 J d G V t T G 9 j Y X R p b 2 4 + P F N 0 Y W J s Z U V u d H J p Z X M g L z 4 8 L 0 l 0 Z W 0 + P E l 0 Z W 0 + P E l 0 Z W 1 M b 2 N h d G l v b j 4 8 S X R l b V R 5 c G U + R m 9 y b X V s Y T w v S X R l b V R 5 c G U + P E l 0 Z W 1 Q Y X R o P l N l Y 3 R p b 2 4 x L 1 R h Y l 9 D b 2 1 w d G V 1 c l 8 1 L 0 F q b 3 V 0 J T I w T G l z d G U l M j B E Y X R l c z w v S X R l b V B h d G g + P C 9 J d G V t T G 9 j Y X R p b 2 4 + P F N 0 Y W J s Z U V u d H J p Z X M g L z 4 8 L 0 l 0 Z W 0 + P E l 0 Z W 0 + P E l 0 Z W 1 M b 2 N h d G l v b j 4 8 S X R l b V R 5 c G U + R m 9 y b X V s Y T w v S X R l b V R 5 c G U + P E l 0 Z W 1 Q Y X R o P l N l Y 3 R p b 2 4 x L 1 R h Y l 9 D b 2 1 w d G V 1 c l 8 1 L 0 Q l Q z M l Q T l 2 Z W x v c H B l c i U y M G x l c y U y M E R h d G V z P C 9 J d G V t U G F 0 a D 4 8 L 0 l 0 Z W 1 M b 2 N h d G l v b j 4 8 U 3 R h Y m x l R W 5 0 c m l l c y A v P j w v S X R l b T 4 8 S X R l b T 4 8 S X R l b U x v Y 2 F 0 a W 9 u P j x J d G V t V H l w Z T 5 G b 3 J t d W x h P C 9 J d G V t V H l w Z T 4 8 S X R l b V B h d G g + U 2 V j d G l v b j E v V G F i X 0 N v b X B 0 Z X V y X z U v Q 2 9 s b 2 5 u Z X M l M j B z d X B w c m l t J U M z J U E 5 Z X M 8 L 0 l 0 Z W 1 Q Y X R o P j w v S X R l b U x v Y 2 F 0 a W 9 u P j x T d G F i b G V F b n R y a W V z I C 8 + P C 9 J d G V t P j x J d G V t P j x J d G V t T G 9 j Y X R p b 2 4 + P E l 0 Z W 1 U e X B l P k Z v c m 1 1 b G E 8 L 0 l 0 Z W 1 U e X B l P j x J d G V t U G F 0 a D 5 T Z W N 0 a W 9 u M S 9 U Y W J f Q 2 9 t c H R l d X J f N S 9 D b 2 x v b m 5 l c y U y M H B l c m 1 1 d C V D M y V B O W V z P C 9 J d G V t U G F 0 a D 4 8 L 0 l 0 Z W 1 M b 2 N h d G l v b j 4 8 U 3 R h Y m x l R W 5 0 c m l l c y A v P j w v S X R l b T 4 8 S X R l b T 4 8 S X R l b U x v Y 2 F 0 a W 9 u P j x J d G V t V H l w Z T 5 G b 3 J t d W x h P C 9 J d G V t V H l w Z T 4 8 S X R l b V B h d G g + U 2 V j d G l v b j E v V G F i X 0 N v b X B 0 Z X V y X z Y v U H J l b W k l Q z M l Q T h y Z X M l M j B s a W d u Z X M l M j B z d X B w c m l t J U M z J U E 5 Z X M 8 L 0 l 0 Z W 1 Q Y X R o P j w v S X R l b U x v Y 2 F 0 a W 9 u P j x T d G F i b G V F b n R y a W V z I C 8 + P C 9 J d G V t P j x J d G V t P j x J d G V t T G 9 j Y X R p b 2 4 + P E l 0 Z W 1 U e X B l P k Z v c m 1 1 b G E 8 L 0 l 0 Z W 1 U e X B l P j x J d G V t U G F 0 a D 5 T Z W N 0 a W 9 u M S 9 U Y W J f Q 2 9 t c H R l d X J f N i 9 D b 2 x v b m 5 l J T I w Q 2 9 t c H R l d X I l M j B h a m 9 1 d C V D M y V B O W U 8 L 0 l 0 Z W 1 Q Y X R o P j w v S X R l b U x v Y 2 F 0 a W 9 u P j x T d G F i b G V F b n R y a W V z I C 8 + P C 9 J d G V t P j x J d G V t P j x J d G V t T G 9 j Y X R p b 2 4 + P E l 0 Z W 1 U e X B l P k Z v c m 1 1 b G E 8 L 0 l 0 Z W 1 U e X B l P j x J d G V t U G F 0 a D 5 T Z W N 0 a W 9 u M S 9 U Y W J f Q 2 9 t c H R l d X J f N i 9 M a W d u Z X M l M j B m a W x 0 c i V D M y V B O W V z P C 9 J d G V t U G F 0 a D 4 8 L 0 l 0 Z W 1 M b 2 N h d G l v b j 4 8 U 3 R h Y m x l R W 5 0 c m l l c y A v P j w v S X R l b T 4 8 S X R l b T 4 8 S X R l b U x v Y 2 F 0 a W 9 u P j x J d G V t V H l w Z T 5 G b 3 J t d W x h P C 9 J d G V t V H l w Z T 4 8 S X R l b V B h d G g + U 2 V j d G l v b j E v V G F i X 0 N v b X B 0 Z X V y X z Y v Q W p v d X Q l M j B M a X N 0 Z S U y M E R h d G V z P C 9 J d G V t U G F 0 a D 4 8 L 0 l 0 Z W 1 M b 2 N h d G l v b j 4 8 U 3 R h Y m x l R W 5 0 c m l l c y A v P j w v S X R l b T 4 8 S X R l b T 4 8 S X R l b U x v Y 2 F 0 a W 9 u P j x J d G V t V H l w Z T 5 G b 3 J t d W x h P C 9 J d G V t V H l w Z T 4 8 S X R l b V B h d G g + U 2 V j d G l v b j E v V G F i X 0 N v b X B 0 Z X V y X z Y v R C V D M y V B O X Z l b G 9 w c G V y J T I w b G V z J T I w R G F 0 Z X M 8 L 0 l 0 Z W 1 Q Y X R o P j w v S X R l b U x v Y 2 F 0 a W 9 u P j x T d G F i b G V F b n R y a W V z I C 8 + P C 9 J d G V t P j x J d G V t P j x J d G V t T G 9 j Y X R p b 2 4 + P E l 0 Z W 1 U e X B l P k Z v c m 1 1 b G E 8 L 0 l 0 Z W 1 U e X B l P j x J d G V t U G F 0 a D 5 T Z W N 0 a W 9 u M S 9 U Y W J f Q 2 9 t c H R l d X J f N i 9 D b 2 x v b m 5 l c y U y M H N 1 c H B y a W 0 l Q z M l Q T l l c z w v S X R l b V B h d G g + P C 9 J d G V t T G 9 j Y X R p b 2 4 + P F N 0 Y W J s Z U V u d H J p Z X M g L z 4 8 L 0 l 0 Z W 0 + P E l 0 Z W 0 + P E l 0 Z W 1 M b 2 N h d G l v b j 4 8 S X R l b V R 5 c G U + R m 9 y b X V s Y T w v S X R l b V R 5 c G U + P E l 0 Z W 1 Q Y X R o P l N l Y 3 R p b 2 4 x L 1 R h Y l 9 D b 2 1 w d G V 1 c l 8 2 L 0 N v b G 9 u b m V z J T I w c G V y b X V 0 J U M z J U E 5 Z X M 8 L 0 l 0 Z W 1 Q Y X R o P j w v S X R l b U x v Y 2 F 0 a W 9 u P j x T d G F i b G V F b n R y a W V z I C 8 + P C 9 J d G V t P j x J d G V t P j x J d G V t T G 9 j Y X R p b 2 4 + P E l 0 Z W 1 U e X B l P k Z v c m 1 1 b G E 8 L 0 l 0 Z W 1 U e X B l P j x J d G V t U G F 0 a D 5 T Z W N 0 a W 9 u M S 9 U Y W J f Q 2 9 t c H R l d X J f N y 9 Q c m V t a S V D M y V B O H J l c y U y M G x p Z 2 5 l c y U y M H N 1 c H B y a W 0 l Q z M l Q T l l c z w v S X R l b V B h d G g + P C 9 J d G V t T G 9 j Y X R p b 2 4 + P F N 0 Y W J s Z U V u d H J p Z X M g L z 4 8 L 0 l 0 Z W 0 + P E l 0 Z W 0 + P E l 0 Z W 1 M b 2 N h d G l v b j 4 8 S X R l b V R 5 c G U + R m 9 y b X V s Y T w v S X R l b V R 5 c G U + P E l 0 Z W 1 Q Y X R o P l N l Y 3 R p b 2 4 x L 1 R h Y l 9 D b 2 1 w d G V 1 c l 8 3 L 0 N v b G 9 u b m U l M j B D b 2 1 w d G V 1 c i U y M G F q b 3 V 0 J U M z J U E 5 Z T w v S X R l b V B h d G g + P C 9 J d G V t T G 9 j Y X R p b 2 4 + P F N 0 Y W J s Z U V u d H J p Z X M g L z 4 8 L 0 l 0 Z W 0 + P E l 0 Z W 0 + P E l 0 Z W 1 M b 2 N h d G l v b j 4 8 S X R l b V R 5 c G U + R m 9 y b X V s Y T w v S X R l b V R 5 c G U + P E l 0 Z W 1 Q Y X R o P l N l Y 3 R p b 2 4 x L 1 R h Y l 9 D b 2 1 w d G V 1 c l 8 3 L 0 x p Z 2 5 l c y U y M G Z p b H R y J U M z J U E 5 Z X M 8 L 0 l 0 Z W 1 Q Y X R o P j w v S X R l b U x v Y 2 F 0 a W 9 u P j x T d G F i b G V F b n R y a W V z I C 8 + P C 9 J d G V t P j x J d G V t P j x J d G V t T G 9 j Y X R p b 2 4 + P E l 0 Z W 1 U e X B l P k Z v c m 1 1 b G E 8 L 0 l 0 Z W 1 U e X B l P j x J d G V t U G F 0 a D 5 T Z W N 0 a W 9 u M S 9 U Y W J f Q 2 9 t c H R l d X J f N y 9 B a m 9 1 d C U y M E x p c 3 R l J T I w R G F 0 Z X M 8 L 0 l 0 Z W 1 Q Y X R o P j w v S X R l b U x v Y 2 F 0 a W 9 u P j x T d G F i b G V F b n R y a W V z I C 8 + P C 9 J d G V t P j x J d G V t P j x J d G V t T G 9 j Y X R p b 2 4 + P E l 0 Z W 1 U e X B l P k Z v c m 1 1 b G E 8 L 0 l 0 Z W 1 U e X B l P j x J d G V t U G F 0 a D 5 T Z W N 0 a W 9 u M S 9 U Y W J f Q 2 9 t c H R l d X J f N y 9 E J U M z J U E 5 d m V s b 3 B w Z X I l M j B s Z X M l M j B E Y X R l c z w v S X R l b V B h d G g + P C 9 J d G V t T G 9 j Y X R p b 2 4 + P F N 0 Y W J s Z U V u d H J p Z X M g L z 4 8 L 0 l 0 Z W 0 + P E l 0 Z W 0 + P E l 0 Z W 1 M b 2 N h d G l v b j 4 8 S X R l b V R 5 c G U + R m 9 y b X V s Y T w v S X R l b V R 5 c G U + P E l 0 Z W 1 Q Y X R o P l N l Y 3 R p b 2 4 x L 1 R h Y l 9 D b 2 1 w d G V 1 c l 8 3 L 0 N v b G 9 u b m V z J T I w c 3 V w c H J p b S V D M y V B O W V z P C 9 J d G V t U G F 0 a D 4 8 L 0 l 0 Z W 1 M b 2 N h d G l v b j 4 8 U 3 R h Y m x l R W 5 0 c m l l c y A v P j w v S X R l b T 4 8 S X R l b T 4 8 S X R l b U x v Y 2 F 0 a W 9 u P j x J d G V t V H l w Z T 5 G b 3 J t d W x h P C 9 J d G V t V H l w Z T 4 8 S X R l b V B h d G g + U 2 V j d G l v b j E v V G F i X 0 N v b X B 0 Z X V y X z c v Q 2 9 s b 2 5 u Z X M l M j B w Z X J t d X Q l Q z M l Q T l l c z w v S X R l b V B h d G g + P C 9 J d G V t T G 9 j Y X R p b 2 4 + P F N 0 Y W J s Z U V u d H J p Z X M g L z 4 8 L 0 l 0 Z W 0 + P E l 0 Z W 0 + P E l 0 Z W 1 M b 2 N h d G l v b j 4 8 S X R l b V R 5 c G U + R m 9 y b X V s Y T w v S X R l b V R 5 c G U + P E l 0 Z W 1 Q Y X R o P l N l Y 3 R p b 2 4 x L 1 R h Y l 9 D b 2 1 w d G V 1 c l 8 4 L 1 B y Z W 1 p J U M z J U E 4 c m V z J T I w b G l n b m V z J T I w c 3 V w c H J p b S V D M y V B O W V z P C 9 J d G V t U G F 0 a D 4 8 L 0 l 0 Z W 1 M b 2 N h d G l v b j 4 8 U 3 R h Y m x l R W 5 0 c m l l c y A v P j w v S X R l b T 4 8 S X R l b T 4 8 S X R l b U x v Y 2 F 0 a W 9 u P j x J d G V t V H l w Z T 5 G b 3 J t d W x h P C 9 J d G V t V H l w Z T 4 8 S X R l b V B h d G g + U 2 V j d G l v b j E v V G F i X 0 N v b X B 0 Z X V y X z g v Q 2 9 s b 2 5 u Z S U y M E N v b X B 0 Z X V y J T I w Y W p v d X Q l Q z M l Q T l l P C 9 J d G V t U G F 0 a D 4 8 L 0 l 0 Z W 1 M b 2 N h d G l v b j 4 8 U 3 R h Y m x l R W 5 0 c m l l c y A v P j w v S X R l b T 4 8 S X R l b T 4 8 S X R l b U x v Y 2 F 0 a W 9 u P j x J d G V t V H l w Z T 5 G b 3 J t d W x h P C 9 J d G V t V H l w Z T 4 8 S X R l b V B h d G g + U 2 V j d G l v b j E v V G F i X 0 N v b X B 0 Z X V y X z g v T G l n b m V z J T I w Z m l s d H I l Q z M l Q T l l c z w v S X R l b V B h d G g + P C 9 J d G V t T G 9 j Y X R p b 2 4 + P F N 0 Y W J s Z U V u d H J p Z X M g L z 4 8 L 0 l 0 Z W 0 + P E l 0 Z W 0 + P E l 0 Z W 1 M b 2 N h d G l v b j 4 8 S X R l b V R 5 c G U + R m 9 y b X V s Y T w v S X R l b V R 5 c G U + P E l 0 Z W 1 Q Y X R o P l N l Y 3 R p b 2 4 x L 1 R h Y l 9 D b 2 1 w d G V 1 c l 8 4 L 0 F q b 3 V 0 J T I w T G l z d G U l M j B E Y X R l c z w v S X R l b V B h d G g + P C 9 J d G V t T G 9 j Y X R p b 2 4 + P F N 0 Y W J s Z U V u d H J p Z X M g L z 4 8 L 0 l 0 Z W 0 + P E l 0 Z W 0 + P E l 0 Z W 1 M b 2 N h d G l v b j 4 8 S X R l b V R 5 c G U + R m 9 y b X V s Y T w v S X R l b V R 5 c G U + P E l 0 Z W 1 Q Y X R o P l N l Y 3 R p b 2 4 x L 1 R h Y l 9 D b 2 1 w d G V 1 c l 8 4 L 0 Q l Q z M l Q T l 2 Z W x v c H B l c i U y M G x l c y U y M E R h d G V z P C 9 J d G V t U G F 0 a D 4 8 L 0 l 0 Z W 1 M b 2 N h d G l v b j 4 8 U 3 R h Y m x l R W 5 0 c m l l c y A v P j w v S X R l b T 4 8 S X R l b T 4 8 S X R l b U x v Y 2 F 0 a W 9 u P j x J d G V t V H l w Z T 5 G b 3 J t d W x h P C 9 J d G V t V H l w Z T 4 8 S X R l b V B h d G g + U 2 V j d G l v b j E v V G F i X 0 N v b X B 0 Z X V y X z g v Q 2 9 s b 2 5 u Z X M l M j B z d X B w c m l t J U M z J U E 5 Z X M 8 L 0 l 0 Z W 1 Q Y X R o P j w v S X R l b U x v Y 2 F 0 a W 9 u P j x T d G F i b G V F b n R y a W V z I C 8 + P C 9 J d G V t P j x J d G V t P j x J d G V t T G 9 j Y X R p b 2 4 + P E l 0 Z W 1 U e X B l P k Z v c m 1 1 b G E 8 L 0 l 0 Z W 1 U e X B l P j x J d G V t U G F 0 a D 5 T Z W N 0 a W 9 u M S 9 U Y W J f Q 2 9 t c H R l d X J f O C 9 D b 2 x v b m 5 l c y U y M H B l c m 1 1 d C V D M y V B O W V z P C 9 J d G V t U G F 0 a D 4 8 L 0 l 0 Z W 1 M b 2 N h d G l v b j 4 8 U 3 R h Y m x l R W 5 0 c m l l c y A v P j w v S X R l b T 4 8 S X R l b T 4 8 S X R l b U x v Y 2 F 0 a W 9 u P j x J d G V t V H l w Z T 5 G b 3 J t d W x h P C 9 J d G V t V H l w Z T 4 8 S X R l b V B h d G g + U 2 V j d G l v b j E v V G F i X 0 N v b X B 0 Z X V y X z I v T G l n b m V z J T I w Z m l s d H I l Q z M l Q T l l c z E 8 L 0 l 0 Z W 1 Q Y X R o P j w v S X R l b U x v Y 2 F 0 a W 9 u P j x T d G F i b G V F b n R y a W V z I C 8 + P C 9 J d G V t P j x J d G V t P j x J d G V t T G 9 j Y X R p b 2 4 + P E l 0 Z W 1 U e X B l P k Z v c m 1 1 b G E 8 L 0 l 0 Z W 1 U e X B l P j x J d G V t U G F 0 a D 5 T Z W N 0 a W 9 u M S 9 U Y W J f Q 2 9 t c H R l d X J f M y 9 M a W d u Z X M l M j B m a W x 0 c i V D M y V B O W V z M T w v S X R l b V B h d G g + P C 9 J d G V t T G 9 j Y X R p b 2 4 + P F N 0 Y W J s Z U V u d H J p Z X M g L z 4 8 L 0 l 0 Z W 0 + P E l 0 Z W 0 + P E l 0 Z W 1 M b 2 N h d G l v b j 4 8 S X R l b V R 5 c G U + R m 9 y b X V s Y T w v S X R l b V R 5 c G U + P E l 0 Z W 1 Q Y X R o P l N l Y 3 R p b 2 4 x L 1 R h Y l 9 D b 2 1 w d G V 1 c l 8 0 L 0 x p Z 2 5 l c y U y M G Z p b H R y J U M z J U E 5 Z X M x P C 9 J d G V t U G F 0 a D 4 8 L 0 l 0 Z W 1 M b 2 N h d G l v b j 4 8 U 3 R h Y m x l R W 5 0 c m l l c y A v P j w v S X R l b T 4 8 S X R l b T 4 8 S X R l b U x v Y 2 F 0 a W 9 u P j x J d G V t V H l w Z T 5 G b 3 J t d W x h P C 9 J d G V t V H l w Z T 4 8 S X R l b V B h d G g + U 2 V j d G l v b j E v V G F i X 0 N v b X B 0 Z X V y X z U v T G l n b m V z J T I w Z m l s d H I l Q z M l Q T l l c z E 8 L 0 l 0 Z W 1 Q Y X R o P j w v S X R l b U x v Y 2 F 0 a W 9 u P j x T d G F i b G V F b n R y a W V z I C 8 + P C 9 J d G V t P j x J d G V t P j x J d G V t T G 9 j Y X R p b 2 4 + P E l 0 Z W 1 U e X B l P k Z v c m 1 1 b G E 8 L 0 l 0 Z W 1 U e X B l P j x J d G V t U G F 0 a D 5 T Z W N 0 a W 9 u M S 9 U Y W J f Q 2 9 t c H R l d X J f N i 9 M a W d u Z X M l M j B m a W x 0 c i V D M y V B O W V z M T w v S X R l b V B h d G g + P C 9 J d G V t T G 9 j Y X R p b 2 4 + P F N 0 Y W J s Z U V u d H J p Z X M g L z 4 8 L 0 l 0 Z W 0 + P E l 0 Z W 0 + P E l 0 Z W 1 M b 2 N h d G l v b j 4 8 S X R l b V R 5 c G U + R m 9 y b X V s Y T w v S X R l b V R 5 c G U + P E l 0 Z W 1 Q Y X R o P l N l Y 3 R p b 2 4 x L 1 R h Y l 9 D b 2 1 w d G V 1 c l 8 3 L 0 x p Z 2 5 l c y U y M G Z p b H R y J U M z J U E 5 Z X M x P C 9 J d G V t U G F 0 a D 4 8 L 0 l 0 Z W 1 M b 2 N h d G l v b j 4 8 U 3 R h Y m x l R W 5 0 c m l l c y A v P j w v S X R l b T 4 8 S X R l b T 4 8 S X R l b U x v Y 2 F 0 a W 9 u P j x J d G V t V H l w Z T 5 G b 3 J t d W x h P C 9 J d G V t V H l w Z T 4 8 S X R l b V B h d G g + U 2 V j d G l v b j E v V G F i X 0 N v b X B 0 Z X V y X z g v T G l n b m V z J T I w Z m l s d H I l Q z M l Q T l l c z E 8 L 0 l 0 Z W 1 Q Y X R o P j w v S X R l b U x v Y 2 F 0 a W 9 u P j x T d G F i b G V F b n R y a W V z I C 8 + P C 9 J d G V t P j x J d G V t P j x J d G V t T G 9 j Y X R p b 2 4 + P E l 0 Z W 1 U e X B l P k Z v c m 1 1 b G E 8 L 0 l 0 Z W 1 U e X B l P j x J d G V t U G F 0 a D 5 T Z W N 0 a W 9 u M S 9 U Y W J s Z W F 1 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T G F z d F V w Z G F 0 Z W Q i I F Z h b H V l P S J k M j A y N S 0 x M S 0 x N F Q x N T o z N T o w N C 4 y N D c 2 M D Y 5 W i I g L z 4 8 R W 5 0 c n k g V H l w Z T 0 i R m l s b E V y c m 9 y Q 2 9 k Z S I g V m F s d W U 9 I n N V b m t u b 3 d u I i A v P j x F b n R y e S B U e X B l P S J B Z G R l Z F R v R G F 0 Y U 1 v Z G V s I i B W Y W x 1 Z T 0 i b D A i I C 8 + P C 9 T d G F i b G V F b n R y a W V z P j w v S X R l b T 4 8 S X R l b T 4 8 S X R l b U x v Y 2 F 0 a W 9 u P j x J d G V t V H l w Z T 5 G b 3 J t d W x h P C 9 J d G V t V H l w Z T 4 8 S X R l b V B h d G g + U 2 V j d G l v b j E v V G F i b G V h d T k v U 2 9 1 c m N l P C 9 J d G V t U G F 0 a D 4 8 L 0 l 0 Z W 1 M b 2 N h d G l v b j 4 8 U 3 R h Y m x l R W 5 0 c m l l c y A v P j w v S X R l b T 4 8 S X R l b T 4 8 S X R l b U x v Y 2 F 0 a W 9 u P j x J d G V t V H l w Z T 5 G b 3 J t d W x h P C 9 J d G V t V H l w Z T 4 8 S X R l b V B h d G g + U 2 V j d G l v b j E v V G F i b G V h d T k v V H l w Z S U y M G 1 v Z G l m a S V D M y V B O T w v S X R l b V B h d G g + P C 9 J d G V t T G 9 j Y X R p b 2 4 + P F N 0 Y W J s Z U V u d H J p Z X M g L z 4 8 L 0 l 0 Z W 0 + P E l 0 Z W 0 + P E l 0 Z W 1 M b 2 N h d G l v b j 4 8 S X R l b V R 5 c G U + R m 9 y b X V s Y T w v S X R l b V R 5 c G U + P E l 0 Z W 1 Q Y X R o P l N l Y 3 R p b 2 4 x L 1 R h Y m x l Y X U 5 L 1 B l c n N v b m 5 h b G l z J U M z J U E 5 Z S U y M G F q b 3 V 0 J U M z J U E 5 Z T w v S X R l b V B h d G g + P C 9 J d G V t T G 9 j Y X R p b 2 4 + P F N 0 Y W J s Z U V u d H J p Z X M g L z 4 8 L 0 l 0 Z W 0 + P E l 0 Z W 0 + P E l 0 Z W 1 M b 2 N h d G l v b j 4 8 S X R l b V R 5 c G U + R m 9 y b X V s Y T w v S X R l b V R 5 c G U + P E l 0 Z W 1 Q Y X R o P l N l Y 3 R p b 2 4 x L 1 R h Y m x l Y X U 5 L 1 R 5 c G U l M j B t b 2 R p Z m k l Q z M l Q T k x P C 9 J d G V t U G F 0 a D 4 8 L 0 l 0 Z W 1 M b 2 N h d G l v b j 4 8 U 3 R h Y m x l R W 5 0 c m l l c y A v P j w v S X R l b T 4 8 S X R l b T 4 8 S X R l b U x v Y 2 F 0 a W 9 u P j x J d G V t V H l w Z T 5 G b 3 J t d W x h P C 9 J d G V t V H l w Z T 4 8 S X R l b V B h d G g + U 2 V j d G l v b j E v V G F i X 0 N v b X B 0 Z X V y X z I v V H l w Z S U y M G 1 v Z G l m a S V D M y V B O T E 8 L 0 l 0 Z W 1 Q Y X R o P j w v S X R l b U x v Y 2 F 0 a W 9 u P j x T d G F i b G V F b n R y a W V z I C 8 + P C 9 J d G V t P j x J d G V t P j x J d G V t T G 9 j Y X R p b 2 4 + P E l 0 Z W 1 U e X B l P k Z v c m 1 1 b G E 8 L 0 l 0 Z W 1 U e X B l P j x J d G V t U G F 0 a D 5 T Z W N 0 a W 9 u M S 9 U Y W J s Z W F 1 O S 9 Q Z X J z b 2 5 u Y W x p c y V D M y V B O W U l M j B h a m 9 1 d C V D M y V B O W U x P C 9 J d G V t U G F 0 a D 4 8 L 0 l 0 Z W 1 M b 2 N h d G l v b j 4 8 U 3 R h Y m x l R W 5 0 c m l l c y A v P j w v S X R l b T 4 8 S X R l b T 4 8 S X R l b U x v Y 2 F 0 a W 9 u P j x J d G V t V H l w Z T 5 G b 3 J t d W x h P C 9 J d G V t V H l w Z T 4 8 S X R l b V B h d G g + U 2 V j d G l v b j E v V G F i b G V h d T k v U G V y c 2 9 u b m F s a X M l Q z M l Q T l l J T I w Y W p v d X Q l Q z M l Q T l l M j w v S X R l b V B h d G g + P C 9 J d G V t T G 9 j Y X R p b 2 4 + P F N 0 Y W J s Z U V u d H J p Z X M g L z 4 8 L 0 l 0 Z W 0 + P E l 0 Z W 0 + P E l 0 Z W 1 M b 2 N h d G l v b j 4 8 S X R l b V R 5 c G U + R m 9 y b X V s Y T w v S X R l b V R 5 c G U + P E l 0 Z W 1 Q Y X R o P l N l Y 3 R p b 2 4 x L 1 R h Y m x l Y X U 5 L 1 B l c n N v b m 5 h b G l z J U M z J U E 5 J T I w Z C V D M y V B O X Z l b G 9 w c C V D M y V B O T w v S X R l b V B h d G g + P C 9 J d G V t T G 9 j Y X R p b 2 4 + P F N 0 Y W J s Z U V u d H J p Z X M g L z 4 8 L 0 l 0 Z W 0 + P E l 0 Z W 0 + P E l 0 Z W 1 M b 2 N h d G l v b j 4 8 S X R l b V R 5 c G U + R m 9 y b X V s Y T w v S X R l b V R 5 c G U + P E l 0 Z W 1 Q Y X R o P l N l Y 3 R p b 2 4 x L 1 R h Y m x l Y X U 5 L 0 N v b G 9 u b m V z J T I w c 3 V w c H J p b S V D M y V B O W V z P C 9 J d G V t U G F 0 a D 4 8 L 0 l 0 Z W 1 M b 2 N h d G l v b j 4 8 U 3 R h Y m x l R W 5 0 c m l l c y A v P j w v S X R l b T 4 8 S X R l b T 4 8 S X R l b U x v Y 2 F 0 a W 9 u P j x J d G V t V H l w Z T 5 G b 3 J t d W x h P C 9 J d G V t V H l w Z T 4 8 S X R l b V B h d G g + U 2 V j d G l v b j E v V G F i X 0 N v b X B 0 Z X V y X z Q v Q 2 9 s b 2 5 u Z X M l M j B z d X B w c m l t J U M z J U E 5 Z X M x P C 9 J d G V t U G F 0 a D 4 8 L 0 l 0 Z W 1 M b 2 N h d G l v b j 4 8 U 3 R h Y m x l R W 5 0 c m l l c y A v P j w v S X R l b T 4 8 S X R l b T 4 8 S X R l b U x v Y 2 F 0 a W 9 u P j x J d G V t V H l w Z T 5 G b 3 J t d W x h P C 9 J d G V t V H l w Z T 4 8 S X R l b V B h d G g + U 2 V j d G l v b j E v V G F i X 0 N v b X B 0 Z X V y X z U v Q 2 9 s b 2 5 u Z X M l M j B z d X B w c m l t J U M z J U E 5 Z X M x P C 9 J d G V t U G F 0 a D 4 8 L 0 l 0 Z W 1 M b 2 N h d G l v b j 4 8 U 3 R h Y m x l R W 5 0 c m l l c y A v P j w v S X R l b T 4 8 S X R l b T 4 8 S X R l b U x v Y 2 F 0 a W 9 u P j x J d G V t V H l w Z T 5 G b 3 J t d W x h P C 9 J d G V t V H l w Z T 4 8 S X R l b V B h d G g + U 2 V j d G l v b j E v V G F i X 0 N v b X B 0 Z X V y X z Y v Q 2 9 s b 2 5 u Z X M l M j B z d X B w c m l t J U M z J U E 5 Z X M x P C 9 J d G V t U G F 0 a D 4 8 L 0 l 0 Z W 1 M b 2 N h d G l v b j 4 8 U 3 R h Y m x l R W 5 0 c m l l c y A v P j w v S X R l b T 4 8 S X R l b T 4 8 S X R l b U x v Y 2 F 0 a W 9 u P j x J d G V t V H l w Z T 5 G b 3 J t d W x h P C 9 J d G V t V H l w Z T 4 8 S X R l b V B h d G g + U 2 V j d G l v b j E v V G F i X 0 N v b X B 0 Z X V y X z c v Q 2 9 s b 2 5 u Z X M l M j B z d X B w c m l t J U M z J U E 5 Z X M x P C 9 J d G V t U G F 0 a D 4 8 L 0 l 0 Z W 1 M b 2 N h d G l v b j 4 8 U 3 R h Y m x l R W 5 0 c m l l c y A v P j w v S X R l b T 4 8 S X R l b T 4 8 S X R l b U x v Y 2 F 0 a W 9 u P j x J d G V t V H l w Z T 5 G b 3 J t d W x h P C 9 J d G V t V H l w Z T 4 8 S X R l b V B h d G g + U 2 V j d G l v b j E v V G F i X 0 N v b X B 0 Z X V y X z g v Q 2 9 s b 2 5 u Z X M l M j B z d X B w c m l t J U M z J U E 5 Z X M x P C 9 J d G V t U G F 0 a D 4 8 L 0 l 0 Z W 1 M b 2 N h d G l v b j 4 8 U 3 R h Y m x l R W 5 0 c m l l c y A v P j w v S X R l b T 4 8 S X R l b T 4 8 S X R l b U x v Y 2 F 0 a W 9 u P j x J d G V t V H l w Z T 5 G b 3 J t d W x h P C 9 J d G V t V H l w Z T 4 8 S X R l b V B h d G g + U 2 V j d G l v b j E v V G F i X 0 N v b X B 0 Z X V y X z M v Q 2 9 s b 2 5 u Z X M l M j B z d X B w c m l t J U M z J U E 5 Z X M x P C 9 J d G V t U G F 0 a D 4 8 L 0 l 0 Z W 1 M b 2 N h d G l v b j 4 8 U 3 R h Y m x l R W 5 0 c m l l c y A v P j w v S X R l b T 4 8 S X R l b T 4 8 S X R l b U x v Y 2 F 0 a W 9 u P j x J d G V t V H l w Z T 5 G b 3 J t d W x h P C 9 J d G V t V H l w Z T 4 8 S X R l b V B h d G g + U 2 V j d G l v b j E v V G F i b G V h d T k v Q 2 9 s b 2 5 u Z X M l M j B y Z W 5 v b W 0 l Q z M l Q T l l c z w v S X R l b V B h d G g + P C 9 J d G V t T G 9 j Y X R p b 2 4 + P F N 0 Y W J s Z U V u d H J p Z X M g L z 4 8 L 0 l 0 Z W 0 + P E l 0 Z W 0 + P E l 0 Z W 1 M b 2 N h d G l v b j 4 8 S X R l b V R 5 c G U + R m 9 y b X V s Y T w v S X R l b V R 5 c G U + P E l 0 Z W 1 Q Y X R o P l N l Y 3 R p b 2 4 x L 1 R h Y l 9 D b 2 1 w d G V 1 c l 8 y L 1 J l c X U l Q z M l Q U F 0 Z X M l M j B m d X N p b 2 5 u J U M z J U E 5 Z X M 8 L 0 l 0 Z W 1 Q Y X R o P j w v S X R l b U x v Y 2 F 0 a W 9 u P j x T d G F i b G V F b n R y a W V z I C 8 + P C 9 J d G V t P j x J d G V t P j x J d G V t T G 9 j Y X R p b 2 4 + P E l 0 Z W 1 U e X B l P k Z v c m 1 1 b G E 8 L 0 l 0 Z W 1 U e X B l P j x J d G V t U G F 0 a D 5 T Z W N 0 a W 9 u M S 9 U Y W J f Q 2 9 t c H R l d X J f M i 9 U Y W J s Z W F 1 O S U y M G Q l Q z M l Q T l 2 Z W x v c H A l Q z M l Q T k 8 L 0 l 0 Z W 1 Q Y X R o P j w v S X R l b U x v Y 2 F 0 a W 9 u P j x T d G F i b G V F b n R y a W V z I C 8 + P C 9 J d G V t P j x J d G V t P j x J d G V t T G 9 j Y X R p b 2 4 + P E l 0 Z W 1 U e X B l P k Z v c m 1 1 b G E 8 L 0 l 0 Z W 1 U e X B l P j x J d G V t U G F 0 a D 5 T Z W N 0 a W 9 u M S 9 U Y W J f Q 2 9 t c H R l d X J f M i 9 M a W d u Z X M l M j B m a W x 0 c i V D M y V B O W V z M j w v S X R l b V B h d G g + P C 9 J d G V t T G 9 j Y X R p b 2 4 + P F N 0 Y W J s Z U V u d H J p Z X M g L z 4 8 L 0 l 0 Z W 0 + P E l 0 Z W 0 + P E l 0 Z W 1 M b 2 N h d G l v b j 4 8 S X R l b V R 5 c G U + R m 9 y b X V s Y T w v S X R l b V R 5 c G U + P E l 0 Z W 1 Q Y X R o P l N l Y 3 R p b 2 4 x L 1 R h Y m x l Y X U 5 L 0 x p Z 2 5 l c y U y M G Z p b H R y J U M z J U E 5 Z X M 8 L 0 l 0 Z W 1 Q Y X R o P j w v S X R l b U x v Y 2 F 0 a W 9 u P j x T d G F i b G V F b n R y a W V z I C 8 + P C 9 J d G V t P j x J d G V t P j x J d G V t T G 9 j Y X R p b 2 4 + P E l 0 Z W 1 U e X B l P k Z v c m 1 1 b G E 8 L 0 l 0 Z W 1 U e X B l P j x J d G V t U G F 0 a D 5 T Z W N 0 a W 9 u M S 9 U Y W J s Z W F 1 O S 9 M a W d u Z X M l M j B m a W x 0 c i V D M y V B O W V z M T w v S X R l b V B h d G g + P C 9 J d G V t T G 9 j Y X R p b 2 4 + P F N 0 Y W J s Z U V u d H J p Z X M g L z 4 8 L 0 l 0 Z W 0 + P E l 0 Z W 0 + P E l 0 Z W 1 M b 2 N h d G l v b j 4 8 S X R l b V R 5 c G U + R m 9 y b X V s Y T w v S X R l b V R 5 c G U + P E l 0 Z W 1 Q Y X R o P l N l Y 3 R p b 2 4 x L 1 R h Y l 9 D b 2 1 w d G V 1 c l 8 z L 1 J l c X U l Q z M l Q U F 0 Z X M l M j B m d X N p b 2 5 u J U M z J U E 5 Z X M 8 L 0 l 0 Z W 1 Q Y X R o P j w v S X R l b U x v Y 2 F 0 a W 9 u P j x T d G F i b G V F b n R y a W V z I C 8 + P C 9 J d G V t P j x J d G V t P j x J d G V t T G 9 j Y X R p b 2 4 + P E l 0 Z W 1 U e X B l P k Z v c m 1 1 b G E 8 L 0 l 0 Z W 1 U e X B l P j x J d G V t U G F 0 a D 5 T Z W N 0 a W 9 u M S 9 U Y W J f Q 2 9 t c H R l d X J f M y 9 U Y W J s Z W F 1 O S U y M G Q l Q z M l Q T l 2 Z W x v c H A l Q z M l Q T k 8 L 0 l 0 Z W 1 Q Y X R o P j w v S X R l b U x v Y 2 F 0 a W 9 u P j x T d G F i b G V F b n R y a W V z I C 8 + P C 9 J d G V t P j x J d G V t P j x J d G V t T G 9 j Y X R p b 2 4 + P E l 0 Z W 1 U e X B l P k Z v c m 1 1 b G E 8 L 0 l 0 Z W 1 U e X B l P j x J d G V t U G F 0 a D 5 T Z W N 0 a W 9 u M S 9 U Y W J f Q 2 9 t c H R l d X J f N C 9 S Z X F 1 J U M z J U F B d G V z J T I w Z n V z a W 9 u b i V D M y V B O W V z P C 9 J d G V t U G F 0 a D 4 8 L 0 l 0 Z W 1 M b 2 N h d G l v b j 4 8 U 3 R h Y m x l R W 5 0 c m l l c y A v P j w v S X R l b T 4 8 S X R l b T 4 8 S X R l b U x v Y 2 F 0 a W 9 u P j x J d G V t V H l w Z T 5 G b 3 J t d W x h P C 9 J d G V t V H l w Z T 4 8 S X R l b V B h d G g + U 2 V j d G l v b j E v V G F i X 0 N v b X B 0 Z X V y X z Q v V G F i b G V h d T k l M j B k J U M z J U E 5 d m V s b 3 B w J U M z J U E 5 P C 9 J d G V t U G F 0 a D 4 8 L 0 l 0 Z W 1 M b 2 N h d G l v b j 4 8 U 3 R h Y m x l R W 5 0 c m l l c y A v P j w v S X R l b T 4 8 S X R l b T 4 8 S X R l b U x v Y 2 F 0 a W 9 u P j x J d G V t V H l w Z T 5 G b 3 J t d W x h P C 9 J d G V t V H l w Z T 4 8 S X R l b V B h d G g + U 2 V j d G l v b j E v V G F i X 0 N v b X B 0 Z X V y X z U v U m V x d S V D M y V B Q X R l c y U y M G Z 1 c 2 l v b m 4 l Q z M l Q T l l c z w v S X R l b V B h d G g + P C 9 J d G V t T G 9 j Y X R p b 2 4 + P F N 0 Y W J s Z U V u d H J p Z X M g L z 4 8 L 0 l 0 Z W 0 + P E l 0 Z W 0 + P E l 0 Z W 1 M b 2 N h d G l v b j 4 8 S X R l b V R 5 c G U + R m 9 y b X V s Y T w v S X R l b V R 5 c G U + P E l 0 Z W 1 Q Y X R o P l N l Y 3 R p b 2 4 x L 1 R h Y l 9 D b 2 1 w d G V 1 c l 8 1 L 1 R h Y m x l Y X U 5 J T I w Z C V D M y V B O X Z l b G 9 w c C V D M y V B O T w v S X R l b V B h d G g + P C 9 J d G V t T G 9 j Y X R p b 2 4 + P F N 0 Y W J s Z U V u d H J p Z X M g L z 4 8 L 0 l 0 Z W 0 + P E l 0 Z W 0 + P E l 0 Z W 1 M b 2 N h d G l v b j 4 8 S X R l b V R 5 c G U + R m 9 y b X V s Y T w v S X R l b V R 5 c G U + P E l 0 Z W 1 Q Y X R o P l N l Y 3 R p b 2 4 x L 1 R h Y l 9 D b 2 1 w d G V 1 c l 8 2 L 1 J l c X U l Q z M l Q U F 0 Z X M l M j B m d X N p b 2 5 u J U M z J U E 5 Z X M 8 L 0 l 0 Z W 1 Q Y X R o P j w v S X R l b U x v Y 2 F 0 a W 9 u P j x T d G F i b G V F b n R y a W V z I C 8 + P C 9 J d G V t P j x J d G V t P j x J d G V t T G 9 j Y X R p b 2 4 + P E l 0 Z W 1 U e X B l P k Z v c m 1 1 b G E 8 L 0 l 0 Z W 1 U e X B l P j x J d G V t U G F 0 a D 5 T Z W N 0 a W 9 u M S 9 U Y W J f Q 2 9 t c H R l d X J f N i 9 U Y W J s Z W F 1 O S U y M G Q l Q z M l Q T l 2 Z W x v c H A l Q z M l Q T k 8 L 0 l 0 Z W 1 Q Y X R o P j w v S X R l b U x v Y 2 F 0 a W 9 u P j x T d G F i b G V F b n R y a W V z I C 8 + P C 9 J d G V t P j x J d G V t P j x J d G V t T G 9 j Y X R p b 2 4 + P E l 0 Z W 1 U e X B l P k Z v c m 1 1 b G E 8 L 0 l 0 Z W 1 U e X B l P j x J d G V t U G F 0 a D 5 T Z W N 0 a W 9 u M S 9 U Y W J f Q 2 9 t c H R l d X J f N y 9 S Z X F 1 J U M z J U F B d G V z J T I w Z n V z a W 9 u b i V D M y V B O W V z P C 9 J d G V t U G F 0 a D 4 8 L 0 l 0 Z W 1 M b 2 N h d G l v b j 4 8 U 3 R h Y m x l R W 5 0 c m l l c y A v P j w v S X R l b T 4 8 S X R l b T 4 8 S X R l b U x v Y 2 F 0 a W 9 u P j x J d G V t V H l w Z T 5 G b 3 J t d W x h P C 9 J d G V t V H l w Z T 4 8 S X R l b V B h d G g + U 2 V j d G l v b j E v V G F i X 0 N v b X B 0 Z X V y X z c v V G F i b G V h d T k l M j B k J U M z J U E 5 d m V s b 3 B w J U M z J U E 5 P C 9 J d G V t U G F 0 a D 4 8 L 0 l 0 Z W 1 M b 2 N h d G l v b j 4 8 U 3 R h Y m x l R W 5 0 c m l l c y A v P j w v S X R l b T 4 8 S X R l b T 4 8 S X R l b U x v Y 2 F 0 a W 9 u P j x J d G V t V H l w Z T 5 G b 3 J t d W x h P C 9 J d G V t V H l w Z T 4 8 S X R l b V B h d G g + U 2 V j d G l v b j E v V G F i X 0 N v b X B 0 Z X V y X z g v U m V x d S V D M y V B Q X R l c y U y M G Z 1 c 2 l v b m 4 l Q z M l Q T l l c z w v S X R l b V B h d G g + P C 9 J d G V t T G 9 j Y X R p b 2 4 + P F N 0 Y W J s Z U V u d H J p Z X M g L z 4 8 L 0 l 0 Z W 0 + P E l 0 Z W 0 + P E l 0 Z W 1 M b 2 N h d G l v b j 4 8 S X R l b V R 5 c G U + R m 9 y b X V s Y T w v S X R l b V R 5 c G U + P E l 0 Z W 1 Q Y X R o P l N l Y 3 R p b 2 4 x L 1 R h Y l 9 D b 2 1 w d G V 1 c l 8 4 L 1 R h Y m x l Y X U 5 J T I w Z C V D M y V B O X Z l b G 9 w c C V D M y V B O T w v S X R l b V B h d G g + P C 9 J d G V t T G 9 j Y X R p b 2 4 + P F N 0 Y W J s Z U V u d H J p Z X M g L z 4 8 L 0 l 0 Z W 0 + P E l 0 Z W 0 + P E l 0 Z W 1 M b 2 N h d G l v b j 4 8 S X R l b V R 5 c G U + R m 9 y b X V s Y T w v S X R l b V R 5 c G U + P E l 0 Z W 1 Q Y X R o P l N l Y 3 R p b 2 4 x L 1 R h Y l 9 j b 2 5 j Y X Q v V H l w Z S U y M G 1 v Z G l m a S V D M y V B O T I 8 L 0 l 0 Z W 1 Q Y X R o P j w v S X R l b U x v Y 2 F 0 a W 9 u P j x T d G F i b G V F b n R y a W V z I C 8 + P C 9 J d G V t P j x J d G V t P j x J d G V t T G 9 j Y X R p b 2 4 + P E l 0 Z W 1 U e X B l P k Z v c m 1 1 b G E 8 L 0 l 0 Z W 1 U e X B l P j x J d G V t U G F 0 a D 5 T Z W N 0 a W 9 u M S 9 U Y W J f Y 2 9 u Y 2 F 0 L 1 J l c X U l Q z M l Q U F 0 Z X M l M j B m d X N p b 2 5 u J U M z J U E 5 Z X M 8 L 0 l 0 Z W 1 Q Y X R o P j w v S X R l b U x v Y 2 F 0 a W 9 u P j x T d G F i b G V F b n R y a W V z I C 8 + P C 9 J d G V t P j x J d G V t P j x J d G V t T G 9 j Y X R p b 2 4 + P E l 0 Z W 1 U e X B l P k Z v c m 1 1 b G E 8 L 0 l 0 Z W 1 U e X B l P j x J d G V t U G F 0 a D 5 T Z W N 0 a W 9 u M S 9 U Y W J f Y 2 9 u Y 2 F 0 L 1 R h Y m x l Y X U 5 J T I w Z C V D M y V B O X Z l b G 9 w c C V D M y V B O T w v S X R l b V B h d G g + P C 9 J d G V t T G 9 j Y X R p b 2 4 + P F N 0 Y W J s Z U V u d H J p Z X M g L z 4 8 L 0 l 0 Z W 0 + P E l 0 Z W 0 + P E l 0 Z W 1 M b 2 N h d G l v b j 4 8 S X R l b V R 5 c G U + R m 9 y b X V s Y T w v S X R l b V R 5 c G U + P E l 0 Z W 1 Q Y X R o P l N l Y 3 R p b 2 4 x L 1 R h Y l 9 j b 2 5 j Y X Q v U m V x d S V D M y V B Q X R l J T I w Y W p v d X Q l Q z M l Q T l l P C 9 J d G V t U G F 0 a D 4 8 L 0 l 0 Z W 1 M b 2 N h d G l v b j 4 8 U 3 R h Y m x l R W 5 0 c m l l c y A v P j w v S X R l b T 4 8 S X R l b T 4 8 S X R l b U x v Y 2 F 0 a W 9 u P j x J d G V t V H l w Z T 5 G b 3 J t d W x h P C 9 J d G V t V H l w Z T 4 8 S X R l b V B h d G g + U 2 V j d G l v b j E v V G F i X 2 N v b m N h d C 9 M a W d u Z X M l M j B m a W x 0 c i V D M y V B O W V z M T w v S X R l b V B h d G g + P C 9 J d G V t T G 9 j Y X R p b 2 4 + P F N 0 Y W J s Z U V u d H J p Z X M g L z 4 8 L 0 l 0 Z W 0 + P E l 0 Z W 0 + P E l 0 Z W 1 M b 2 N h d G l v b j 4 8 S X R l b V R 5 c G U + R m 9 y b X V s Y T w v S X R l b V R 5 c G U + P E l 0 Z W 1 Q Y X R o P l N l Y 3 R p b 2 4 x L 1 R h Y l 9 j b 2 5 j Y X Q v V H l w Z S U y M G 1 v Z G l m a S V D M y V B O T E 8 L 0 l 0 Z W 1 Q Y X R o P j w v S X R l b U x v Y 2 F 0 a W 9 u P j x T d G F i b G V F b n R y a W V z I C 8 + P C 9 J d G V t P j w v S X R l b X M + P C 9 M b 2 N h b F B h Y 2 t h Z 2 V N Z X R h Z G F 0 Y U Z p b G U + F g A A A F B L B Q Y A A A A A A A A A A A A A A A A A A A A A A A D a A A A A A Q A A A N C M n d 8 B F d E R j H o A w E / C l + s B A A A A 0 9 H Y G e V s F E 6 I A / A 9 v z R w M w A A A A A C A A A A A A A D Z g A A w A A A A B A A A A B r Q h L E V J 8 4 N e r / H W Q O l n i e A A A A A A S A A A C g A A A A E A A A A F i W F P Q D S S x y x F y f S Z N 5 x + h Q A A A A p M B m D o Q 2 w v W J o C F J U e e x P O M J 2 Y k w 5 1 8 G b N p i O h j a J l i h U w 0 9 n I O y b D 5 u z Q v v O k P z 6 B q r q I A + y l N U k 1 8 T N S F i V w y W G F u 8 L c y p d j A R P E z 9 D w w U A A A A t x a e s 8 p c m v k f L t g G 7 D f b U n 7 o a 9 w = < / D a t a M a s h u p > 
</file>

<file path=customXml/item25.xml>��< ? x m l   v e r s i o n = " 1 . 0 "   e n c o d i n g = " U T F - 1 6 " ? > < G e m i n i   x m l n s = " h t t p : / / g e m i n i / p i v o t c u s t o m i z a t i o n / a 1 6 1 e 7 8 0 - 7 2 3 f - 4 7 7 a - 8 e 7 0 - a 9 a b 8 e e 8 f d 7 3 " > < C u s t o m C o n t e n t > < ! [ C D A T A [ < ? x m l   v e r s i o n = " 1 . 0 "   e n c o d i n g = " u t f - 1 6 " ? > < S e t t i n g s > < C a l c u l a t e d F i e l d s > < i t e m > < M e a s u r e N a m e > C o n s o _ D J U < / M e a s u r e N a m e > < D i s p l a y N a m e > C o n s o _ D J U < / D i s p l a y N a m e > < V i s i b l e > F a l s e < / V i s i b l e > < / i t e m > < i t e m > < M e a s u r e N a m e > C o u t   U n i t a i r e   M o y e n < / M e a s u r e N a m e > < D i s p l a y N a m e > C o u t   U n i t a i r e   M o y e n < / D i s p l a y N a m e > < V i s i b l e > F a l s e < / V i s i b l e > < / i t e m > < / C a l c u l a t e d F i e l d s > < S A H o s t H a s h > 0 < / S A H o s t H a s h > < G e m i n i F i e l d L i s t V i s i b l e > T r u e < / G e m i n i F i e l d L i s t V i s i b l e > < / S e t t i n g s > ] ] > < / C u s t o m C o n t e n t > < / G e m i n i > 
</file>

<file path=customXml/item26.xml>��< ? x m l   v e r s i o n = " 1 . 0 "   e n c o d i n g = " U T F - 1 6 " ? > < G e m i n i   x m l n s = " h t t p : / / g e m i n i / p i v o t c u s t o m i z a t i o n / S a n d b o x N o n E m p t y " > < C u s t o m C o n t e n t > < ! [ C D A T A [ 1 ] ] > < / C u s t o m C o n t e n t > < / G e m i n i > 
</file>

<file path=customXml/item27.xml>��< ? x m l   v e r s i o n = " 1 . 0 "   e n c o d i n g = " U T F - 1 6 " ? > < G e m i n i   x m l n s = " h t t p : / / g e m i n i / p i v o t c u s t o m i z a t i o n / 2 3 4 1 6 6 b 8 - f 2 f 5 - 4 4 2 7 - b c b 1 - 2 7 9 e 1 f 3 d d 4 7 5 " > < C u s t o m C o n t e n t > < ! [ C D A T A [ < ? x m l   v e r s i o n = " 1 . 0 "   e n c o d i n g = " u t f - 1 6 " ? > < S e t t i n g s > < C a l c u l a t e d F i e l d s > < i t e m > < M e a s u r e N a m e > C o n s o _ D J U < / M e a s u r e N a m e > < D i s p l a y N a m e > C o n s o _ D J U < / D i s p l a y N a m e > < V i s i b l e > F a l s e < / V i s i b l e > < / i t e m > < i t e m > < M e a s u r e N a m e > C o u t   U n i t a i r e   M o y e n < / M e a s u r e N a m e > < D i s p l a y N a m e > C o u t   U n i t a i r e   M o y e n < / D i s p l a y N a m e > < V i s i b l e > F a l s e < / V i s i b l e > < / i t e m > < / C a l c u l a t e d F i e l d s > < S A H o s t H a s h > 0 < / S A H o s t H a s h > < G e m i n i F i e l d L i s t V i s i b l e > T r u e < / G e m i n i F i e l d L i s t V i s i b l e > < / S e t t i n g s > ] ] > < / C u s t o m C o n t e n t > < / G e m i n i > 
</file>

<file path=customXml/item28.xml>��< ? x m l   v e r s i o n = " 1 . 0 "   e n c o d i n g = " U T F - 1 6 " ? > < G e m i n i   x m l n s = " h t t p : / / g e m i n i / p i v o t c u s t o m i z a t i o n / T a b l e X M L _ T a b l e a u 1 6 " > < C u s t o m C o n t e n t > < ! [ C D A T A [ < T a b l e W i d g e t G r i d S e r i a l i z a t i o n   x m l n s : x s d = " h t t p : / / w w w . w 3 . o r g / 2 0 0 1 / X M L S c h e m a "   x m l n s : x s i = " h t t p : / / w w w . w 3 . o r g / 2 0 0 1 / X M L S c h e m a - i n s t a n c e " > < C o l u m n S u g g e s t e d T y p e   / > < C o l u m n F o r m a t   / > < C o l u m n A c c u r a c y   / > < C o l u m n C u r r e n c y S y m b o l   / > < C o l u m n P o s i t i v e P a t t e r n   / > < C o l u m n N e g a t i v e P a t t e r n   / > < C o l u m n W i d t h s > < i t e m > < k e y > < s t r i n g > C o m p t e u r / L i v r a i s o n < / s t r i n g > < / k e y > < v a l u e > < i n t > 3 0 6 < / i n t > < / v a l u e > < / i t e m > < i t e m > < k e y > < s t r i n g > T y p e < / s t r i n g > < / k e y > < v a l u e > < i n t > 1 2 2 < / i n t > < / v a l u e > < / i t e m > < i t e m > < k e y > < s t r i n g > S o u r c e < / s t r i n g > < / k e y > < v a l u e > < i n t > 1 4 7 < / i n t > < / v a l u e > < / i t e m > < i t e m > < k e y > < s t r i n g > D e t a i l   u s a g e < / s t r i n g > < / k e y > < v a l u e > < i n t > 2 1 2 < / i n t > < / v a l u e > < / i t e m > < i t e m > < k e y > < s t r i n g > C o m b u s t i b l e < / s t r i n g > < / k e y > < v a l u e > < i n t > 2 1 8 < / i n t > < / v a l u e > < / i t e m > < i t e m > < k e y > < s t r i n g > P C I < / s t r i n g > < / k e y > < v a l u e > < i n t > 1 0 3 < / i n t > < / v a l u e > < / i t e m > < i t e m > < k e y > < s t r i n g > P C I _ D E E T < / s t r i n g > < / k e y > < v a l u e > < i n t > 1 8 1 < / i n t > < / v a l u e > < / i t e m > < i t e m > < k e y > < s t r i n g > N o m < / s t r i n g > < / k e y > < v a l u e > < i n t > 1 8 0 < / i n t > < / v a l u e > < / i t e m > < i t e m > < k e y > < s t r i n g > P C I _ E P < / s t r i n g > < / k e y > < v a l u e > < i n t > 1 4 9 < / i n t > < / v a l u e > < / i t e m > < / C o l u m n W i d t h s > < C o l u m n D i s p l a y I n d e x > < i t e m > < k e y > < s t r i n g > C o m p t e u r / L i v r a i s o n < / s t r i n g > < / k e y > < v a l u e > < i n t > 0 < / i n t > < / v a l u e > < / i t e m > < i t e m > < k e y > < s t r i n g > T y p e < / s t r i n g > < / k e y > < v a l u e > < i n t > 1 < / i n t > < / v a l u e > < / i t e m > < i t e m > < k e y > < s t r i n g > S o u r c e < / s t r i n g > < / k e y > < v a l u e > < i n t > 2 < / i n t > < / v a l u e > < / i t e m > < i t e m > < k e y > < s t r i n g > D e t a i l   u s a g e < / s t r i n g > < / k e y > < v a l u e > < i n t > 3 < / i n t > < / v a l u e > < / i t e m > < i t e m > < k e y > < s t r i n g > C o m b u s t i b l e < / s t r i n g > < / k e y > < v a l u e > < i n t > 4 < / i n t > < / v a l u e > < / i t e m > < i t e m > < k e y > < s t r i n g > P C I < / s t r i n g > < / k e y > < v a l u e > < i n t > 5 < / i n t > < / v a l u e > < / i t e m > < i t e m > < k e y > < s t r i n g > P C I _ D E E T < / s t r i n g > < / k e y > < v a l u e > < i n t > 6 < / i n t > < / v a l u e > < / i t e m > < i t e m > < k e y > < s t r i n g > N o m < / s t r i n g > < / k e y > < v a l u e > < i n t > 7 < / i n t > < / v a l u e > < / i t e m > < i t e m > < k e y > < s t r i n g > P C I _ E P < / s t r i n g > < / k e y > < v a l u e > < i n t > 8 < / 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 T a b l e a u 1 6 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 T a b l e a u 1 6 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 C o l u m n s \ C o m p t e u r / L i v r a i s o n < / K e y > < / D i a g r a m O b j e c t K e y > < D i a g r a m O b j e c t K e y > < K e y > C o l u m n s \ T y p e < / K e y > < / D i a g r a m O b j e c t K e y > < D i a g r a m O b j e c t K e y > < K e y > C o l u m n s \ S o u r c e < / K e y > < / D i a g r a m O b j e c t K e y > < D i a g r a m O b j e c t K e y > < K e y > C o l u m n s \ D e t a i l   u s a g e < / K e y > < / D i a g r a m O b j e c t K e y > < D i a g r a m O b j e c t K e y > < K e y > C o l u m n s \ C o m b u s t i b l e < / K e y > < / D i a g r a m O b j e c t K e y > < D i a g r a m O b j e c t K e y > < K e y > C o l u m n s \ P C I < / K e y > < / D i a g r a m O b j e c t K e y > < D i a g r a m O b j e c t K e y > < K e y > C o l u m n s \ P C I _ D E E T < / K e y > < / D i a g r a m O b j e c t K e y > < D i a g r a m O b j e c t K e y > < K e y > C o l u m n s \ N o m < / K e y > < / D i a g r a m O b j e c t K e y > < D i a g r a m O b j e c t K e y > < K e y > C o l u m n s \ P C I _ E P 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 C o l u m n s \ C o m p t e u r / L i v r a i s o n < / K e y > < / a : K e y > < a : V a l u e   i : t y p e = " M e a s u r e G r i d N o d e V i e w S t a t e " > < L a y e d O u t > t r u e < / L a y e d O u t > < / a : V a l u e > < / a : K e y V a l u e O f D i a g r a m O b j e c t K e y a n y T y p e z b w N T n L X > < a : K e y V a l u e O f D i a g r a m O b j e c t K e y a n y T y p e z b w N T n L X > < a : K e y > < K e y > C o l u m n s \ T y p e < / K e y > < / a : K e y > < a : V a l u e   i : t y p e = " M e a s u r e G r i d N o d e V i e w S t a t e " > < C o l u m n > 1 < / C o l u m n > < L a y e d O u t > t r u e < / L a y e d O u t > < / a : V a l u e > < / a : K e y V a l u e O f D i a g r a m O b j e c t K e y a n y T y p e z b w N T n L X > < a : K e y V a l u e O f D i a g r a m O b j e c t K e y a n y T y p e z b w N T n L X > < a : K e y > < K e y > C o l u m n s \ S o u r c e < / K e y > < / a : K e y > < a : V a l u e   i : t y p e = " M e a s u r e G r i d N o d e V i e w S t a t e " > < C o l u m n > 2 < / C o l u m n > < L a y e d O u t > t r u e < / L a y e d O u t > < / a : V a l u e > < / a : K e y V a l u e O f D i a g r a m O b j e c t K e y a n y T y p e z b w N T n L X > < a : K e y V a l u e O f D i a g r a m O b j e c t K e y a n y T y p e z b w N T n L X > < a : K e y > < K e y > C o l u m n s \ D e t a i l   u s a g e < / K e y > < / a : K e y > < a : V a l u e   i : t y p e = " M e a s u r e G r i d N o d e V i e w S t a t e " > < C o l u m n > 3 < / C o l u m n > < L a y e d O u t > t r u e < / L a y e d O u t > < / a : V a l u e > < / a : K e y V a l u e O f D i a g r a m O b j e c t K e y a n y T y p e z b w N T n L X > < a : K e y V a l u e O f D i a g r a m O b j e c t K e y a n y T y p e z b w N T n L X > < a : K e y > < K e y > C o l u m n s \ C o m b u s t i b l e < / K e y > < / a : K e y > < a : V a l u e   i : t y p e = " M e a s u r e G r i d N o d e V i e w S t a t e " > < C o l u m n > 4 < / C o l u m n > < L a y e d O u t > t r u e < / L a y e d O u t > < / a : V a l u e > < / a : K e y V a l u e O f D i a g r a m O b j e c t K e y a n y T y p e z b w N T n L X > < a : K e y V a l u e O f D i a g r a m O b j e c t K e y a n y T y p e z b w N T n L X > < a : K e y > < K e y > C o l u m n s \ P C I < / K e y > < / a : K e y > < a : V a l u e   i : t y p e = " M e a s u r e G r i d N o d e V i e w S t a t e " > < C o l u m n > 5 < / C o l u m n > < L a y e d O u t > t r u e < / L a y e d O u t > < / a : V a l u e > < / a : K e y V a l u e O f D i a g r a m O b j e c t K e y a n y T y p e z b w N T n L X > < a : K e y V a l u e O f D i a g r a m O b j e c t K e y a n y T y p e z b w N T n L X > < a : K e y > < K e y > C o l u m n s \ P C I _ D E E T < / K e y > < / a : K e y > < a : V a l u e   i : t y p e = " M e a s u r e G r i d N o d e V i e w S t a t e " > < C o l u m n > 6 < / C o l u m n > < L a y e d O u t > t r u e < / L a y e d O u t > < / a : V a l u e > < / a : K e y V a l u e O f D i a g r a m O b j e c t K e y a n y T y p e z b w N T n L X > < a : K e y V a l u e O f D i a g r a m O b j e c t K e y a n y T y p e z b w N T n L X > < a : K e y > < K e y > C o l u m n s \ N o m < / K e y > < / a : K e y > < a : V a l u e   i : t y p e = " M e a s u r e G r i d N o d e V i e w S t a t e " > < C o l u m n > 7 < / C o l u m n > < L a y e d O u t > t r u e < / L a y e d O u t > < / a : V a l u e > < / a : K e y V a l u e O f D i a g r a m O b j e c t K e y a n y T y p e z b w N T n L X > < a : K e y V a l u e O f D i a g r a m O b j e c t K e y a n y T y p e z b w N T n L X > < a : K e y > < K e y > C o l u m n s \ P C I _ E P < / K e y > < / a : K e y > < a : V a l u e   i : t y p e = " M e a s u r e G r i d N o d e V i e w S t a t e " > < C o l u m n > 8 < / 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 T a g s \ T a b l e s \ & l t ; T a b l e s \ T a b _ c o n c a t & g t ; < / K e y > < / D i a g r a m O b j e c t K e y > < D i a g r a m O b j e c t K e y > < K e y > D y n a m i c   T a g s \ T a b l e s \ & l t ; T a b l e s \ T a b l e a u 1 6 & g t ; < / K e y > < / D i a g r a m O b j e c t K e y > < D i a g r a m O b j e c t K e y > < K e y > T a b l e s \ T a b _ c o n c a t < / K e y > < / D i a g r a m O b j e c t K e y > < D i a g r a m O b j e c t K e y > < K e y > T a b l e s \ T a b _ c o n c a t \ C o l u m n s \ C o m p t e u r < / K e y > < / D i a g r a m O b j e c t K e y > < D i a g r a m O b j e c t K e y > < K e y > T a b l e s \ T a b _ c o n c a t \ C o l u m n s \ D a t e s < / K e y > < / D i a g r a m O b j e c t K e y > < D i a g r a m O b j e c t K e y > < K e y > T a b l e s \ T a b _ c o n c a t \ C o l u m n s \ D e m a n d e _ j o u r < / K e y > < / D i a g r a m O b j e c t K e y > < D i a g r a m O b j e c t K e y > < K e y > T a b l e s \ T a b _ c o n c a t \ C o l u m n s \ C o u t _ j o u r < / K e y > < / D i a g r a m O b j e c t K e y > < D i a g r a m O b j e c t K e y > < K e y > T a b l e s \ T a b _ c o n c a t \ C o l u m n s \ D J U _ c h a u f f a g i s t e < / K e y > < / D i a g r a m O b j e c t K e y > < D i a g r a m O b j e c t K e y > < K e y > T a b l e s \ T a b _ c o n c a t \ C o l u m n s \ D J U _ c l i m a t i c i e n < / K e y > < / D i a g r a m O b j e c t K e y > < D i a g r a m O b j e c t K e y > < K e y > T a b l e s \ T a b _ c o n c a t \ C o l u m n s \ C o l o n n e 2 < / K e y > < / D i a g r a m O b j e c t K e y > < D i a g r a m O b j e c t K e y > < K e y > T a b l e s \ T a b _ c o n c a t \ C o l u m n s \ T y p e < / K e y > < / D i a g r a m O b j e c t K e y > < D i a g r a m O b j e c t K e y > < K e y > T a b l e s \ T a b _ c o n c a t \ C o l u m n s \ S o u r c e < / K e y > < / D i a g r a m O b j e c t K e y > < D i a g r a m O b j e c t K e y > < K e y > T a b l e s \ T a b _ c o n c a t \ C o l u m n s \ C o m b u s t i b l e < / K e y > < / D i a g r a m O b j e c t K e y > < D i a g r a m O b j e c t K e y > < K e y > T a b l e s \ T a b _ c o n c a t \ C o l u m n s \ C o n s o _ k W h _ P C I < / K e y > < / D i a g r a m O b j e c t K e y > < D i a g r a m O b j e c t K e y > < K e y > T a b l e s \ T a b _ c o n c a t \ C o l u m n s \ C o n s o _ k W h _ D E E T < / K e y > < / D i a g r a m O b j e c t K e y > < D i a g r a m O b j e c t K e y > < K e y > T a b l e s \ T a b _ c o n c a t \ C o l u m n s \ N o m < / K e y > < / D i a g r a m O b j e c t K e y > < D i a g r a m O b j e c t K e y > < K e y > T a b l e s \ T a b _ c o n c a t \ C o l u m n s \ D e t a i l   u s a g e < / K e y > < / D i a g r a m O b j e c t K e y > < D i a g r a m O b j e c t K e y > < K e y > T a b l e s \ T a b _ c o n c a t \ C o l u m n s \ C o n s o _ k W h E P < / K e y > < / D i a g r a m O b j e c t K e y > < D i a g r a m O b j e c t K e y > < K e y > T a b l e s \ T a b _ c o n c a t \ C o l u m n s \ A n n e e < / K e y > < / D i a g r a m O b j e c t K e y > < D i a g r a m O b j e c t K e y > < K e y > T a b l e s \ T a b _ c o n c a t \ C o l u m n s \ M o i s < / K e y > < / D i a g r a m O b j e c t K e y > < D i a g r a m O b j e c t K e y > < K e y > T a b l e s \ T a b _ c o n c a t \ C o l u m n s \ C o u t _ u n i t a i r e < / K e y > < / D i a g r a m O b j e c t K e y > < D i a g r a m O b j e c t K e y > < K e y > T a b l e s \ T a b _ c o n c a t \ C o l u m n s \ D a t e s   ( a n n � e ) < / K e y > < / D i a g r a m O b j e c t K e y > < D i a g r a m O b j e c t K e y > < K e y > T a b l e s \ T a b _ c o n c a t \ C o l u m n s \ D a t e s   ( t r i m e s t r e ) < / K e y > < / D i a g r a m O b j e c t K e y > < D i a g r a m O b j e c t K e y > < K e y > T a b l e s \ T a b _ c o n c a t \ C o l u m n s \ D a t e s   ( i n d e x   d e s   m o i s ) < / K e y > < / D i a g r a m O b j e c t K e y > < D i a g r a m O b j e c t K e y > < K e y > T a b l e s \ T a b _ c o n c a t \ C o l u m n s \ D a t e s   ( m o i s ) < / K e y > < / D i a g r a m O b j e c t K e y > < D i a g r a m O b j e c t K e y > < K e y > T a b l e s \ T a b _ c o n c a t \ C o l u m n s \ D J U _ q u o t _ c h a u f f a g i s t e < / K e y > < / D i a g r a m O b j e c t K e y > < D i a g r a m O b j e c t K e y > < K e y > T a b l e s \ T a b _ c o n c a t \ C o l u m n s \ D J U _ q u o t _ c l i m a t i c i e n < / K e y > < / D i a g r a m O b j e c t K e y > < D i a g r a m O b j e c t K e y > < K e y > T a b l e s \ T a b _ c o n c a t \ M e a s u r e s \ C o n s o _ D J U < / K e y > < / D i a g r a m O b j e c t K e y > < D i a g r a m O b j e c t K e y > < K e y > T a b l e s \ T a b _ c o n c a t \ M e a s u r e s \ S o m m e   d e   C o n s o _ k W h _ P C I < / K e y > < / D i a g r a m O b j e c t K e y > < D i a g r a m O b j e c t K e y > < K e y > T a b l e s \ T a b _ c o n c a t \ S o m m e   d e   C o n s o _ k W h _ P C I \ A d d i t i o n a l   I n f o \ M e s u r e   i m p l i c i t e < / K e y > < / D i a g r a m O b j e c t K e y > < D i a g r a m O b j e c t K e y > < K e y > T a b l e s \ T a b _ c o n c a t \ M e a s u r e s \ S o m m e   d e   C o n s o _ k W h _ D E E T < / K e y > < / D i a g r a m O b j e c t K e y > < D i a g r a m O b j e c t K e y > < K e y > T a b l e s \ T a b _ c o n c a t \ S o m m e   d e   C o n s o _ k W h _ D E E T \ A d d i t i o n a l   I n f o \ M e s u r e   i m p l i c i t e < / K e y > < / D i a g r a m O b j e c t K e y > < D i a g r a m O b j e c t K e y > < K e y > T a b l e s \ T a b _ c o n c a t \ M e a s u r e s \ S o m m e   d e   C o u t _ j o u r < / K e y > < / D i a g r a m O b j e c t K e y > < D i a g r a m O b j e c t K e y > < K e y > T a b l e s \ T a b _ c o n c a t \ S o m m e   d e   C o u t _ j o u r \ A d d i t i o n a l   I n f o \ M e s u r e   i m p l i c i t e < / K e y > < / D i a g r a m O b j e c t K e y > < D i a g r a m O b j e c t K e y > < K e y > T a b l e s \ T a b _ c o n c a t \ M e a s u r e s \ S o m m e   d e   C o n s o _ k W h E P < / K e y > < / D i a g r a m O b j e c t K e y > < D i a g r a m O b j e c t K e y > < K e y > T a b l e s \ T a b _ c o n c a t \ S o m m e   d e   C o n s o _ k W h E P \ A d d i t i o n a l   I n f o \ M e s u r e   i m p l i c i t e < / K e y > < / D i a g r a m O b j e c t K e y > < D i a g r a m O b j e c t K e y > < K e y > T a b l e s \ T a b _ c o n c a t \ M e a s u r e s \ S o m m e   d e   D e m a n d e _ j o u r < / K e y > < / D i a g r a m O b j e c t K e y > < D i a g r a m O b j e c t K e y > < K e y > T a b l e s \ T a b _ c o n c a t \ S o m m e   d e   D e m a n d e _ j o u r \ A d d i t i o n a l   I n f o \ M e s u r e   i m p l i c i t e < / K e y > < / D i a g r a m O b j e c t K e y > < D i a g r a m O b j e c t K e y > < K e y > T a b l e s \ T a b _ c o n c a t \ M e a s u r e s \ M o y e n n e   d e   C o n s o _ k W h _ P C I < / K e y > < / D i a g r a m O b j e c t K e y > < D i a g r a m O b j e c t K e y > < K e y > T a b l e s \ T a b _ c o n c a t \ M o y e n n e   d e   C o n s o _ k W h _ P C I \ A d d i t i o n a l   I n f o \ M e s u r e   i m p l i c i t e < / K e y > < / D i a g r a m O b j e c t K e y > < D i a g r a m O b j e c t K e y > < K e y > T a b l e s \ T a b _ c o n c a t \ M e a s u r e s \ M o y e n n e   d e   C o n s o _ k W h _ D E E T < / K e y > < / D i a g r a m O b j e c t K e y > < D i a g r a m O b j e c t K e y > < K e y > T a b l e s \ T a b _ c o n c a t \ M o y e n n e   d e   C o n s o _ k W h _ D E E T \ A d d i t i o n a l   I n f o \ M e s u r e   i m p l i c i t e < / K e y > < / D i a g r a m O b j e c t K e y > < D i a g r a m O b j e c t K e y > < K e y > T a b l e s \ T a b _ c o n c a t \ M e a s u r e s \ S o m m e   d e   C o u t _ u n i t a i r e < / K e y > < / D i a g r a m O b j e c t K e y > < D i a g r a m O b j e c t K e y > < K e y > T a b l e s \ T a b _ c o n c a t \ S o m m e   d e   C o u t _ u n i t a i r e \ A d d i t i o n a l   I n f o \ M e s u r e   i m p l i c i t e < / K e y > < / D i a g r a m O b j e c t K e y > < D i a g r a m O b j e c t K e y > < K e y > T a b l e s \ T a b _ c o n c a t \ M e a s u r e s \ S o m m e   d e   D J U _ q u o t _ c h a u f f a g i s t e < / K e y > < / D i a g r a m O b j e c t K e y > < D i a g r a m O b j e c t K e y > < K e y > T a b l e s \ T a b _ c o n c a t \ S o m m e   d e   D J U _ q u o t _ c h a u f f a g i s t e \ A d d i t i o n a l   I n f o \ M e s u r e   i m p l i c i t e < / K e y > < / D i a g r a m O b j e c t K e y > < D i a g r a m O b j e c t K e y > < K e y > T a b l e s \ T a b _ c o n c a t \ M e a s u r e s \ M o y e n n e   d e   C o u t _ u n i t a i r e < / K e y > < / D i a g r a m O b j e c t K e y > < D i a g r a m O b j e c t K e y > < K e y > T a b l e s \ T a b _ c o n c a t \ M o y e n n e   d e   C o u t _ u n i t a i r e \ A d d i t i o n a l   I n f o \ M e s u r e   i m p l i c i t e < / K e y > < / D i a g r a m O b j e c t K e y > < D i a g r a m O b j e c t K e y > < K e y > T a b l e s \ T a b l e a u 1 6 < / K e y > < / D i a g r a m O b j e c t K e y > < D i a g r a m O b j e c t K e y > < K e y > T a b l e s \ T a b l e a u 1 6 \ C o l u m n s \ C o m p t e u r / L i v r a i s o n < / K e y > < / D i a g r a m O b j e c t K e y > < D i a g r a m O b j e c t K e y > < K e y > T a b l e s \ T a b l e a u 1 6 \ C o l u m n s \ T y p e < / K e y > < / D i a g r a m O b j e c t K e y > < D i a g r a m O b j e c t K e y > < K e y > T a b l e s \ T a b l e a u 1 6 \ C o l u m n s \ S o u r c e < / K e y > < / D i a g r a m O b j e c t K e y > < D i a g r a m O b j e c t K e y > < K e y > T a b l e s \ T a b l e a u 1 6 \ C o l u m n s \ D e t a i l   u s a g e < / K e y > < / D i a g r a m O b j e c t K e y > < D i a g r a m O b j e c t K e y > < K e y > T a b l e s \ T a b l e a u 1 6 \ C o l u m n s \ C o m b u s t i b l e < / K e y > < / D i a g r a m O b j e c t K e y > < D i a g r a m O b j e c t K e y > < K e y > T a b l e s \ T a b l e a u 1 6 \ C o l u m n s \ P C I < / K e y > < / D i a g r a m O b j e c t K e y > < D i a g r a m O b j e c t K e y > < K e y > T a b l e s \ T a b l e a u 1 6 \ C o l u m n s \ P C I _ D E E T < / K e y > < / D i a g r a m O b j e c t K e y > < D i a g r a m O b j e c t K e y > < K e y > T a b l e s \ T a b l e a u 1 6 \ C o l u m n s \ N o m < / K e y > < / D i a g r a m O b j e c t K e y > < D i a g r a m O b j e c t K e y > < K e y > T a b l e s \ T a b l e a u 1 6 \ C o l u m n s \ P C I _ E P < / K e y > < / D i a g r a m O b j e c t K e y > < D i a g r a m O b j e c t K e y > < K e y > R e l a t i o n s h i p s \ & l t ; T a b l e s \ T a b _ c o n c a t \ C o l u m n s \ C o m p t e u r & g t ; - & l t ; T a b l e s \ T a b l e a u 1 6 \ C o l u m n s \ C o m p t e u r / L i v r a i s o n & g t ; < / K e y > < / D i a g r a m O b j e c t K e y > < D i a g r a m O b j e c t K e y > < K e y > R e l a t i o n s h i p s \ & l t ; T a b l e s \ T a b _ c o n c a t \ C o l u m n s \ C o m p t e u r & g t ; - & l t ; T a b l e s \ T a b l e a u 1 6 \ C o l u m n s \ C o m p t e u r / L i v r a i s o n & g t ; \ F K < / K e y > < / D i a g r a m O b j e c t K e y > < D i a g r a m O b j e c t K e y > < K e y > R e l a t i o n s h i p s \ & l t ; T a b l e s \ T a b _ c o n c a t \ C o l u m n s \ C o m p t e u r & g t ; - & l t ; T a b l e s \ T a b l e a u 1 6 \ C o l u m n s \ C o m p t e u r / L i v r a i s o n & g t ; \ P K < / K e y > < / D i a g r a m O b j e c t K e y > < D i a g r a m O b j e c t K e y > < K e y > R e l a t i o n s h i p s \ & l t ; T a b l e s \ T a b _ c o n c a t \ C o l u m n s \ C o m p t e u r & g t ; - & l t ; T a b l e s \ T a b l e a u 1 6 \ C o l u m n s \ C o m p t e u r / L i v r a i s o n & g t ; \ C r o s s F i l t e r < / K e y > < / D i a g r a m O b j e c t K e y > < / A l l K e y s > < S e l e c t e d K e y s > < D i a g r a m O b j e c t K e y > < K e y > T a b l e s \ T a b _ c o n c a t \ C o l u m n s \ C o u t _ u n i t a i r e 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 T a g s \ T a b l e s \ & l t ; T a b l e s \ T a b _ c o n c a t & g t ; < / K e y > < / a : K e y > < a : V a l u e   i : t y p e = " D i a g r a m D i s p l a y T a g V i e w S t a t e " > < I s N o t F i l t e r e d O u t > t r u e < / I s N o t F i l t e r e d O u t > < / a : V a l u e > < / a : K e y V a l u e O f D i a g r a m O b j e c t K e y a n y T y p e z b w N T n L X > < a : K e y V a l u e O f D i a g r a m O b j e c t K e y a n y T y p e z b w N T n L X > < a : K e y > < K e y > D y n a m i c   T a g s \ T a b l e s \ & l t ; T a b l e s \ T a b l e a u 1 6 & g t ; < / K e y > < / a : K e y > < a : V a l u e   i : t y p e = " D i a g r a m D i s p l a y T a g V i e w S t a t e " > < I s N o t F i l t e r e d O u t > t r u e < / I s N o t F i l t e r e d O u t > < / a : V a l u e > < / a : K e y V a l u e O f D i a g r a m O b j e c t K e y a n y T y p e z b w N T n L X > < a : K e y V a l u e O f D i a g r a m O b j e c t K e y a n y T y p e z b w N T n L X > < a : K e y > < K e y > T a b l e s \ T a b _ c o n c a t < / K e y > < / a : K e y > < a : V a l u e   i : t y p e = " D i a g r a m D i s p l a y N o d e V i e w S t a t e " > < H e i g h t > 1 5 0 < / H e i g h t > < I s E x p a n d e d > t r u e < / I s E x p a n d e d > < L a y e d O u t > t r u e < / L a y e d O u t > < S c r o l l V e r t i c a l O f f s e t > 3 6 8 < / S c r o l l V e r t i c a l O f f s e t > < W i d t h > 2 0 0 < / W i d t h > < / a : V a l u e > < / a : K e y V a l u e O f D i a g r a m O b j e c t K e y a n y T y p e z b w N T n L X > < a : K e y V a l u e O f D i a g r a m O b j e c t K e y a n y T y p e z b w N T n L X > < a : K e y > < K e y > T a b l e s \ T a b _ c o n c a t \ C o l u m n s \ C o m p t e u r < / K e y > < / a : K e y > < a : V a l u e   i : t y p e = " D i a g r a m D i s p l a y N o d e V i e w S t a t e " > < H e i g h t > 1 5 0 < / H e i g h t > < I s E x p a n d e d > t r u e < / I s E x p a n d e d > < W i d t h > 2 0 0 < / W i d t h > < / a : V a l u e > < / a : K e y V a l u e O f D i a g r a m O b j e c t K e y a n y T y p e z b w N T n L X > < a : K e y V a l u e O f D i a g r a m O b j e c t K e y a n y T y p e z b w N T n L X > < a : K e y > < K e y > T a b l e s \ T a b _ c o n c a t \ C o l u m n s \ D a t e s < / K e y > < / a : K e y > < a : V a l u e   i : t y p e = " D i a g r a m D i s p l a y N o d e V i e w S t a t e " > < H e i g h t > 1 5 0 < / H e i g h t > < I s E x p a n d e d > t r u e < / I s E x p a n d e d > < W i d t h > 2 0 0 < / W i d t h > < / a : V a l u e > < / a : K e y V a l u e O f D i a g r a m O b j e c t K e y a n y T y p e z b w N T n L X > < a : K e y V a l u e O f D i a g r a m O b j e c t K e y a n y T y p e z b w N T n L X > < a : K e y > < K e y > T a b l e s \ T a b _ c o n c a t \ C o l u m n s \ D e m a n d e _ j o u r < / K e y > < / a : K e y > < a : V a l u e   i : t y p e = " D i a g r a m D i s p l a y N o d e V i e w S t a t e " > < H e i g h t > 1 5 0 < / H e i g h t > < I s E x p a n d e d > t r u e < / I s E x p a n d e d > < W i d t h > 2 0 0 < / W i d t h > < / a : V a l u e > < / a : K e y V a l u e O f D i a g r a m O b j e c t K e y a n y T y p e z b w N T n L X > < a : K e y V a l u e O f D i a g r a m O b j e c t K e y a n y T y p e z b w N T n L X > < a : K e y > < K e y > T a b l e s \ T a b _ c o n c a t \ C o l u m n s \ C o u t _ j o u r < / K e y > < / a : K e y > < a : V a l u e   i : t y p e = " D i a g r a m D i s p l a y N o d e V i e w S t a t e " > < H e i g h t > 1 5 0 < / H e i g h t > < I s E x p a n d e d > t r u e < / I s E x p a n d e d > < W i d t h > 2 0 0 < / W i d t h > < / a : V a l u e > < / a : K e y V a l u e O f D i a g r a m O b j e c t K e y a n y T y p e z b w N T n L X > < a : K e y V a l u e O f D i a g r a m O b j e c t K e y a n y T y p e z b w N T n L X > < a : K e y > < K e y > T a b l e s \ T a b _ c o n c a t \ C o l u m n s \ D J U _ c h a u f f a g i s t e < / K e y > < / a : K e y > < a : V a l u e   i : t y p e = " D i a g r a m D i s p l a y N o d e V i e w S t a t e " > < H e i g h t > 1 5 0 < / H e i g h t > < I s E x p a n d e d > t r u e < / I s E x p a n d e d > < W i d t h > 2 0 0 < / W i d t h > < / a : V a l u e > < / a : K e y V a l u e O f D i a g r a m O b j e c t K e y a n y T y p e z b w N T n L X > < a : K e y V a l u e O f D i a g r a m O b j e c t K e y a n y T y p e z b w N T n L X > < a : K e y > < K e y > T a b l e s \ T a b _ c o n c a t \ C o l u m n s \ D J U _ c l i m a t i c i e n < / K e y > < / a : K e y > < a : V a l u e   i : t y p e = " D i a g r a m D i s p l a y N o d e V i e w S t a t e " > < H e i g h t > 1 5 0 < / H e i g h t > < I s E x p a n d e d > t r u e < / I s E x p a n d e d > < W i d t h > 2 0 0 < / W i d t h > < / a : V a l u e > < / a : K e y V a l u e O f D i a g r a m O b j e c t K e y a n y T y p e z b w N T n L X > < a : K e y V a l u e O f D i a g r a m O b j e c t K e y a n y T y p e z b w N T n L X > < a : K e y > < K e y > T a b l e s \ T a b _ c o n c a t \ C o l u m n s \ C o l o n n e 2 < / K e y > < / a : K e y > < a : V a l u e   i : t y p e = " D i a g r a m D i s p l a y N o d e V i e w S t a t e " > < H e i g h t > 1 5 0 < / H e i g h t > < I s E x p a n d e d > t r u e < / I s E x p a n d e d > < W i d t h > 2 0 0 < / W i d t h > < / a : V a l u e > < / a : K e y V a l u e O f D i a g r a m O b j e c t K e y a n y T y p e z b w N T n L X > < a : K e y V a l u e O f D i a g r a m O b j e c t K e y a n y T y p e z b w N T n L X > < a : K e y > < K e y > T a b l e s \ T a b _ c o n c a t \ C o l u m n s \ T y p e < / K e y > < / a : K e y > < a : V a l u e   i : t y p e = " D i a g r a m D i s p l a y N o d e V i e w S t a t e " > < H e i g h t > 1 5 0 < / H e i g h t > < I s E x p a n d e d > t r u e < / I s E x p a n d e d > < W i d t h > 2 0 0 < / W i d t h > < / a : V a l u e > < / a : K e y V a l u e O f D i a g r a m O b j e c t K e y a n y T y p e z b w N T n L X > < a : K e y V a l u e O f D i a g r a m O b j e c t K e y a n y T y p e z b w N T n L X > < a : K e y > < K e y > T a b l e s \ T a b _ c o n c a t \ C o l u m n s \ S o u r c e < / K e y > < / a : K e y > < a : V a l u e   i : t y p e = " D i a g r a m D i s p l a y N o d e V i e w S t a t e " > < H e i g h t > 1 5 0 < / H e i g h t > < I s E x p a n d e d > t r u e < / I s E x p a n d e d > < W i d t h > 2 0 0 < / W i d t h > < / a : V a l u e > < / a : K e y V a l u e O f D i a g r a m O b j e c t K e y a n y T y p e z b w N T n L X > < a : K e y V a l u e O f D i a g r a m O b j e c t K e y a n y T y p e z b w N T n L X > < a : K e y > < K e y > T a b l e s \ T a b _ c o n c a t \ C o l u m n s \ C o m b u s t i b l e < / K e y > < / a : K e y > < a : V a l u e   i : t y p e = " D i a g r a m D i s p l a y N o d e V i e w S t a t e " > < H e i g h t > 1 5 0 < / H e i g h t > < I s E x p a n d e d > t r u e < / I s E x p a n d e d > < W i d t h > 2 0 0 < / W i d t h > < / a : V a l u e > < / a : K e y V a l u e O f D i a g r a m O b j e c t K e y a n y T y p e z b w N T n L X > < a : K e y V a l u e O f D i a g r a m O b j e c t K e y a n y T y p e z b w N T n L X > < a : K e y > < K e y > T a b l e s \ T a b _ c o n c a t \ C o l u m n s \ C o n s o _ k W h _ P C I < / K e y > < / a : K e y > < a : V a l u e   i : t y p e = " D i a g r a m D i s p l a y N o d e V i e w S t a t e " > < H e i g h t > 1 5 0 < / H e i g h t > < I s E x p a n d e d > t r u e < / I s E x p a n d e d > < W i d t h > 2 0 0 < / W i d t h > < / a : V a l u e > < / a : K e y V a l u e O f D i a g r a m O b j e c t K e y a n y T y p e z b w N T n L X > < a : K e y V a l u e O f D i a g r a m O b j e c t K e y a n y T y p e z b w N T n L X > < a : K e y > < K e y > T a b l e s \ T a b _ c o n c a t \ C o l u m n s \ C o n s o _ k W h _ D E E T < / K e y > < / a : K e y > < a : V a l u e   i : t y p e = " D i a g r a m D i s p l a y N o d e V i e w S t a t e " > < H e i g h t > 1 5 0 < / H e i g h t > < I s E x p a n d e d > t r u e < / I s E x p a n d e d > < W i d t h > 2 0 0 < / W i d t h > < / a : V a l u e > < / a : K e y V a l u e O f D i a g r a m O b j e c t K e y a n y T y p e z b w N T n L X > < a : K e y V a l u e O f D i a g r a m O b j e c t K e y a n y T y p e z b w N T n L X > < a : K e y > < K e y > T a b l e s \ T a b _ c o n c a t \ C o l u m n s \ N o m < / K e y > < / a : K e y > < a : V a l u e   i : t y p e = " D i a g r a m D i s p l a y N o d e V i e w S t a t e " > < H e i g h t > 1 5 0 < / H e i g h t > < I s E x p a n d e d > t r u e < / I s E x p a n d e d > < W i d t h > 2 0 0 < / W i d t h > < / a : V a l u e > < / a : K e y V a l u e O f D i a g r a m O b j e c t K e y a n y T y p e z b w N T n L X > < a : K e y V a l u e O f D i a g r a m O b j e c t K e y a n y T y p e z b w N T n L X > < a : K e y > < K e y > T a b l e s \ T a b _ c o n c a t \ C o l u m n s \ D e t a i l   u s a g e < / K e y > < / a : K e y > < a : V a l u e   i : t y p e = " D i a g r a m D i s p l a y N o d e V i e w S t a t e " > < H e i g h t > 1 5 0 < / H e i g h t > < I s E x p a n d e d > t r u e < / I s E x p a n d e d > < W i d t h > 2 0 0 < / W i d t h > < / a : V a l u e > < / a : K e y V a l u e O f D i a g r a m O b j e c t K e y a n y T y p e z b w N T n L X > < a : K e y V a l u e O f D i a g r a m O b j e c t K e y a n y T y p e z b w N T n L X > < a : K e y > < K e y > T a b l e s \ T a b _ c o n c a t \ C o l u m n s \ C o n s o _ k W h E P < / K e y > < / a : K e y > < a : V a l u e   i : t y p e = " D i a g r a m D i s p l a y N o d e V i e w S t a t e " > < H e i g h t > 1 5 0 < / H e i g h t > < I s E x p a n d e d > t r u e < / I s E x p a n d e d > < W i d t h > 2 0 0 < / W i d t h > < / a : V a l u e > < / a : K e y V a l u e O f D i a g r a m O b j e c t K e y a n y T y p e z b w N T n L X > < a : K e y V a l u e O f D i a g r a m O b j e c t K e y a n y T y p e z b w N T n L X > < a : K e y > < K e y > T a b l e s \ T a b _ c o n c a t \ C o l u m n s \ A n n e e < / K e y > < / a : K e y > < a : V a l u e   i : t y p e = " D i a g r a m D i s p l a y N o d e V i e w S t a t e " > < H e i g h t > 1 5 0 < / H e i g h t > < I s E x p a n d e d > t r u e < / I s E x p a n d e d > < W i d t h > 2 0 0 < / W i d t h > < / a : V a l u e > < / a : K e y V a l u e O f D i a g r a m O b j e c t K e y a n y T y p e z b w N T n L X > < a : K e y V a l u e O f D i a g r a m O b j e c t K e y a n y T y p e z b w N T n L X > < a : K e y > < K e y > T a b l e s \ T a b _ c o n c a t \ C o l u m n s \ M o i s < / K e y > < / a : K e y > < a : V a l u e   i : t y p e = " D i a g r a m D i s p l a y N o d e V i e w S t a t e " > < H e i g h t > 1 5 0 < / H e i g h t > < I s E x p a n d e d > t r u e < / I s E x p a n d e d > < W i d t h > 2 0 0 < / W i d t h > < / a : V a l u e > < / a : K e y V a l u e O f D i a g r a m O b j e c t K e y a n y T y p e z b w N T n L X > < a : K e y V a l u e O f D i a g r a m O b j e c t K e y a n y T y p e z b w N T n L X > < a : K e y > < K e y > T a b l e s \ T a b _ c o n c a t \ C o l u m n s \ C o u t _ u n i t a i r e < / K e y > < / a : K e y > < a : V a l u e   i : t y p e = " D i a g r a m D i s p l a y N o d e V i e w S t a t e " > < H e i g h t > 1 5 0 < / H e i g h t > < I s E x p a n d e d > t r u e < / I s E x p a n d e d > < W i d t h > 2 0 0 < / W i d t h > < / a : V a l u e > < / a : K e y V a l u e O f D i a g r a m O b j e c t K e y a n y T y p e z b w N T n L X > < a : K e y V a l u e O f D i a g r a m O b j e c t K e y a n y T y p e z b w N T n L X > < a : K e y > < K e y > T a b l e s \ T a b _ c o n c a t \ C o l u m n s \ D a t e s   ( a n n � e ) < / K e y > < / a : K e y > < a : V a l u e   i : t y p e = " D i a g r a m D i s p l a y N o d e V i e w S t a t e " > < H e i g h t > 1 5 0 < / H e i g h t > < I s E x p a n d e d > t r u e < / I s E x p a n d e d > < W i d t h > 2 0 0 < / W i d t h > < / a : V a l u e > < / a : K e y V a l u e O f D i a g r a m O b j e c t K e y a n y T y p e z b w N T n L X > < a : K e y V a l u e O f D i a g r a m O b j e c t K e y a n y T y p e z b w N T n L X > < a : K e y > < K e y > T a b l e s \ T a b _ c o n c a t \ C o l u m n s \ D a t e s   ( t r i m e s t r e ) < / K e y > < / a : K e y > < a : V a l u e   i : t y p e = " D i a g r a m D i s p l a y N o d e V i e w S t a t e " > < H e i g h t > 1 5 0 < / H e i g h t > < I s E x p a n d e d > t r u e < / I s E x p a n d e d > < W i d t h > 2 0 0 < / W i d t h > < / a : V a l u e > < / a : K e y V a l u e O f D i a g r a m O b j e c t K e y a n y T y p e z b w N T n L X > < a : K e y V a l u e O f D i a g r a m O b j e c t K e y a n y T y p e z b w N T n L X > < a : K e y > < K e y > T a b l e s \ T a b _ c o n c a t \ C o l u m n s \ D a t e s   ( i n d e x   d e s   m o i s ) < / K e y > < / a : K e y > < a : V a l u e   i : t y p e = " D i a g r a m D i s p l a y N o d e V i e w S t a t e " > < H e i g h t > 1 5 0 < / H e i g h t > < I s E x p a n d e d > t r u e < / I s E x p a n d e d > < W i d t h > 2 0 0 < / W i d t h > < / a : V a l u e > < / a : K e y V a l u e O f D i a g r a m O b j e c t K e y a n y T y p e z b w N T n L X > < a : K e y V a l u e O f D i a g r a m O b j e c t K e y a n y T y p e z b w N T n L X > < a : K e y > < K e y > T a b l e s \ T a b _ c o n c a t \ C o l u m n s \ D a t e s   ( m o i s ) < / K e y > < / a : K e y > < a : V a l u e   i : t y p e = " D i a g r a m D i s p l a y N o d e V i e w S t a t e " > < H e i g h t > 1 5 0 < / H e i g h t > < I s E x p a n d e d > t r u e < / I s E x p a n d e d > < W i d t h > 2 0 0 < / W i d t h > < / a : V a l u e > < / a : K e y V a l u e O f D i a g r a m O b j e c t K e y a n y T y p e z b w N T n L X > < a : K e y V a l u e O f D i a g r a m O b j e c t K e y a n y T y p e z b w N T n L X > < a : K e y > < K e y > T a b l e s \ T a b _ c o n c a t \ C o l u m n s \ D J U _ q u o t _ c h a u f f a g i s t e < / K e y > < / a : K e y > < a : V a l u e   i : t y p e = " D i a g r a m D i s p l a y N o d e V i e w S t a t e " > < H e i g h t > 1 5 0 < / H e i g h t > < I s E x p a n d e d > t r u e < / I s E x p a n d e d > < W i d t h > 2 0 0 < / W i d t h > < / a : V a l u e > < / a : K e y V a l u e O f D i a g r a m O b j e c t K e y a n y T y p e z b w N T n L X > < a : K e y V a l u e O f D i a g r a m O b j e c t K e y a n y T y p e z b w N T n L X > < a : K e y > < K e y > T a b l e s \ T a b _ c o n c a t \ C o l u m n s \ D J U _ q u o t _ c l i m a t i c i e n < / K e y > < / a : K e y > < a : V a l u e   i : t y p e = " D i a g r a m D i s p l a y N o d e V i e w S t a t e " > < H e i g h t > 1 5 0 < / H e i g h t > < I s E x p a n d e d > t r u e < / I s E x p a n d e d > < W i d t h > 2 0 0 < / W i d t h > < / a : V a l u e > < / a : K e y V a l u e O f D i a g r a m O b j e c t K e y a n y T y p e z b w N T n L X > < a : K e y V a l u e O f D i a g r a m O b j e c t K e y a n y T y p e z b w N T n L X > < a : K e y > < K e y > T a b l e s \ T a b _ c o n c a t \ M e a s u r e s \ C o n s o _ D J U < / K e y > < / a : K e y > < a : V a l u e   i : t y p e = " D i a g r a m D i s p l a y N o d e V i e w S t a t e " > < H e i g h t > 1 5 0 < / H e i g h t > < I s E x p a n d e d > t r u e < / I s E x p a n d e d > < W i d t h > 2 0 0 < / W i d t h > < / a : V a l u e > < / a : K e y V a l u e O f D i a g r a m O b j e c t K e y a n y T y p e z b w N T n L X > < a : K e y V a l u e O f D i a g r a m O b j e c t K e y a n y T y p e z b w N T n L X > < a : K e y > < K e y > T a b l e s \ T a b _ c o n c a t \ M e a s u r e s \ S o m m e   d e   C o n s o _ k W h _ P C I < / K e y > < / a : K e y > < a : V a l u e   i : t y p e = " D i a g r a m D i s p l a y N o d e V i e w S t a t e " > < H e i g h t > 1 5 0 < / H e i g h t > < I s E x p a n d e d > t r u e < / I s E x p a n d e d > < W i d t h > 2 0 0 < / W i d t h > < / a : V a l u e > < / a : K e y V a l u e O f D i a g r a m O b j e c t K e y a n y T y p e z b w N T n L X > < a : K e y V a l u e O f D i a g r a m O b j e c t K e y a n y T y p e z b w N T n L X > < a : K e y > < K e y > T a b l e s \ T a b _ c o n c a t \ S o m m e   d e   C o n s o _ k W h _ P C I \ A d d i t i o n a l   I n f o \ M e s u r e   i m p l i c i t e < / K e y > < / a : K e y > < a : V a l u e   i : t y p e = " D i a g r a m D i s p l a y V i e w S t a t e I D i a g r a m T a g A d d i t i o n a l I n f o " / > < / a : K e y V a l u e O f D i a g r a m O b j e c t K e y a n y T y p e z b w N T n L X > < a : K e y V a l u e O f D i a g r a m O b j e c t K e y a n y T y p e z b w N T n L X > < a : K e y > < K e y > T a b l e s \ T a b _ c o n c a t \ M e a s u r e s \ S o m m e   d e   C o n s o _ k W h _ D E E T < / K e y > < / a : K e y > < a : V a l u e   i : t y p e = " D i a g r a m D i s p l a y N o d e V i e w S t a t e " > < H e i g h t > 1 5 0 < / H e i g h t > < I s E x p a n d e d > t r u e < / I s E x p a n d e d > < W i d t h > 2 0 0 < / W i d t h > < / a : V a l u e > < / a : K e y V a l u e O f D i a g r a m O b j e c t K e y a n y T y p e z b w N T n L X > < a : K e y V a l u e O f D i a g r a m O b j e c t K e y a n y T y p e z b w N T n L X > < a : K e y > < K e y > T a b l e s \ T a b _ c o n c a t \ S o m m e   d e   C o n s o _ k W h _ D E E T \ A d d i t i o n a l   I n f o \ M e s u r e   i m p l i c i t e < / K e y > < / a : K e y > < a : V a l u e   i : t y p e = " D i a g r a m D i s p l a y V i e w S t a t e I D i a g r a m T a g A d d i t i o n a l I n f o " / > < / a : K e y V a l u e O f D i a g r a m O b j e c t K e y a n y T y p e z b w N T n L X > < a : K e y V a l u e O f D i a g r a m O b j e c t K e y a n y T y p e z b w N T n L X > < a : K e y > < K e y > T a b l e s \ T a b _ c o n c a t \ M e a s u r e s \ S o m m e   d e   C o u t _ j o u r < / K e y > < / a : K e y > < a : V a l u e   i : t y p e = " D i a g r a m D i s p l a y N o d e V i e w S t a t e " > < H e i g h t > 1 5 0 < / H e i g h t > < I s E x p a n d e d > t r u e < / I s E x p a n d e d > < W i d t h > 2 0 0 < / W i d t h > < / a : V a l u e > < / a : K e y V a l u e O f D i a g r a m O b j e c t K e y a n y T y p e z b w N T n L X > < a : K e y V a l u e O f D i a g r a m O b j e c t K e y a n y T y p e z b w N T n L X > < a : K e y > < K e y > T a b l e s \ T a b _ c o n c a t \ S o m m e   d e   C o u t _ j o u r \ A d d i t i o n a l   I n f o \ M e s u r e   i m p l i c i t e < / K e y > < / a : K e y > < a : V a l u e   i : t y p e = " D i a g r a m D i s p l a y V i e w S t a t e I D i a g r a m T a g A d d i t i o n a l I n f o " / > < / a : K e y V a l u e O f D i a g r a m O b j e c t K e y a n y T y p e z b w N T n L X > < a : K e y V a l u e O f D i a g r a m O b j e c t K e y a n y T y p e z b w N T n L X > < a : K e y > < K e y > T a b l e s \ T a b _ c o n c a t \ M e a s u r e s \ S o m m e   d e   C o n s o _ k W h E P < / K e y > < / a : K e y > < a : V a l u e   i : t y p e = " D i a g r a m D i s p l a y N o d e V i e w S t a t e " > < H e i g h t > 1 5 0 < / H e i g h t > < I s E x p a n d e d > t r u e < / I s E x p a n d e d > < W i d t h > 2 0 0 < / W i d t h > < / a : V a l u e > < / a : K e y V a l u e O f D i a g r a m O b j e c t K e y a n y T y p e z b w N T n L X > < a : K e y V a l u e O f D i a g r a m O b j e c t K e y a n y T y p e z b w N T n L X > < a : K e y > < K e y > T a b l e s \ T a b _ c o n c a t \ S o m m e   d e   C o n s o _ k W h E P \ A d d i t i o n a l   I n f o \ M e s u r e   i m p l i c i t e < / K e y > < / a : K e y > < a : V a l u e   i : t y p e = " D i a g r a m D i s p l a y V i e w S t a t e I D i a g r a m T a g A d d i t i o n a l I n f o " / > < / a : K e y V a l u e O f D i a g r a m O b j e c t K e y a n y T y p e z b w N T n L X > < a : K e y V a l u e O f D i a g r a m O b j e c t K e y a n y T y p e z b w N T n L X > < a : K e y > < K e y > T a b l e s \ T a b _ c o n c a t \ M e a s u r e s \ S o m m e   d e   D e m a n d e _ j o u r < / K e y > < / a : K e y > < a : V a l u e   i : t y p e = " D i a g r a m D i s p l a y N o d e V i e w S t a t e " > < H e i g h t > 1 5 0 < / H e i g h t > < I s E x p a n d e d > t r u e < / I s E x p a n d e d > < W i d t h > 2 0 0 < / W i d t h > < / a : V a l u e > < / a : K e y V a l u e O f D i a g r a m O b j e c t K e y a n y T y p e z b w N T n L X > < a : K e y V a l u e O f D i a g r a m O b j e c t K e y a n y T y p e z b w N T n L X > < a : K e y > < K e y > T a b l e s \ T a b _ c o n c a t \ S o m m e   d e   D e m a n d e _ j o u r \ A d d i t i o n a l   I n f o \ M e s u r e   i m p l i c i t e < / K e y > < / a : K e y > < a : V a l u e   i : t y p e = " D i a g r a m D i s p l a y V i e w S t a t e I D i a g r a m T a g A d d i t i o n a l I n f o " / > < / a : K e y V a l u e O f D i a g r a m O b j e c t K e y a n y T y p e z b w N T n L X > < a : K e y V a l u e O f D i a g r a m O b j e c t K e y a n y T y p e z b w N T n L X > < a : K e y > < K e y > T a b l e s \ T a b _ c o n c a t \ M e a s u r e s \ M o y e n n e   d e   C o n s o _ k W h _ P C I < / K e y > < / a : K e y > < a : V a l u e   i : t y p e = " D i a g r a m D i s p l a y N o d e V i e w S t a t e " > < H e i g h t > 1 5 0 < / H e i g h t > < I s E x p a n d e d > t r u e < / I s E x p a n d e d > < W i d t h > 2 0 0 < / W i d t h > < / a : V a l u e > < / a : K e y V a l u e O f D i a g r a m O b j e c t K e y a n y T y p e z b w N T n L X > < a : K e y V a l u e O f D i a g r a m O b j e c t K e y a n y T y p e z b w N T n L X > < a : K e y > < K e y > T a b l e s \ T a b _ c o n c a t \ M o y e n n e   d e   C o n s o _ k W h _ P C I \ A d d i t i o n a l   I n f o \ M e s u r e   i m p l i c i t e < / K e y > < / a : K e y > < a : V a l u e   i : t y p e = " D i a g r a m D i s p l a y V i e w S t a t e I D i a g r a m T a g A d d i t i o n a l I n f o " / > < / a : K e y V a l u e O f D i a g r a m O b j e c t K e y a n y T y p e z b w N T n L X > < a : K e y V a l u e O f D i a g r a m O b j e c t K e y a n y T y p e z b w N T n L X > < a : K e y > < K e y > T a b l e s \ T a b _ c o n c a t \ M e a s u r e s \ M o y e n n e   d e   C o n s o _ k W h _ D E E T < / K e y > < / a : K e y > < a : V a l u e   i : t y p e = " D i a g r a m D i s p l a y N o d e V i e w S t a t e " > < H e i g h t > 1 5 0 < / H e i g h t > < I s E x p a n d e d > t r u e < / I s E x p a n d e d > < W i d t h > 2 0 0 < / W i d t h > < / a : V a l u e > < / a : K e y V a l u e O f D i a g r a m O b j e c t K e y a n y T y p e z b w N T n L X > < a : K e y V a l u e O f D i a g r a m O b j e c t K e y a n y T y p e z b w N T n L X > < a : K e y > < K e y > T a b l e s \ T a b _ c o n c a t \ M o y e n n e   d e   C o n s o _ k W h _ D E E T \ A d d i t i o n a l   I n f o \ M e s u r e   i m p l i c i t e < / K e y > < / a : K e y > < a : V a l u e   i : t y p e = " D i a g r a m D i s p l a y V i e w S t a t e I D i a g r a m T a g A d d i t i o n a l I n f o " / > < / a : K e y V a l u e O f D i a g r a m O b j e c t K e y a n y T y p e z b w N T n L X > < a : K e y V a l u e O f D i a g r a m O b j e c t K e y a n y T y p e z b w N T n L X > < a : K e y > < K e y > T a b l e s \ T a b _ c o n c a t \ M e a s u r e s \ S o m m e   d e   C o u t _ u n i t a i r e < / K e y > < / a : K e y > < a : V a l u e   i : t y p e = " D i a g r a m D i s p l a y N o d e V i e w S t a t e " > < H e i g h t > 1 5 0 < / H e i g h t > < I s E x p a n d e d > t r u e < / I s E x p a n d e d > < W i d t h > 2 0 0 < / W i d t h > < / a : V a l u e > < / a : K e y V a l u e O f D i a g r a m O b j e c t K e y a n y T y p e z b w N T n L X > < a : K e y V a l u e O f D i a g r a m O b j e c t K e y a n y T y p e z b w N T n L X > < a : K e y > < K e y > T a b l e s \ T a b _ c o n c a t \ S o m m e   d e   C o u t _ u n i t a i r e \ A d d i t i o n a l   I n f o \ M e s u r e   i m p l i c i t e < / K e y > < / a : K e y > < a : V a l u e   i : t y p e = " D i a g r a m D i s p l a y V i e w S t a t e I D i a g r a m T a g A d d i t i o n a l I n f o " / > < / a : K e y V a l u e O f D i a g r a m O b j e c t K e y a n y T y p e z b w N T n L X > < a : K e y V a l u e O f D i a g r a m O b j e c t K e y a n y T y p e z b w N T n L X > < a : K e y > < K e y > T a b l e s \ T a b _ c o n c a t \ M e a s u r e s \ S o m m e   d e   D J U _ q u o t _ c h a u f f a g i s t e < / K e y > < / a : K e y > < a : V a l u e   i : t y p e = " D i a g r a m D i s p l a y N o d e V i e w S t a t e " > < H e i g h t > 1 5 0 < / H e i g h t > < I s E x p a n d e d > t r u e < / I s E x p a n d e d > < W i d t h > 2 0 0 < / W i d t h > < / a : V a l u e > < / a : K e y V a l u e O f D i a g r a m O b j e c t K e y a n y T y p e z b w N T n L X > < a : K e y V a l u e O f D i a g r a m O b j e c t K e y a n y T y p e z b w N T n L X > < a : K e y > < K e y > T a b l e s \ T a b _ c o n c a t \ S o m m e   d e   D J U _ q u o t _ c h a u f f a g i s t e \ A d d i t i o n a l   I n f o \ M e s u r e   i m p l i c i t e < / K e y > < / a : K e y > < a : V a l u e   i : t y p e = " D i a g r a m D i s p l a y V i e w S t a t e I D i a g r a m T a g A d d i t i o n a l I n f o " / > < / a : K e y V a l u e O f D i a g r a m O b j e c t K e y a n y T y p e z b w N T n L X > < a : K e y V a l u e O f D i a g r a m O b j e c t K e y a n y T y p e z b w N T n L X > < a : K e y > < K e y > T a b l e s \ T a b _ c o n c a t \ M e a s u r e s \ M o y e n n e   d e   C o u t _ u n i t a i r e < / K e y > < / a : K e y > < a : V a l u e   i : t y p e = " D i a g r a m D i s p l a y N o d e V i e w S t a t e " > < H e i g h t > 1 5 0 < / H e i g h t > < I s E x p a n d e d > t r u e < / I s E x p a n d e d > < W i d t h > 2 0 0 < / W i d t h > < / a : V a l u e > < / a : K e y V a l u e O f D i a g r a m O b j e c t K e y a n y T y p e z b w N T n L X > < a : K e y V a l u e O f D i a g r a m O b j e c t K e y a n y T y p e z b w N T n L X > < a : K e y > < K e y > T a b l e s \ T a b _ c o n c a t \ M o y e n n e   d e   C o u t _ u n i t a i r e \ A d d i t i o n a l   I n f o \ M e s u r e   i m p l i c i t e < / K e y > < / a : K e y > < a : V a l u e   i : t y p e = " D i a g r a m D i s p l a y V i e w S t a t e I D i a g r a m T a g A d d i t i o n a l I n f o " / > < / a : K e y V a l u e O f D i a g r a m O b j e c t K e y a n y T y p e z b w N T n L X > < a : K e y V a l u e O f D i a g r a m O b j e c t K e y a n y T y p e z b w N T n L X > < a : K e y > < K e y > T a b l e s \ T a b l e a u 1 6 < / K e y > < / a : K e y > < a : V a l u e   i : t y p e = " D i a g r a m D i s p l a y N o d e V i e w S t a t e " > < H e i g h t > 1 5 0 < / H e i g h t > < I s E x p a n d e d > t r u e < / I s E x p a n d e d > < L a y e d O u t > t r u e < / L a y e d O u t > < L e f t > 3 2 9 . 9 0 3 8 1 0 5 6 7 6 6 5 8 < / L e f t > < T a b I n d e x > 1 < / T a b I n d e x > < W i d t h > 2 0 0 < / W i d t h > < / a : V a l u e > < / a : K e y V a l u e O f D i a g r a m O b j e c t K e y a n y T y p e z b w N T n L X > < a : K e y V a l u e O f D i a g r a m O b j e c t K e y a n y T y p e z b w N T n L X > < a : K e y > < K e y > T a b l e s \ T a b l e a u 1 6 \ C o l u m n s \ C o m p t e u r / L i v r a i s o n < / K e y > < / a : K e y > < a : V a l u e   i : t y p e = " D i a g r a m D i s p l a y N o d e V i e w S t a t e " > < H e i g h t > 1 5 0 < / H e i g h t > < I s E x p a n d e d > t r u e < / I s E x p a n d e d > < W i d t h > 2 0 0 < / W i d t h > < / a : V a l u e > < / a : K e y V a l u e O f D i a g r a m O b j e c t K e y a n y T y p e z b w N T n L X > < a : K e y V a l u e O f D i a g r a m O b j e c t K e y a n y T y p e z b w N T n L X > < a : K e y > < K e y > T a b l e s \ T a b l e a u 1 6 \ C o l u m n s \ T y p e < / K e y > < / a : K e y > < a : V a l u e   i : t y p e = " D i a g r a m D i s p l a y N o d e V i e w S t a t e " > < H e i g h t > 1 5 0 < / H e i g h t > < I s E x p a n d e d > t r u e < / I s E x p a n d e d > < W i d t h > 2 0 0 < / W i d t h > < / a : V a l u e > < / a : K e y V a l u e O f D i a g r a m O b j e c t K e y a n y T y p e z b w N T n L X > < a : K e y V a l u e O f D i a g r a m O b j e c t K e y a n y T y p e z b w N T n L X > < a : K e y > < K e y > T a b l e s \ T a b l e a u 1 6 \ C o l u m n s \ S o u r c e < / K e y > < / a : K e y > < a : V a l u e   i : t y p e = " D i a g r a m D i s p l a y N o d e V i e w S t a t e " > < H e i g h t > 1 5 0 < / H e i g h t > < I s E x p a n d e d > t r u e < / I s E x p a n d e d > < W i d t h > 2 0 0 < / W i d t h > < / a : V a l u e > < / a : K e y V a l u e O f D i a g r a m O b j e c t K e y a n y T y p e z b w N T n L X > < a : K e y V a l u e O f D i a g r a m O b j e c t K e y a n y T y p e z b w N T n L X > < a : K e y > < K e y > T a b l e s \ T a b l e a u 1 6 \ C o l u m n s \ D e t a i l   u s a g e < / K e y > < / a : K e y > < a : V a l u e   i : t y p e = " D i a g r a m D i s p l a y N o d e V i e w S t a t e " > < H e i g h t > 1 5 0 < / H e i g h t > < I s E x p a n d e d > t r u e < / I s E x p a n d e d > < W i d t h > 2 0 0 < / W i d t h > < / a : V a l u e > < / a : K e y V a l u e O f D i a g r a m O b j e c t K e y a n y T y p e z b w N T n L X > < a : K e y V a l u e O f D i a g r a m O b j e c t K e y a n y T y p e z b w N T n L X > < a : K e y > < K e y > T a b l e s \ T a b l e a u 1 6 \ C o l u m n s \ C o m b u s t i b l e < / K e y > < / a : K e y > < a : V a l u e   i : t y p e = " D i a g r a m D i s p l a y N o d e V i e w S t a t e " > < H e i g h t > 1 5 0 < / H e i g h t > < I s E x p a n d e d > t r u e < / I s E x p a n d e d > < W i d t h > 2 0 0 < / W i d t h > < / a : V a l u e > < / a : K e y V a l u e O f D i a g r a m O b j e c t K e y a n y T y p e z b w N T n L X > < a : K e y V a l u e O f D i a g r a m O b j e c t K e y a n y T y p e z b w N T n L X > < a : K e y > < K e y > T a b l e s \ T a b l e a u 1 6 \ C o l u m n s \ P C I < / K e y > < / a : K e y > < a : V a l u e   i : t y p e = " D i a g r a m D i s p l a y N o d e V i e w S t a t e " > < H e i g h t > 1 5 0 < / H e i g h t > < I s E x p a n d e d > t r u e < / I s E x p a n d e d > < W i d t h > 2 0 0 < / W i d t h > < / a : V a l u e > < / a : K e y V a l u e O f D i a g r a m O b j e c t K e y a n y T y p e z b w N T n L X > < a : K e y V a l u e O f D i a g r a m O b j e c t K e y a n y T y p e z b w N T n L X > < a : K e y > < K e y > T a b l e s \ T a b l e a u 1 6 \ C o l u m n s \ P C I _ D E E T < / K e y > < / a : K e y > < a : V a l u e   i : t y p e = " D i a g r a m D i s p l a y N o d e V i e w S t a t e " > < H e i g h t > 1 5 0 < / H e i g h t > < I s E x p a n d e d > t r u e < / I s E x p a n d e d > < W i d t h > 2 0 0 < / W i d t h > < / a : V a l u e > < / a : K e y V a l u e O f D i a g r a m O b j e c t K e y a n y T y p e z b w N T n L X > < a : K e y V a l u e O f D i a g r a m O b j e c t K e y a n y T y p e z b w N T n L X > < a : K e y > < K e y > T a b l e s \ T a b l e a u 1 6 \ C o l u m n s \ N o m < / K e y > < / a : K e y > < a : V a l u e   i : t y p e = " D i a g r a m D i s p l a y N o d e V i e w S t a t e " > < H e i g h t > 1 5 0 < / H e i g h t > < I s E x p a n d e d > t r u e < / I s E x p a n d e d > < W i d t h > 2 0 0 < / W i d t h > < / a : V a l u e > < / a : K e y V a l u e O f D i a g r a m O b j e c t K e y a n y T y p e z b w N T n L X > < a : K e y V a l u e O f D i a g r a m O b j e c t K e y a n y T y p e z b w N T n L X > < a : K e y > < K e y > T a b l e s \ T a b l e a u 1 6 \ C o l u m n s \ P C I _ E P < / K e y > < / a : K e y > < a : V a l u e   i : t y p e = " D i a g r a m D i s p l a y N o d e V i e w S t a t e " > < H e i g h t > 1 5 0 < / H e i g h t > < I s E x p a n d e d > t r u e < / I s E x p a n d e d > < W i d t h > 2 0 0 < / W i d t h > < / a : V a l u e > < / a : K e y V a l u e O f D i a g r a m O b j e c t K e y a n y T y p e z b w N T n L X > < a : K e y V a l u e O f D i a g r a m O b j e c t K e y a n y T y p e z b w N T n L X > < a : K e y > < K e y > R e l a t i o n s h i p s \ & l t ; T a b l e s \ T a b _ c o n c a t \ C o l u m n s \ C o m p t e u r & g t ; - & l t ; T a b l e s \ T a b l e a u 1 6 \ C o l u m n s \ C o m p t e u r / L i v r a i s o n & g t ; < / K e y > < / a : K e y > < a : V a l u e   i : t y p e = " D i a g r a m D i s p l a y L i n k V i e w S t a t e " > < A u t o m a t i o n P r o p e r t y H e l p e r T e x t > P o i n t   d ' a r r � t   1   :   ( 2 1 6 , 7 5 ) .   P o i n t   d ' a r r � t   2   :   ( 3 1 3 , 9 0 3 8 1 0 5 6 7 6 6 6 , 7 5 )   < / A u t o m a t i o n P r o p e r t y H e l p e r T e x t > < L a y e d O u t > t r u e < / L a y e d O u t > < P o i n t s   x m l n s : b = " h t t p : / / s c h e m a s . d a t a c o n t r a c t . o r g / 2 0 0 4 / 0 7 / S y s t e m . W i n d o w s " > < b : P o i n t > < b : _ x > 2 1 6 . 0 0 0 0 0 0 0 0 0 0 0 0 0 3 < / b : _ x > < b : _ y > 7 5 < / b : _ y > < / b : P o i n t > < b : P o i n t > < b : _ x > 3 1 3 . 9 0 3 8 1 0 5 6 7 6 6 5 8 < / b : _ x > < b : _ y > 7 5 < / b : _ y > < / b : P o i n t > < / P o i n t s > < / a : V a l u e > < / a : K e y V a l u e O f D i a g r a m O b j e c t K e y a n y T y p e z b w N T n L X > < a : K e y V a l u e O f D i a g r a m O b j e c t K e y a n y T y p e z b w N T n L X > < a : K e y > < K e y > R e l a t i o n s h i p s \ & l t ; T a b l e s \ T a b _ c o n c a t \ C o l u m n s \ C o m p t e u r & g t ; - & l t ; T a b l e s \ T a b l e a u 1 6 \ C o l u m n s \ C o m p t e u r / L i v r a i s o n & g t ; \ F K < / K e y > < / a : K e y > < a : V a l u e   i : t y p e = " D i a g r a m D i s p l a y L i n k E n d p o i n t V i e w S t a t e " > < H e i g h t > 1 6 < / H e i g h t > < L a b e l L o c a t i o n   x m l n s : b = " h t t p : / / s c h e m a s . d a t a c o n t r a c t . o r g / 2 0 0 4 / 0 7 / S y s t e m . W i n d o w s " > < b : _ x > 2 0 0 . 0 0 0 0 0 0 0 0 0 0 0 0 0 3 < / b : _ x > < b : _ y > 6 7 < / b : _ y > < / L a b e l L o c a t i o n > < L o c a t i o n   x m l n s : b = " h t t p : / / s c h e m a s . d a t a c o n t r a c t . o r g / 2 0 0 4 / 0 7 / S y s t e m . W i n d o w s " > < b : _ x > 2 0 0 < / b : _ x > < b : _ y > 7 5 < / b : _ y > < / L o c a t i o n > < S h a p e R o t a t e A n g l e > 3 6 0 < / S h a p e R o t a t e A n g l e > < W i d t h > 1 6 < / W i d t h > < / a : V a l u e > < / a : K e y V a l u e O f D i a g r a m O b j e c t K e y a n y T y p e z b w N T n L X > < a : K e y V a l u e O f D i a g r a m O b j e c t K e y a n y T y p e z b w N T n L X > < a : K e y > < K e y > R e l a t i o n s h i p s \ & l t ; T a b l e s \ T a b _ c o n c a t \ C o l u m n s \ C o m p t e u r & g t ; - & l t ; T a b l e s \ T a b l e a u 1 6 \ C o l u m n s \ C o m p t e u r / L i v r a i s o n & g t ; \ P K 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 R e l a t i o n s h i p s \ & l t ; T a b l e s \ T a b _ c o n c a t \ C o l u m n s \ C o m p t e u r & g t ; - & l t ; T a b l e s \ T a b l e a u 1 6 \ C o l u m n s \ C o m p t e u r / L i v r a i s o n & g t ; \ C r o s s F i l t e r < / K e y > < / a : K e y > < a : V a l u e   i : t y p e = " D i a g r a m D i s p l a y L i n k C r o s s F i l t e r V i e w S t a t e " > < P o i n t s   x m l n s : b = " h t t p : / / s c h e m a s . d a t a c o n t r a c t . o r g / 2 0 0 4 / 0 7 / S y s t e m . W i n d o w s " > < b : P o i n t > < b : _ x > 2 1 6 . 0 0 0 0 0 0 0 0 0 0 0 0 0 3 < / b : _ x > < b : _ y > 7 5 < / b : _ y > < / b : P o i n t > < b : P o i n t > < b : _ x > 3 1 3 . 9 0 3 8 1 0 5 6 7 6 6 5 8 < / b : _ x > < b : _ y > 7 5 < / b : _ y > < / b : P o i n t > < / P o i n t s > < / a : V a l u e > < / a : K e y V a l u e O f D i a g r a m O b j e c t K e y a n y T y p e z b w N T n L X > < / V i e w S t a t e s > < / D i a g r a m M a n a g e r . S e r i a l i z a b l e D i a g r a m > < D i a g r a m M a n a g e r . S e r i a l i z a b l e D i a g r a m > < A d a p t e r   i : t y p e = " M e a s u r e D i a g r a m S a n d b o x A d a p t e r " > < T a b l e N a m e > T a b _ c o n c a t 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 T a b _ c o n c a t 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 C o n s o _ k W h _ P C I < / K e y > < / D i a g r a m O b j e c t K e y > < D i a g r a m O b j e c t K e y > < K e y > M e a s u r e s \ S o m m e   d e   C o n s o _ k W h _ P C I \ T a g I n f o \ F o r m u l e < / K e y > < / D i a g r a m O b j e c t K e y > < D i a g r a m O b j e c t K e y > < K e y > M e a s u r e s \ S o m m e   d e   C o n s o _ k W h _ P C I \ T a g I n f o \ V a l e u r < / K e y > < / D i a g r a m O b j e c t K e y > < D i a g r a m O b j e c t K e y > < K e y > M e a s u r e s \ S o m m e   d e   C o n s o _ k W h _ D E E T < / K e y > < / D i a g r a m O b j e c t K e y > < D i a g r a m O b j e c t K e y > < K e y > M e a s u r e s \ S o m m e   d e   C o n s o _ k W h _ D E E T \ T a g I n f o \ F o r m u l e < / K e y > < / D i a g r a m O b j e c t K e y > < D i a g r a m O b j e c t K e y > < K e y > M e a s u r e s \ S o m m e   d e   C o n s o _ k W h _ D E E T \ T a g I n f o \ V a l e u r < / K e y > < / D i a g r a m O b j e c t K e y > < D i a g r a m O b j e c t K e y > < K e y > M e a s u r e s \ S o m m e   d e   C o u t _ j o u r < / K e y > < / D i a g r a m O b j e c t K e y > < D i a g r a m O b j e c t K e y > < K e y > M e a s u r e s \ S o m m e   d e   C o u t _ j o u r \ T a g I n f o \ F o r m u l e < / K e y > < / D i a g r a m O b j e c t K e y > < D i a g r a m O b j e c t K e y > < K e y > M e a s u r e s \ S o m m e   d e   C o u t _ j o u r \ T a g I n f o \ V a l e u r < / K e y > < / D i a g r a m O b j e c t K e y > < D i a g r a m O b j e c t K e y > < K e y > M e a s u r e s \ S o m m e   d e   C o n s o _ k W h E P < / K e y > < / D i a g r a m O b j e c t K e y > < D i a g r a m O b j e c t K e y > < K e y > M e a s u r e s \ S o m m e   d e   C o n s o _ k W h E P \ T a g I n f o \ F o r m u l e < / K e y > < / D i a g r a m O b j e c t K e y > < D i a g r a m O b j e c t K e y > < K e y > M e a s u r e s \ S o m m e   d e   C o n s o _ k W h E P \ T a g I n f o \ V a l e u r < / K e y > < / D i a g r a m O b j e c t K e y > < D i a g r a m O b j e c t K e y > < K e y > M e a s u r e s \ S o m m e   d e   D e m a n d e _ j o u r < / K e y > < / D i a g r a m O b j e c t K e y > < D i a g r a m O b j e c t K e y > < K e y > M e a s u r e s \ S o m m e   d e   D e m a n d e _ j o u r \ T a g I n f o \ F o r m u l e < / K e y > < / D i a g r a m O b j e c t K e y > < D i a g r a m O b j e c t K e y > < K e y > M e a s u r e s \ S o m m e   d e   D e m a n d e _ j o u r \ T a g I n f o \ V a l e u r < / K e y > < / D i a g r a m O b j e c t K e y > < D i a g r a m O b j e c t K e y > < K e y > M e a s u r e s \ M o y e n n e   d e   C o n s o _ k W h _ P C I < / K e y > < / D i a g r a m O b j e c t K e y > < D i a g r a m O b j e c t K e y > < K e y > M e a s u r e s \ M o y e n n e   d e   C o n s o _ k W h _ P C I \ T a g I n f o \ F o r m u l e < / K e y > < / D i a g r a m O b j e c t K e y > < D i a g r a m O b j e c t K e y > < K e y > M e a s u r e s \ M o y e n n e   d e   C o n s o _ k W h _ P C I \ T a g I n f o \ V a l e u r < / K e y > < / D i a g r a m O b j e c t K e y > < D i a g r a m O b j e c t K e y > < K e y > M e a s u r e s \ M o y e n n e   d e   C o n s o _ k W h _ D E E T < / K e y > < / D i a g r a m O b j e c t K e y > < D i a g r a m O b j e c t K e y > < K e y > M e a s u r e s \ M o y e n n e   d e   C o n s o _ k W h _ D E E T \ T a g I n f o \ F o r m u l e < / K e y > < / D i a g r a m O b j e c t K e y > < D i a g r a m O b j e c t K e y > < K e y > M e a s u r e s \ M o y e n n e   d e   C o n s o _ k W h _ D E E T \ T a g I n f o \ V a l e u r < / K e y > < / D i a g r a m O b j e c t K e y > < D i a g r a m O b j e c t K e y > < K e y > M e a s u r e s \ S o m m e   d e   C o u t _ u n i t a i r e < / K e y > < / D i a g r a m O b j e c t K e y > < D i a g r a m O b j e c t K e y > < K e y > M e a s u r e s \ S o m m e   d e   C o u t _ u n i t a i r e \ T a g I n f o \ F o r m u l e < / K e y > < / D i a g r a m O b j e c t K e y > < D i a g r a m O b j e c t K e y > < K e y > M e a s u r e s \ S o m m e   d e   C o u t _ u n i t a i r e \ T a g I n f o \ V a l e u r < / K e y > < / D i a g r a m O b j e c t K e y > < D i a g r a m O b j e c t K e y > < K e y > M e a s u r e s \ S o m m e   d e   D J U _ q u o t _ c h a u f f a g i s t e < / K e y > < / D i a g r a m O b j e c t K e y > < D i a g r a m O b j e c t K e y > < K e y > M e a s u r e s \ S o m m e   d e   D J U _ q u o t _ c h a u f f a g i s t e \ T a g I n f o \ F o r m u l e < / K e y > < / D i a g r a m O b j e c t K e y > < D i a g r a m O b j e c t K e y > < K e y > M e a s u r e s \ S o m m e   d e   D J U _ q u o t _ c h a u f f a g i s t e \ T a g I n f o \ V a l e u r < / K e y > < / D i a g r a m O b j e c t K e y > < D i a g r a m O b j e c t K e y > < K e y > M e a s u r e s \ M o y e n n e   d e   C o u t _ u n i t a i r e < / K e y > < / D i a g r a m O b j e c t K e y > < D i a g r a m O b j e c t K e y > < K e y > M e a s u r e s \ M o y e n n e   d e   C o u t _ u n i t a i r e \ T a g I n f o \ F o r m u l e < / K e y > < / D i a g r a m O b j e c t K e y > < D i a g r a m O b j e c t K e y > < K e y > M e a s u r e s \ M o y e n n e   d e   C o u t _ u n i t a i r e \ T a g I n f o \ V a l e u r < / K e y > < / D i a g r a m O b j e c t K e y > < D i a g r a m O b j e c t K e y > < K e y > M e a s u r e s \ T o t a l   d i s t i n c t   d e   C o u t _ u n i t a i r e < / K e y > < / D i a g r a m O b j e c t K e y > < D i a g r a m O b j e c t K e y > < K e y > M e a s u r e s \ T o t a l   d i s t i n c t   d e   C o u t _ u n i t a i r e \ T a g I n f o \ F o r m u l e < / K e y > < / D i a g r a m O b j e c t K e y > < D i a g r a m O b j e c t K e y > < K e y > M e a s u r e s \ T o t a l   d i s t i n c t   d e   C o u t _ u n i t a i r e \ T a g I n f o \ V a l e u r < / K e y > < / D i a g r a m O b j e c t K e y > < D i a g r a m O b j e c t K e y > < K e y > M e a s u r e s \ C o n s o _ D J U < / K e y > < / D i a g r a m O b j e c t K e y > < D i a g r a m O b j e c t K e y > < K e y > M e a s u r e s \ C o n s o _ D J U \ T a g I n f o \ F o r m u l e < / K e y > < / D i a g r a m O b j e c t K e y > < D i a g r a m O b j e c t K e y > < K e y > M e a s u r e s \ C o n s o _ D J U \ T a g I n f o \ V a l e u r < / K e y > < / D i a g r a m O b j e c t K e y > < D i a g r a m O b j e c t K e y > < K e y > M e a s u r e s \ C o u t   U n i t a i r e   M o y e n < / K e y > < / D i a g r a m O b j e c t K e y > < D i a g r a m O b j e c t K e y > < K e y > M e a s u r e s \ C o u t   U n i t a i r e   M o y e n \ T a g I n f o \ F o r m u l e < / K e y > < / D i a g r a m O b j e c t K e y > < D i a g r a m O b j e c t K e y > < K e y > M e a s u r e s \ C o u t   U n i t a i r e   M o y e n \ T a g I n f o \ V a l e u r < / K e y > < / D i a g r a m O b j e c t K e y > < D i a g r a m O b j e c t K e y > < K e y > C o l u m n s \ C o m p t e u r < / K e y > < / D i a g r a m O b j e c t K e y > < D i a g r a m O b j e c t K e y > < K e y > C o l u m n s \ D a t e s < / K e y > < / D i a g r a m O b j e c t K e y > < D i a g r a m O b j e c t K e y > < K e y > C o l u m n s \ D e m a n d e _ j o u r < / K e y > < / D i a g r a m O b j e c t K e y > < D i a g r a m O b j e c t K e y > < K e y > C o l u m n s \ C o u t _ j o u r < / K e y > < / D i a g r a m O b j e c t K e y > < D i a g r a m O b j e c t K e y > < K e y > C o l u m n s \ D J U _ c h a u f f a g i s t e < / K e y > < / D i a g r a m O b j e c t K e y > < D i a g r a m O b j e c t K e y > < K e y > C o l u m n s \ D J U _ c l i m a t i c i e n < / K e y > < / D i a g r a m O b j e c t K e y > < D i a g r a m O b j e c t K e y > < K e y > C o l u m n s \ C o l o n n e 2 < / K e y > < / D i a g r a m O b j e c t K e y > < D i a g r a m O b j e c t K e y > < K e y > C o l u m n s \ T y p e < / K e y > < / D i a g r a m O b j e c t K e y > < D i a g r a m O b j e c t K e y > < K e y > C o l u m n s \ S o u r c e < / K e y > < / D i a g r a m O b j e c t K e y > < D i a g r a m O b j e c t K e y > < K e y > C o l u m n s \ C o m b u s t i b l e < / K e y > < / D i a g r a m O b j e c t K e y > < D i a g r a m O b j e c t K e y > < K e y > C o l u m n s \ C o n s o _ k W h _ P C I < / K e y > < / D i a g r a m O b j e c t K e y > < D i a g r a m O b j e c t K e y > < K e y > C o l u m n s \ C o n s o _ k W h _ D E E T < / K e y > < / D i a g r a m O b j e c t K e y > < D i a g r a m O b j e c t K e y > < K e y > C o l u m n s \ N o m < / K e y > < / D i a g r a m O b j e c t K e y > < D i a g r a m O b j e c t K e y > < K e y > C o l u m n s \ D e t a i l   u s a g e < / K e y > < / D i a g r a m O b j e c t K e y > < D i a g r a m O b j e c t K e y > < K e y > C o l u m n s \ C o n s o _ k W h E P < / K e y > < / D i a g r a m O b j e c t K e y > < D i a g r a m O b j e c t K e y > < K e y > C o l u m n s \ A n n e e < / K e y > < / D i a g r a m O b j e c t K e y > < D i a g r a m O b j e c t K e y > < K e y > C o l u m n s \ M o i s < / K e y > < / D i a g r a m O b j e c t K e y > < D i a g r a m O b j e c t K e y > < K e y > C o l u m n s \ C o u t _ u n i t a i r e < / K e y > < / D i a g r a m O b j e c t K e y > < D i a g r a m O b j e c t K e y > < K e y > C o l u m n s \ D a t e s   ( a n n � e ) < / K e y > < / D i a g r a m O b j e c t K e y > < D i a g r a m O b j e c t K e y > < K e y > C o l u m n s \ D a t e s   ( t r i m e s t r e ) < / K e y > < / D i a g r a m O b j e c t K e y > < D i a g r a m O b j e c t K e y > < K e y > C o l u m n s \ D a t e s   ( i n d e x   d e s   m o i s ) < / K e y > < / D i a g r a m O b j e c t K e y > < D i a g r a m O b j e c t K e y > < K e y > C o l u m n s \ D a t e s   ( m o i s ) < / K e y > < / D i a g r a m O b j e c t K e y > < D i a g r a m O b j e c t K e y > < K e y > C o l u m n s \ D J U _ q u o t _ c h a u f f a g i s t e < / K e y > < / D i a g r a m O b j e c t K e y > < D i a g r a m O b j e c t K e y > < K e y > C o l u m n s \ D J U _ q u o t _ c l i m a t i c i e n < / K e y > < / D i a g r a m O b j e c t K e y > < D i a g r a m O b j e c t K e y > < K e y > L i n k s \ & l t ; C o l u m n s \ S o m m e   d e   C o n s o _ k W h _ P C I & g t ; - & l t ; M e a s u r e s \ C o n s o _ k W h _ P C I & g t ; < / K e y > < / D i a g r a m O b j e c t K e y > < D i a g r a m O b j e c t K e y > < K e y > L i n k s \ & l t ; C o l u m n s \ S o m m e   d e   C o n s o _ k W h _ P C I & g t ; - & l t ; M e a s u r e s \ C o n s o _ k W h _ P C I & g t ; \ C O L U M N < / K e y > < / D i a g r a m O b j e c t K e y > < D i a g r a m O b j e c t K e y > < K e y > L i n k s \ & l t ; C o l u m n s \ S o m m e   d e   C o n s o _ k W h _ P C I & g t ; - & l t ; M e a s u r e s \ C o n s o _ k W h _ P C I & g t ; \ M E A S U R E < / K e y > < / D i a g r a m O b j e c t K e y > < D i a g r a m O b j e c t K e y > < K e y > L i n k s \ & l t ; C o l u m n s \ S o m m e   d e   C o n s o _ k W h _ D E E T & g t ; - & l t ; M e a s u r e s \ C o n s o _ k W h _ D E E T & g t ; < / K e y > < / D i a g r a m O b j e c t K e y > < D i a g r a m O b j e c t K e y > < K e y > L i n k s \ & l t ; C o l u m n s \ S o m m e   d e   C o n s o _ k W h _ D E E T & g t ; - & l t ; M e a s u r e s \ C o n s o _ k W h _ D E E T & g t ; \ C O L U M N < / K e y > < / D i a g r a m O b j e c t K e y > < D i a g r a m O b j e c t K e y > < K e y > L i n k s \ & l t ; C o l u m n s \ S o m m e   d e   C o n s o _ k W h _ D E E T & g t ; - & l t ; M e a s u r e s \ C o n s o _ k W h _ D E E T & g t ; \ M E A S U R E < / K e y > < / D i a g r a m O b j e c t K e y > < D i a g r a m O b j e c t K e y > < K e y > L i n k s \ & l t ; C o l u m n s \ S o m m e   d e   C o u t _ j o u r & g t ; - & l t ; M e a s u r e s \ C o u t _ j o u r & g t ; < / K e y > < / D i a g r a m O b j e c t K e y > < D i a g r a m O b j e c t K e y > < K e y > L i n k s \ & l t ; C o l u m n s \ S o m m e   d e   C o u t _ j o u r & g t ; - & l t ; M e a s u r e s \ C o u t _ j o u r & g t ; \ C O L U M N < / K e y > < / D i a g r a m O b j e c t K e y > < D i a g r a m O b j e c t K e y > < K e y > L i n k s \ & l t ; C o l u m n s \ S o m m e   d e   C o u t _ j o u r & g t ; - & l t ; M e a s u r e s \ C o u t _ j o u r & g t ; \ M E A S U R E < / K e y > < / D i a g r a m O b j e c t K e y > < D i a g r a m O b j e c t K e y > < K e y > L i n k s \ & l t ; C o l u m n s \ S o m m e   d e   C o n s o _ k W h E P & g t ; - & l t ; M e a s u r e s \ C o n s o _ k W h E P & g t ; < / K e y > < / D i a g r a m O b j e c t K e y > < D i a g r a m O b j e c t K e y > < K e y > L i n k s \ & l t ; C o l u m n s \ S o m m e   d e   C o n s o _ k W h E P & g t ; - & l t ; M e a s u r e s \ C o n s o _ k W h E P & g t ; \ C O L U M N < / K e y > < / D i a g r a m O b j e c t K e y > < D i a g r a m O b j e c t K e y > < K e y > L i n k s \ & l t ; C o l u m n s \ S o m m e   d e   C o n s o _ k W h E P & g t ; - & l t ; M e a s u r e s \ C o n s o _ k W h E P & g t ; \ M E A S U R E < / K e y > < / D i a g r a m O b j e c t K e y > < D i a g r a m O b j e c t K e y > < K e y > L i n k s \ & l t ; C o l u m n s \ S o m m e   d e   D e m a n d e _ j o u r & g t ; - & l t ; M e a s u r e s \ D e m a n d e _ j o u r & g t ; < / K e y > < / D i a g r a m O b j e c t K e y > < D i a g r a m O b j e c t K e y > < K e y > L i n k s \ & l t ; C o l u m n s \ S o m m e   d e   D e m a n d e _ j o u r & g t ; - & l t ; M e a s u r e s \ D e m a n d e _ j o u r & g t ; \ C O L U M N < / K e y > < / D i a g r a m O b j e c t K e y > < D i a g r a m O b j e c t K e y > < K e y > L i n k s \ & l t ; C o l u m n s \ S o m m e   d e   D e m a n d e _ j o u r & g t ; - & l t ; M e a s u r e s \ D e m a n d e _ j o u r & g t ; \ M E A S U R E < / K e y > < / D i a g r a m O b j e c t K e y > < D i a g r a m O b j e c t K e y > < K e y > L i n k s \ & l t ; C o l u m n s \ M o y e n n e   d e   C o n s o _ k W h _ P C I & g t ; - & l t ; M e a s u r e s \ C o n s o _ k W h _ P C I & g t ; < / K e y > < / D i a g r a m O b j e c t K e y > < D i a g r a m O b j e c t K e y > < K e y > L i n k s \ & l t ; C o l u m n s \ M o y e n n e   d e   C o n s o _ k W h _ P C I & g t ; - & l t ; M e a s u r e s \ C o n s o _ k W h _ P C I & g t ; \ C O L U M N < / K e y > < / D i a g r a m O b j e c t K e y > < D i a g r a m O b j e c t K e y > < K e y > L i n k s \ & l t ; C o l u m n s \ M o y e n n e   d e   C o n s o _ k W h _ P C I & g t ; - & l t ; M e a s u r e s \ C o n s o _ k W h _ P C I & g t ; \ M E A S U R E < / K e y > < / D i a g r a m O b j e c t K e y > < D i a g r a m O b j e c t K e y > < K e y > L i n k s \ & l t ; C o l u m n s \ M o y e n n e   d e   C o n s o _ k W h _ D E E T & g t ; - & l t ; M e a s u r e s \ C o n s o _ k W h _ D E E T & g t ; < / K e y > < / D i a g r a m O b j e c t K e y > < D i a g r a m O b j e c t K e y > < K e y > L i n k s \ & l t ; C o l u m n s \ M o y e n n e   d e   C o n s o _ k W h _ D E E T & g t ; - & l t ; M e a s u r e s \ C o n s o _ k W h _ D E E T & g t ; \ C O L U M N < / K e y > < / D i a g r a m O b j e c t K e y > < D i a g r a m O b j e c t K e y > < K e y > L i n k s \ & l t ; C o l u m n s \ M o y e n n e   d e   C o n s o _ k W h _ D E E T & g t ; - & l t ; M e a s u r e s \ C o n s o _ k W h _ D E E T & g t ; \ M E A S U R E < / K e y > < / D i a g r a m O b j e c t K e y > < D i a g r a m O b j e c t K e y > < K e y > L i n k s \ & l t ; C o l u m n s \ S o m m e   d e   C o u t _ u n i t a i r e & g t ; - & l t ; M e a s u r e s \ C o u t _ u n i t a i r e & g t ; < / K e y > < / D i a g r a m O b j e c t K e y > < D i a g r a m O b j e c t K e y > < K e y > L i n k s \ & l t ; C o l u m n s \ S o m m e   d e   C o u t _ u n i t a i r e & g t ; - & l t ; M e a s u r e s \ C o u t _ u n i t a i r e & g t ; \ C O L U M N < / K e y > < / D i a g r a m O b j e c t K e y > < D i a g r a m O b j e c t K e y > < K e y > L i n k s \ & l t ; C o l u m n s \ S o m m e   d e   C o u t _ u n i t a i r e & g t ; - & l t ; M e a s u r e s \ C o u t _ u n i t a i r e & g t ; \ M E A S U R E < / K e y > < / D i a g r a m O b j e c t K e y > < D i a g r a m O b j e c t K e y > < K e y > L i n k s \ & l t ; C o l u m n s \ S o m m e   d e   D J U _ q u o t _ c h a u f f a g i s t e & g t ; - & l t ; M e a s u r e s \ D J U _ q u o t _ c h a u f f a g i s t e & g t ; < / K e y > < / D i a g r a m O b j e c t K e y > < D i a g r a m O b j e c t K e y > < K e y > L i n k s \ & l t ; C o l u m n s \ S o m m e   d e   D J U _ q u o t _ c h a u f f a g i s t e & g t ; - & l t ; M e a s u r e s \ D J U _ q u o t _ c h a u f f a g i s t e & g t ; \ C O L U M N < / K e y > < / D i a g r a m O b j e c t K e y > < D i a g r a m O b j e c t K e y > < K e y > L i n k s \ & l t ; C o l u m n s \ S o m m e   d e   D J U _ q u o t _ c h a u f f a g i s t e & g t ; - & l t ; M e a s u r e s \ D J U _ q u o t _ c h a u f f a g i s t e & g t ; \ M E A S U R E < / K e y > < / D i a g r a m O b j e c t K e y > < D i a g r a m O b j e c t K e y > < K e y > L i n k s \ & l t ; C o l u m n s \ M o y e n n e   d e   C o u t _ u n i t a i r e & g t ; - & l t ; M e a s u r e s \ C o u t _ u n i t a i r e & g t ; < / K e y > < / D i a g r a m O b j e c t K e y > < D i a g r a m O b j e c t K e y > < K e y > L i n k s \ & l t ; C o l u m n s \ M o y e n n e   d e   C o u t _ u n i t a i r e & g t ; - & l t ; M e a s u r e s \ C o u t _ u n i t a i r e & g t ; \ C O L U M N < / K e y > < / D i a g r a m O b j e c t K e y > < D i a g r a m O b j e c t K e y > < K e y > L i n k s \ & l t ; C o l u m n s \ M o y e n n e   d e   C o u t _ u n i t a i r e & g t ; - & l t ; M e a s u r e s \ C o u t _ u n i t a i r e & g t ; \ M E A S U R E < / K e y > < / D i a g r a m O b j e c t K e y > < D i a g r a m O b j e c t K e y > < K e y > L i n k s \ & l t ; C o l u m n s \ T o t a l   d i s t i n c t   d e   C o u t _ u n i t a i r e & g t ; - & l t ; M e a s u r e s \ C o u t _ u n i t a i r e & g t ; < / K e y > < / D i a g r a m O b j e c t K e y > < D i a g r a m O b j e c t K e y > < K e y > L i n k s \ & l t ; C o l u m n s \ T o t a l   d i s t i n c t   d e   C o u t _ u n i t a i r e & g t ; - & l t ; M e a s u r e s \ C o u t _ u n i t a i r e & g t ; \ C O L U M N < / K e y > < / D i a g r a m O b j e c t K e y > < D i a g r a m O b j e c t K e y > < K e y > L i n k s \ & l t ; C o l u m n s \ T o t a l   d i s t i n c t   d e   C o u t _ u n i t a i r e & g t ; - & l t ; M e a s u r e s \ C o u t _ u n i t a i r e & g t ; \ M E A S U R E 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 C o n s o _ k W h _ P C I < / K e y > < / a : K e y > < a : V a l u e   i : t y p e = " M e a s u r e G r i d N o d e V i e w S t a t e " > < C o l u m n > 7 < / C o l u m n > < L a y e d O u t > t r u e < / L a y e d O u t > < W a s U I I n v i s i b l e > t r u e < / W a s U I I n v i s i b l e > < / a : V a l u e > < / a : K e y V a l u e O f D i a g r a m O b j e c t K e y a n y T y p e z b w N T n L X > < a : K e y V a l u e O f D i a g r a m O b j e c t K e y a n y T y p e z b w N T n L X > < a : K e y > < K e y > M e a s u r e s \ S o m m e   d e   C o n s o _ k W h _ P C I \ T a g I n f o \ F o r m u l e < / K e y > < / a : K e y > < a : V a l u e   i : t y p e = " M e a s u r e G r i d V i e w S t a t e I D i a g r a m T a g A d d i t i o n a l I n f o " / > < / a : K e y V a l u e O f D i a g r a m O b j e c t K e y a n y T y p e z b w N T n L X > < a : K e y V a l u e O f D i a g r a m O b j e c t K e y a n y T y p e z b w N T n L X > < a : K e y > < K e y > M e a s u r e s \ S o m m e   d e   C o n s o _ k W h _ P C I \ T a g I n f o \ V a l e u r < / K e y > < / a : K e y > < a : V a l u e   i : t y p e = " M e a s u r e G r i d V i e w S t a t e I D i a g r a m T a g A d d i t i o n a l I n f o " / > < / a : K e y V a l u e O f D i a g r a m O b j e c t K e y a n y T y p e z b w N T n L X > < a : K e y V a l u e O f D i a g r a m O b j e c t K e y a n y T y p e z b w N T n L X > < a : K e y > < K e y > M e a s u r e s \ S o m m e   d e   C o n s o _ k W h _ D E E T < / K e y > < / a : K e y > < a : V a l u e   i : t y p e = " M e a s u r e G r i d N o d e V i e w S t a t e " > < C o l u m n > 8 < / C o l u m n > < L a y e d O u t > t r u e < / L a y e d O u t > < W a s U I I n v i s i b l e > t r u e < / W a s U I I n v i s i b l e > < / a : V a l u e > < / a : K e y V a l u e O f D i a g r a m O b j e c t K e y a n y T y p e z b w N T n L X > < a : K e y V a l u e O f D i a g r a m O b j e c t K e y a n y T y p e z b w N T n L X > < a : K e y > < K e y > M e a s u r e s \ S o m m e   d e   C o n s o _ k W h _ D E E T \ T a g I n f o \ F o r m u l e < / K e y > < / a : K e y > < a : V a l u e   i : t y p e = " M e a s u r e G r i d V i e w S t a t e I D i a g r a m T a g A d d i t i o n a l I n f o " / > < / a : K e y V a l u e O f D i a g r a m O b j e c t K e y a n y T y p e z b w N T n L X > < a : K e y V a l u e O f D i a g r a m O b j e c t K e y a n y T y p e z b w N T n L X > < a : K e y > < K e y > M e a s u r e s \ S o m m e   d e   C o n s o _ k W h _ D E E T \ T a g I n f o \ V a l e u r < / K e y > < / a : K e y > < a : V a l u e   i : t y p e = " M e a s u r e G r i d V i e w S t a t e I D i a g r a m T a g A d d i t i o n a l I n f o " / > < / a : K e y V a l u e O f D i a g r a m O b j e c t K e y a n y T y p e z b w N T n L X > < a : K e y V a l u e O f D i a g r a m O b j e c t K e y a n y T y p e z b w N T n L X > < a : K e y > < K e y > M e a s u r e s \ S o m m e   d e   C o u t _ j o u r < / K e y > < / a : K e y > < a : V a l u e   i : t y p e = " M e a s u r e G r i d N o d e V i e w S t a t e " > < C o l u m n > 1 < / C o l u m n > < L a y e d O u t > t r u e < / L a y e d O u t > < W a s U I I n v i s i b l e > t r u e < / W a s U I I n v i s i b l e > < / a : V a l u e > < / a : K e y V a l u e O f D i a g r a m O b j e c t K e y a n y T y p e z b w N T n L X > < a : K e y V a l u e O f D i a g r a m O b j e c t K e y a n y T y p e z b w N T n L X > < a : K e y > < K e y > M e a s u r e s \ S o m m e   d e   C o u t _ j o u r \ T a g I n f o \ F o r m u l e < / K e y > < / a : K e y > < a : V a l u e   i : t y p e = " M e a s u r e G r i d V i e w S t a t e I D i a g r a m T a g A d d i t i o n a l I n f o " / > < / a : K e y V a l u e O f D i a g r a m O b j e c t K e y a n y T y p e z b w N T n L X > < a : K e y V a l u e O f D i a g r a m O b j e c t K e y a n y T y p e z b w N T n L X > < a : K e y > < K e y > M e a s u r e s \ S o m m e   d e   C o u t _ j o u r \ T a g I n f o \ V a l e u r < / K e y > < / a : K e y > < a : V a l u e   i : t y p e = " M e a s u r e G r i d V i e w S t a t e I D i a g r a m T a g A d d i t i o n a l I n f o " / > < / a : K e y V a l u e O f D i a g r a m O b j e c t K e y a n y T y p e z b w N T n L X > < a : K e y V a l u e O f D i a g r a m O b j e c t K e y a n y T y p e z b w N T n L X > < a : K e y > < K e y > M e a s u r e s \ S o m m e   d e   C o n s o _ k W h E P < / K e y > < / a : K e y > < a : V a l u e   i : t y p e = " M e a s u r e G r i d N o d e V i e w S t a t e " > < C o l u m n > 1 1 < / C o l u m n > < L a y e d O u t > t r u e < / L a y e d O u t > < W a s U I I n v i s i b l e > t r u e < / W a s U I I n v i s i b l e > < / a : V a l u e > < / a : K e y V a l u e O f D i a g r a m O b j e c t K e y a n y T y p e z b w N T n L X > < a : K e y V a l u e O f D i a g r a m O b j e c t K e y a n y T y p e z b w N T n L X > < a : K e y > < K e y > M e a s u r e s \ S o m m e   d e   C o n s o _ k W h E P \ T a g I n f o \ F o r m u l e < / K e y > < / a : K e y > < a : V a l u e   i : t y p e = " M e a s u r e G r i d V i e w S t a t e I D i a g r a m T a g A d d i t i o n a l I n f o " / > < / a : K e y V a l u e O f D i a g r a m O b j e c t K e y a n y T y p e z b w N T n L X > < a : K e y V a l u e O f D i a g r a m O b j e c t K e y a n y T y p e z b w N T n L X > < a : K e y > < K e y > M e a s u r e s \ S o m m e   d e   C o n s o _ k W h E P \ T a g I n f o \ V a l e u r < / K e y > < / a : K e y > < a : V a l u e   i : t y p e = " M e a s u r e G r i d V i e w S t a t e I D i a g r a m T a g A d d i t i o n a l I n f o " / > < / a : K e y V a l u e O f D i a g r a m O b j e c t K e y a n y T y p e z b w N T n L X > < a : K e y V a l u e O f D i a g r a m O b j e c t K e y a n y T y p e z b w N T n L X > < a : K e y > < K e y > M e a s u r e s \ S o m m e   d e   D e m a n d e _ j o u r < / K e y > < / a : K e y > < a : V a l u e   i : t y p e = " M e a s u r e G r i d N o d e V i e w S t a t e " > < L a y e d O u t > t r u e < / L a y e d O u t > < W a s U I I n v i s i b l e > t r u e < / W a s U I I n v i s i b l e > < / a : V a l u e > < / a : K e y V a l u e O f D i a g r a m O b j e c t K e y a n y T y p e z b w N T n L X > < a : K e y V a l u e O f D i a g r a m O b j e c t K e y a n y T y p e z b w N T n L X > < a : K e y > < K e y > M e a s u r e s \ S o m m e   d e   D e m a n d e _ j o u r \ T a g I n f o \ F o r m u l e < / K e y > < / a : K e y > < a : V a l u e   i : t y p e = " M e a s u r e G r i d V i e w S t a t e I D i a g r a m T a g A d d i t i o n a l I n f o " / > < / a : K e y V a l u e O f D i a g r a m O b j e c t K e y a n y T y p e z b w N T n L X > < a : K e y V a l u e O f D i a g r a m O b j e c t K e y a n y T y p e z b w N T n L X > < a : K e y > < K e y > M e a s u r e s \ S o m m e   d e   D e m a n d e _ j o u r \ T a g I n f o \ V a l e u r < / K e y > < / a : K e y > < a : V a l u e   i : t y p e = " M e a s u r e G r i d V i e w S t a t e I D i a g r a m T a g A d d i t i o n a l I n f o " / > < / a : K e y V a l u e O f D i a g r a m O b j e c t K e y a n y T y p e z b w N T n L X > < a : K e y V a l u e O f D i a g r a m O b j e c t K e y a n y T y p e z b w N T n L X > < a : K e y > < K e y > M e a s u r e s \ M o y e n n e   d e   C o n s o _ k W h _ P C I < / K e y > < / a : K e y > < a : V a l u e   i : t y p e = " M e a s u r e G r i d N o d e V i e w S t a t e " > < C o l u m n > 7 < / C o l u m n > < L a y e d O u t > t r u e < / L a y e d O u t > < W a s U I I n v i s i b l e > t r u e < / W a s U I I n v i s i b l e > < / a : V a l u e > < / a : K e y V a l u e O f D i a g r a m O b j e c t K e y a n y T y p e z b w N T n L X > < a : K e y V a l u e O f D i a g r a m O b j e c t K e y a n y T y p e z b w N T n L X > < a : K e y > < K e y > M e a s u r e s \ M o y e n n e   d e   C o n s o _ k W h _ P C I \ T a g I n f o \ F o r m u l e < / K e y > < / a : K e y > < a : V a l u e   i : t y p e = " M e a s u r e G r i d V i e w S t a t e I D i a g r a m T a g A d d i t i o n a l I n f o " / > < / a : K e y V a l u e O f D i a g r a m O b j e c t K e y a n y T y p e z b w N T n L X > < a : K e y V a l u e O f D i a g r a m O b j e c t K e y a n y T y p e z b w N T n L X > < a : K e y > < K e y > M e a s u r e s \ M o y e n n e   d e   C o n s o _ k W h _ P C I \ T a g I n f o \ V a l e u r < / K e y > < / a : K e y > < a : V a l u e   i : t y p e = " M e a s u r e G r i d V i e w S t a t e I D i a g r a m T a g A d d i t i o n a l I n f o " / > < / a : K e y V a l u e O f D i a g r a m O b j e c t K e y a n y T y p e z b w N T n L X > < a : K e y V a l u e O f D i a g r a m O b j e c t K e y a n y T y p e z b w N T n L X > < a : K e y > < K e y > M e a s u r e s \ M o y e n n e   d e   C o n s o _ k W h _ D E E T < / K e y > < / a : K e y > < a : V a l u e   i : t y p e = " M e a s u r e G r i d N o d e V i e w S t a t e " > < C o l u m n > 8 < / C o l u m n > < L a y e d O u t > t r u e < / L a y e d O u t > < W a s U I I n v i s i b l e > t r u e < / W a s U I I n v i s i b l e > < / a : V a l u e > < / a : K e y V a l u e O f D i a g r a m O b j e c t K e y a n y T y p e z b w N T n L X > < a : K e y V a l u e O f D i a g r a m O b j e c t K e y a n y T y p e z b w N T n L X > < a : K e y > < K e y > M e a s u r e s \ M o y e n n e   d e   C o n s o _ k W h _ D E E T \ T a g I n f o \ F o r m u l e < / K e y > < / a : K e y > < a : V a l u e   i : t y p e = " M e a s u r e G r i d V i e w S t a t e I D i a g r a m T a g A d d i t i o n a l I n f o " / > < / a : K e y V a l u e O f D i a g r a m O b j e c t K e y a n y T y p e z b w N T n L X > < a : K e y V a l u e O f D i a g r a m O b j e c t K e y a n y T y p e z b w N T n L X > < a : K e y > < K e y > M e a s u r e s \ M o y e n n e   d e   C o n s o _ k W h _ D E E T \ T a g I n f o \ V a l e u r < / K e y > < / a : K e y > < a : V a l u e   i : t y p e = " M e a s u r e G r i d V i e w S t a t e I D i a g r a m T a g A d d i t i o n a l I n f o " / > < / a : K e y V a l u e O f D i a g r a m O b j e c t K e y a n y T y p e z b w N T n L X > < a : K e y V a l u e O f D i a g r a m O b j e c t K e y a n y T y p e z b w N T n L X > < a : K e y > < K e y > M e a s u r e s \ S o m m e   d e   C o u t _ u n i t a i r e < / K e y > < / a : K e y > < a : V a l u e   i : t y p e = " M e a s u r e G r i d N o d e V i e w S t a t e " > < C o l u m n > 1 4 < / C o l u m n > < L a y e d O u t > t r u e < / L a y e d O u t > < W a s U I I n v i s i b l e > t r u e < / W a s U I I n v i s i b l e > < / a : V a l u e > < / a : K e y V a l u e O f D i a g r a m O b j e c t K e y a n y T y p e z b w N T n L X > < a : K e y V a l u e O f D i a g r a m O b j e c t K e y a n y T y p e z b w N T n L X > < a : K e y > < K e y > M e a s u r e s \ S o m m e   d e   C o u t _ u n i t a i r e \ T a g I n f o \ F o r m u l e < / K e y > < / a : K e y > < a : V a l u e   i : t y p e = " M e a s u r e G r i d V i e w S t a t e I D i a g r a m T a g A d d i t i o n a l I n f o " / > < / a : K e y V a l u e O f D i a g r a m O b j e c t K e y a n y T y p e z b w N T n L X > < a : K e y V a l u e O f D i a g r a m O b j e c t K e y a n y T y p e z b w N T n L X > < a : K e y > < K e y > M e a s u r e s \ S o m m e   d e   C o u t _ u n i t a i r e \ T a g I n f o \ V a l e u r < / K e y > < / a : K e y > < a : V a l u e   i : t y p e = " M e a s u r e G r i d V i e w S t a t e I D i a g r a m T a g A d d i t i o n a l I n f o " / > < / a : K e y V a l u e O f D i a g r a m O b j e c t K e y a n y T y p e z b w N T n L X > < a : K e y V a l u e O f D i a g r a m O b j e c t K e y a n y T y p e z b w N T n L X > < a : K e y > < K e y > M e a s u r e s \ S o m m e   d e   D J U _ q u o t _ c h a u f f a g i s t e < / K e y > < / a : K e y > < a : V a l u e   i : t y p e = " M e a s u r e G r i d N o d e V i e w S t a t e " > < C o l u m n > 2 1 < / C o l u m n > < L a y e d O u t > t r u e < / L a y e d O u t > < W a s U I I n v i s i b l e > t r u e < / W a s U I I n v i s i b l e > < / a : V a l u e > < / a : K e y V a l u e O f D i a g r a m O b j e c t K e y a n y T y p e z b w N T n L X > < a : K e y V a l u e O f D i a g r a m O b j e c t K e y a n y T y p e z b w N T n L X > < a : K e y > < K e y > M e a s u r e s \ S o m m e   d e   D J U _ q u o t _ c h a u f f a g i s t e \ T a g I n f o \ F o r m u l e < / K e y > < / a : K e y > < a : V a l u e   i : t y p e = " M e a s u r e G r i d V i e w S t a t e I D i a g r a m T a g A d d i t i o n a l I n f o " / > < / a : K e y V a l u e O f D i a g r a m O b j e c t K e y a n y T y p e z b w N T n L X > < a : K e y V a l u e O f D i a g r a m O b j e c t K e y a n y T y p e z b w N T n L X > < a : K e y > < K e y > M e a s u r e s \ S o m m e   d e   D J U _ q u o t _ c h a u f f a g i s t e \ T a g I n f o \ V a l e u r < / K e y > < / a : K e y > < a : V a l u e   i : t y p e = " M e a s u r e G r i d V i e w S t a t e I D i a g r a m T a g A d d i t i o n a l I n f o " / > < / a : K e y V a l u e O f D i a g r a m O b j e c t K e y a n y T y p e z b w N T n L X > < a : K e y V a l u e O f D i a g r a m O b j e c t K e y a n y T y p e z b w N T n L X > < a : K e y > < K e y > M e a s u r e s \ M o y e n n e   d e   C o u t _ u n i t a i r e < / K e y > < / a : K e y > < a : V a l u e   i : t y p e = " M e a s u r e G r i d N o d e V i e w S t a t e " > < C o l u m n > 1 4 < / C o l u m n > < L a y e d O u t > t r u e < / L a y e d O u t > < W a s U I I n v i s i b l e > t r u e < / W a s U I I n v i s i b l e > < / a : V a l u e > < / a : K e y V a l u e O f D i a g r a m O b j e c t K e y a n y T y p e z b w N T n L X > < a : K e y V a l u e O f D i a g r a m O b j e c t K e y a n y T y p e z b w N T n L X > < a : K e y > < K e y > M e a s u r e s \ M o y e n n e   d e   C o u t _ u n i t a i r e \ T a g I n f o \ F o r m u l e < / K e y > < / a : K e y > < a : V a l u e   i : t y p e = " M e a s u r e G r i d V i e w S t a t e I D i a g r a m T a g A d d i t i o n a l I n f o " / > < / a : K e y V a l u e O f D i a g r a m O b j e c t K e y a n y T y p e z b w N T n L X > < a : K e y V a l u e O f D i a g r a m O b j e c t K e y a n y T y p e z b w N T n L X > < a : K e y > < K e y > M e a s u r e s \ M o y e n n e   d e   C o u t _ u n i t a i r e \ T a g I n f o \ V a l e u r < / K e y > < / a : K e y > < a : V a l u e   i : t y p e = " M e a s u r e G r i d V i e w S t a t e I D i a g r a m T a g A d d i t i o n a l I n f o " / > < / a : K e y V a l u e O f D i a g r a m O b j e c t K e y a n y T y p e z b w N T n L X > < a : K e y V a l u e O f D i a g r a m O b j e c t K e y a n y T y p e z b w N T n L X > < a : K e y > < K e y > M e a s u r e s \ T o t a l   d i s t i n c t   d e   C o u t _ u n i t a i r e < / K e y > < / a : K e y > < a : V a l u e   i : t y p e = " M e a s u r e G r i d N o d e V i e w S t a t e " > < C o l u m n > 1 4 < / C o l u m n > < L a y e d O u t > t r u e < / L a y e d O u t > < W a s U I I n v i s i b l e > t r u e < / W a s U I I n v i s i b l e > < / a : V a l u e > < / a : K e y V a l u e O f D i a g r a m O b j e c t K e y a n y T y p e z b w N T n L X > < a : K e y V a l u e O f D i a g r a m O b j e c t K e y a n y T y p e z b w N T n L X > < a : K e y > < K e y > M e a s u r e s \ T o t a l   d i s t i n c t   d e   C o u t _ u n i t a i r e \ T a g I n f o \ F o r m u l e < / K e y > < / a : K e y > < a : V a l u e   i : t y p e = " M e a s u r e G r i d V i e w S t a t e I D i a g r a m T a g A d d i t i o n a l I n f o " / > < / a : K e y V a l u e O f D i a g r a m O b j e c t K e y a n y T y p e z b w N T n L X > < a : K e y V a l u e O f D i a g r a m O b j e c t K e y a n y T y p e z b w N T n L X > < a : K e y > < K e y > M e a s u r e s \ T o t a l   d i s t i n c t   d e   C o u t _ u n i t a i r e \ T a g I n f o \ V a l e u r < / K e y > < / a : K e y > < a : V a l u e   i : t y p e = " M e a s u r e G r i d V i e w S t a t e I D i a g r a m T a g A d d i t i o n a l I n f o " / > < / a : K e y V a l u e O f D i a g r a m O b j e c t K e y a n y T y p e z b w N T n L X > < a : K e y V a l u e O f D i a g r a m O b j e c t K e y a n y T y p e z b w N T n L X > < a : K e y > < K e y > M e a s u r e s \ C o n s o _ D J U < / K e y > < / a : K e y > < a : V a l u e   i : t y p e = " M e a s u r e G r i d N o d e V i e w S t a t e " > < L a y e d O u t > t r u e < / L a y e d O u t > < / a : V a l u e > < / a : K e y V a l u e O f D i a g r a m O b j e c t K e y a n y T y p e z b w N T n L X > < a : K e y V a l u e O f D i a g r a m O b j e c t K e y a n y T y p e z b w N T n L X > < a : K e y > < K e y > M e a s u r e s \ C o n s o _ D J U \ T a g I n f o \ F o r m u l e < / K e y > < / a : K e y > < a : V a l u e   i : t y p e = " M e a s u r e G r i d V i e w S t a t e I D i a g r a m T a g A d d i t i o n a l I n f o " / > < / a : K e y V a l u e O f D i a g r a m O b j e c t K e y a n y T y p e z b w N T n L X > < a : K e y V a l u e O f D i a g r a m O b j e c t K e y a n y T y p e z b w N T n L X > < a : K e y > < K e y > M e a s u r e s \ C o n s o _ D J U \ T a g I n f o \ V a l e u r < / K e y > < / a : K e y > < a : V a l u e   i : t y p e = " M e a s u r e G r i d V i e w S t a t e I D i a g r a m T a g A d d i t i o n a l I n f o " / > < / a : K e y V a l u e O f D i a g r a m O b j e c t K e y a n y T y p e z b w N T n L X > < a : K e y V a l u e O f D i a g r a m O b j e c t K e y a n y T y p e z b w N T n L X > < a : K e y > < K e y > M e a s u r e s \ C o u t   U n i t a i r e   M o y e n < / K e y > < / a : K e y > < a : V a l u e   i : t y p e = " M e a s u r e G r i d N o d e V i e w S t a t e " > < L a y e d O u t > t r u e < / L a y e d O u t > < R o w > 1 < / R o w > < / a : V a l u e > < / a : K e y V a l u e O f D i a g r a m O b j e c t K e y a n y T y p e z b w N T n L X > < a : K e y V a l u e O f D i a g r a m O b j e c t K e y a n y T y p e z b w N T n L X > < a : K e y > < K e y > M e a s u r e s \ C o u t   U n i t a i r e   M o y e n \ T a g I n f o \ F o r m u l e < / K e y > < / a : K e y > < a : V a l u e   i : t y p e = " M e a s u r e G r i d V i e w S t a t e I D i a g r a m T a g A d d i t i o n a l I n f o " / > < / a : K e y V a l u e O f D i a g r a m O b j e c t K e y a n y T y p e z b w N T n L X > < a : K e y V a l u e O f D i a g r a m O b j e c t K e y a n y T y p e z b w N T n L X > < a : K e y > < K e y > M e a s u r e s \ C o u t   U n i t a i r e   M o y e n \ T a g I n f o \ V a l e u r < / K e y > < / a : K e y > < a : V a l u e   i : t y p e = " M e a s u r e G r i d V i e w S t a t e I D i a g r a m T a g A d d i t i o n a l I n f o " / > < / a : K e y V a l u e O f D i a g r a m O b j e c t K e y a n y T y p e z b w N T n L X > < a : K e y V a l u e O f D i a g r a m O b j e c t K e y a n y T y p e z b w N T n L X > < a : K e y > < K e y > C o l u m n s \ C o m p t e u r < / K e y > < / a : K e y > < a : V a l u e   i : t y p e = " M e a s u r e G r i d N o d e V i e w S t a t e " > < C o l u m n > 2 < / C o l u m n > < L a y e d O u t > t r u e < / L a y e d O u t > < / a : V a l u e > < / a : K e y V a l u e O f D i a g r a m O b j e c t K e y a n y T y p e z b w N T n L X > < a : K e y V a l u e O f D i a g r a m O b j e c t K e y a n y T y p e z b w N T n L X > < a : K e y > < K e y > C o l u m n s \ D a t e s < / K e y > < / a : K e y > < a : V a l u e   i : t y p e = " M e a s u r e G r i d N o d e V i e w S t a t e " > < C o l u m n > 3 < / C o l u m n > < L a y e d O u t > t r u e < / L a y e d O u t > < / a : V a l u e > < / a : K e y V a l u e O f D i a g r a m O b j e c t K e y a n y T y p e z b w N T n L X > < a : K e y V a l u e O f D i a g r a m O b j e c t K e y a n y T y p e z b w N T n L X > < a : K e y > < K e y > C o l u m n s \ D e m a n d e _ j o u r < / K e y > < / a : K e y > < a : V a l u e   i : t y p e = " M e a s u r e G r i d N o d e V i e w S t a t e " > < L a y e d O u t > t r u e < / L a y e d O u t > < / a : V a l u e > < / a : K e y V a l u e O f D i a g r a m O b j e c t K e y a n y T y p e z b w N T n L X > < a : K e y V a l u e O f D i a g r a m O b j e c t K e y a n y T y p e z b w N T n L X > < a : K e y > < K e y > C o l u m n s \ C o u t _ j o u r < / K e y > < / a : K e y > < a : V a l u e   i : t y p e = " M e a s u r e G r i d N o d e V i e w S t a t e " > < C o l u m n > 1 < / C o l u m n > < L a y e d O u t > t r u e < / L a y e d O u t > < / a : V a l u e > < / a : K e y V a l u e O f D i a g r a m O b j e c t K e y a n y T y p e z b w N T n L X > < a : K e y V a l u e O f D i a g r a m O b j e c t K e y a n y T y p e z b w N T n L X > < a : K e y > < K e y > C o l u m n s \ D J U _ c h a u f f a g i s t e < / K e y > < / a : K e y > < a : V a l u e   i : t y p e = " M e a s u r e G r i d N o d e V i e w S t a t e " > < C o l u m n > 1 9 < / C o l u m n > < L a y e d O u t > t r u e < / L a y e d O u t > < / a : V a l u e > < / a : K e y V a l u e O f D i a g r a m O b j e c t K e y a n y T y p e z b w N T n L X > < a : K e y V a l u e O f D i a g r a m O b j e c t K e y a n y T y p e z b w N T n L X > < a : K e y > < K e y > C o l u m n s \ D J U _ c l i m a t i c i e n < / K e y > < / a : K e y > < a : V a l u e   i : t y p e = " M e a s u r e G r i d N o d e V i e w S t a t e " > < C o l u m n > 2 0 < / C o l u m n > < L a y e d O u t > t r u e < / L a y e d O u t > < / a : V a l u e > < / a : K e y V a l u e O f D i a g r a m O b j e c t K e y a n y T y p e z b w N T n L X > < a : K e y V a l u e O f D i a g r a m O b j e c t K e y a n y T y p e z b w N T n L X > < a : K e y > < K e y > C o l u m n s \ C o l o n n e 2 < / K e y > < / a : K e y > < a : V a l u e   i : t y p e = " M e a s u r e G r i d N o d e V i e w S t a t e " > < C o l u m n > 2 3 < / C o l u m n > < L a y e d O u t > t r u e < / L a y e d O u t > < / a : V a l u e > < / a : K e y V a l u e O f D i a g r a m O b j e c t K e y a n y T y p e z b w N T n L X > < a : K e y V a l u e O f D i a g r a m O b j e c t K e y a n y T y p e z b w N T n L X > < a : K e y > < K e y > C o l u m n s \ T y p e < / K e y > < / a : K e y > < a : V a l u e   i : t y p e = " M e a s u r e G r i d N o d e V i e w S t a t e " > < C o l u m n > 4 < / C o l u m n > < L a y e d O u t > t r u e < / L a y e d O u t > < / a : V a l u e > < / a : K e y V a l u e O f D i a g r a m O b j e c t K e y a n y T y p e z b w N T n L X > < a : K e y V a l u e O f D i a g r a m O b j e c t K e y a n y T y p e z b w N T n L X > < a : K e y > < K e y > C o l u m n s \ S o u r c e < / K e y > < / a : K e y > < a : V a l u e   i : t y p e = " M e a s u r e G r i d N o d e V i e w S t a t e " > < C o l u m n > 5 < / C o l u m n > < L a y e d O u t > t r u e < / L a y e d O u t > < / a : V a l u e > < / a : K e y V a l u e O f D i a g r a m O b j e c t K e y a n y T y p e z b w N T n L X > < a : K e y V a l u e O f D i a g r a m O b j e c t K e y a n y T y p e z b w N T n L X > < a : K e y > < K e y > C o l u m n s \ C o m b u s t i b l e < / K e y > < / a : K e y > < a : V a l u e   i : t y p e = " M e a s u r e G r i d N o d e V i e w S t a t e " > < C o l u m n > 6 < / C o l u m n > < L a y e d O u t > t r u e < / L a y e d O u t > < / a : V a l u e > < / a : K e y V a l u e O f D i a g r a m O b j e c t K e y a n y T y p e z b w N T n L X > < a : K e y V a l u e O f D i a g r a m O b j e c t K e y a n y T y p e z b w N T n L X > < a : K e y > < K e y > C o l u m n s \ C o n s o _ k W h _ P C I < / K e y > < / a : K e y > < a : V a l u e   i : t y p e = " M e a s u r e G r i d N o d e V i e w S t a t e " > < C o l u m n > 7 < / C o l u m n > < L a y e d O u t > t r u e < / L a y e d O u t > < / a : V a l u e > < / a : K e y V a l u e O f D i a g r a m O b j e c t K e y a n y T y p e z b w N T n L X > < a : K e y V a l u e O f D i a g r a m O b j e c t K e y a n y T y p e z b w N T n L X > < a : K e y > < K e y > C o l u m n s \ C o n s o _ k W h _ D E E T < / K e y > < / a : K e y > < a : V a l u e   i : t y p e = " M e a s u r e G r i d N o d e V i e w S t a t e " > < C o l u m n > 8 < / C o l u m n > < L a y e d O u t > t r u e < / L a y e d O u t > < / a : V a l u e > < / a : K e y V a l u e O f D i a g r a m O b j e c t K e y a n y T y p e z b w N T n L X > < a : K e y V a l u e O f D i a g r a m O b j e c t K e y a n y T y p e z b w N T n L X > < a : K e y > < K e y > C o l u m n s \ N o m < / K e y > < / a : K e y > < a : V a l u e   i : t y p e = " M e a s u r e G r i d N o d e V i e w S t a t e " > < C o l u m n > 9 < / C o l u m n > < L a y e d O u t > t r u e < / L a y e d O u t > < / a : V a l u e > < / a : K e y V a l u e O f D i a g r a m O b j e c t K e y a n y T y p e z b w N T n L X > < a : K e y V a l u e O f D i a g r a m O b j e c t K e y a n y T y p e z b w N T n L X > < a : K e y > < K e y > C o l u m n s \ D e t a i l   u s a g e < / K e y > < / a : K e y > < a : V a l u e   i : t y p e = " M e a s u r e G r i d N o d e V i e w S t a t e " > < C o l u m n > 1 0 < / C o l u m n > < L a y e d O u t > t r u e < / L a y e d O u t > < / a : V a l u e > < / a : K e y V a l u e O f D i a g r a m O b j e c t K e y a n y T y p e z b w N T n L X > < a : K e y V a l u e O f D i a g r a m O b j e c t K e y a n y T y p e z b w N T n L X > < a : K e y > < K e y > C o l u m n s \ C o n s o _ k W h E P < / K e y > < / a : K e y > < a : V a l u e   i : t y p e = " M e a s u r e G r i d N o d e V i e w S t a t e " > < C o l u m n > 1 1 < / C o l u m n > < L a y e d O u t > t r u e < / L a y e d O u t > < / a : V a l u e > < / a : K e y V a l u e O f D i a g r a m O b j e c t K e y a n y T y p e z b w N T n L X > < a : K e y V a l u e O f D i a g r a m O b j e c t K e y a n y T y p e z b w N T n L X > < a : K e y > < K e y > C o l u m n s \ A n n e e < / K e y > < / a : K e y > < a : V a l u e   i : t y p e = " M e a s u r e G r i d N o d e V i e w S t a t e " > < C o l u m n > 1 2 < / C o l u m n > < L a y e d O u t > t r u e < / L a y e d O u t > < / a : V a l u e > < / a : K e y V a l u e O f D i a g r a m O b j e c t K e y a n y T y p e z b w N T n L X > < a : K e y V a l u e O f D i a g r a m O b j e c t K e y a n y T y p e z b w N T n L X > < a : K e y > < K e y > C o l u m n s \ M o i s < / K e y > < / a : K e y > < a : V a l u e   i : t y p e = " M e a s u r e G r i d N o d e V i e w S t a t e " > < C o l u m n > 1 3 < / C o l u m n > < L a y e d O u t > t r u e < / L a y e d O u t > < / a : V a l u e > < / a : K e y V a l u e O f D i a g r a m O b j e c t K e y a n y T y p e z b w N T n L X > < a : K e y V a l u e O f D i a g r a m O b j e c t K e y a n y T y p e z b w N T n L X > < a : K e y > < K e y > C o l u m n s \ C o u t _ u n i t a i r e < / K e y > < / a : K e y > < a : V a l u e   i : t y p e = " M e a s u r e G r i d N o d e V i e w S t a t e " > < C o l u m n > 1 4 < / C o l u m n > < L a y e d O u t > t r u e < / L a y e d O u t > < / a : V a l u e > < / a : K e y V a l u e O f D i a g r a m O b j e c t K e y a n y T y p e z b w N T n L X > < a : K e y V a l u e O f D i a g r a m O b j e c t K e y a n y T y p e z b w N T n L X > < a : K e y > < K e y > C o l u m n s \ D a t e s   ( a n n � e ) < / K e y > < / a : K e y > < a : V a l u e   i : t y p e = " M e a s u r e G r i d N o d e V i e w S t a t e " > < C o l u m n > 1 5 < / C o l u m n > < L a y e d O u t > t r u e < / L a y e d O u t > < / a : V a l u e > < / a : K e y V a l u e O f D i a g r a m O b j e c t K e y a n y T y p e z b w N T n L X > < a : K e y V a l u e O f D i a g r a m O b j e c t K e y a n y T y p e z b w N T n L X > < a : K e y > < K e y > C o l u m n s \ D a t e s   ( t r i m e s t r e ) < / K e y > < / a : K e y > < a : V a l u e   i : t y p e = " M e a s u r e G r i d N o d e V i e w S t a t e " > < C o l u m n > 1 6 < / C o l u m n > < L a y e d O u t > t r u e < / L a y e d O u t > < / a : V a l u e > < / a : K e y V a l u e O f D i a g r a m O b j e c t K e y a n y T y p e z b w N T n L X > < a : K e y V a l u e O f D i a g r a m O b j e c t K e y a n y T y p e z b w N T n L X > < a : K e y > < K e y > C o l u m n s \ D a t e s   ( i n d e x   d e s   m o i s ) < / K e y > < / a : K e y > < a : V a l u e   i : t y p e = " M e a s u r e G r i d N o d e V i e w S t a t e " > < C o l u m n > 1 7 < / C o l u m n > < L a y e d O u t > t r u e < / L a y e d O u t > < / a : V a l u e > < / a : K e y V a l u e O f D i a g r a m O b j e c t K e y a n y T y p e z b w N T n L X > < a : K e y V a l u e O f D i a g r a m O b j e c t K e y a n y T y p e z b w N T n L X > < a : K e y > < K e y > C o l u m n s \ D a t e s   ( m o i s ) < / K e y > < / a : K e y > < a : V a l u e   i : t y p e = " M e a s u r e G r i d N o d e V i e w S t a t e " > < C o l u m n > 1 8 < / C o l u m n > < L a y e d O u t > t r u e < / L a y e d O u t > < / a : V a l u e > < / a : K e y V a l u e O f D i a g r a m O b j e c t K e y a n y T y p e z b w N T n L X > < a : K e y V a l u e O f D i a g r a m O b j e c t K e y a n y T y p e z b w N T n L X > < a : K e y > < K e y > C o l u m n s \ D J U _ q u o t _ c h a u f f a g i s t e < / K e y > < / a : K e y > < a : V a l u e   i : t y p e = " M e a s u r e G r i d N o d e V i e w S t a t e " > < C o l u m n > 2 1 < / C o l u m n > < L a y e d O u t > t r u e < / L a y e d O u t > < / a : V a l u e > < / a : K e y V a l u e O f D i a g r a m O b j e c t K e y a n y T y p e z b w N T n L X > < a : K e y V a l u e O f D i a g r a m O b j e c t K e y a n y T y p e z b w N T n L X > < a : K e y > < K e y > C o l u m n s \ D J U _ q u o t _ c l i m a t i c i e n < / K e y > < / a : K e y > < a : V a l u e   i : t y p e = " M e a s u r e G r i d N o d e V i e w S t a t e " > < C o l u m n > 2 2 < / C o l u m n > < L a y e d O u t > t r u e < / L a y e d O u t > < / a : V a l u e > < / a : K e y V a l u e O f D i a g r a m O b j e c t K e y a n y T y p e z b w N T n L X > < a : K e y V a l u e O f D i a g r a m O b j e c t K e y a n y T y p e z b w N T n L X > < a : K e y > < K e y > L i n k s \ & l t ; C o l u m n s \ S o m m e   d e   C o n s o _ k W h _ P C I & g t ; - & l t ; M e a s u r e s \ C o n s o _ k W h _ P C I & g t ; < / K e y > < / a : K e y > < a : V a l u e   i : t y p e = " M e a s u r e G r i d V i e w S t a t e I D i a g r a m L i n k " / > < / a : K e y V a l u e O f D i a g r a m O b j e c t K e y a n y T y p e z b w N T n L X > < a : K e y V a l u e O f D i a g r a m O b j e c t K e y a n y T y p e z b w N T n L X > < a : K e y > < K e y > L i n k s \ & l t ; C o l u m n s \ S o m m e   d e   C o n s o _ k W h _ P C I & g t ; - & l t ; M e a s u r e s \ C o n s o _ k W h _ P C I & g t ; \ C O L U M N < / K e y > < / a : K e y > < a : V a l u e   i : t y p e = " M e a s u r e G r i d V i e w S t a t e I D i a g r a m L i n k E n d p o i n t " / > < / a : K e y V a l u e O f D i a g r a m O b j e c t K e y a n y T y p e z b w N T n L X > < a : K e y V a l u e O f D i a g r a m O b j e c t K e y a n y T y p e z b w N T n L X > < a : K e y > < K e y > L i n k s \ & l t ; C o l u m n s \ S o m m e   d e   C o n s o _ k W h _ P C I & g t ; - & l t ; M e a s u r e s \ C o n s o _ k W h _ P C I & g t ; \ M E A S U R E < / K e y > < / a : K e y > < a : V a l u e   i : t y p e = " M e a s u r e G r i d V i e w S t a t e I D i a g r a m L i n k E n d p o i n t " / > < / a : K e y V a l u e O f D i a g r a m O b j e c t K e y a n y T y p e z b w N T n L X > < a : K e y V a l u e O f D i a g r a m O b j e c t K e y a n y T y p e z b w N T n L X > < a : K e y > < K e y > L i n k s \ & l t ; C o l u m n s \ S o m m e   d e   C o n s o _ k W h _ D E E T & g t ; - & l t ; M e a s u r e s \ C o n s o _ k W h _ D E E T & g t ; < / K e y > < / a : K e y > < a : V a l u e   i : t y p e = " M e a s u r e G r i d V i e w S t a t e I D i a g r a m L i n k " / > < / a : K e y V a l u e O f D i a g r a m O b j e c t K e y a n y T y p e z b w N T n L X > < a : K e y V a l u e O f D i a g r a m O b j e c t K e y a n y T y p e z b w N T n L X > < a : K e y > < K e y > L i n k s \ & l t ; C o l u m n s \ S o m m e   d e   C o n s o _ k W h _ D E E T & g t ; - & l t ; M e a s u r e s \ C o n s o _ k W h _ D E E T & g t ; \ C O L U M N < / K e y > < / a : K e y > < a : V a l u e   i : t y p e = " M e a s u r e G r i d V i e w S t a t e I D i a g r a m L i n k E n d p o i n t " / > < / a : K e y V a l u e O f D i a g r a m O b j e c t K e y a n y T y p e z b w N T n L X > < a : K e y V a l u e O f D i a g r a m O b j e c t K e y a n y T y p e z b w N T n L X > < a : K e y > < K e y > L i n k s \ & l t ; C o l u m n s \ S o m m e   d e   C o n s o _ k W h _ D E E T & g t ; - & l t ; M e a s u r e s \ C o n s o _ k W h _ D E E T & g t ; \ M E A S U R E < / K e y > < / a : K e y > < a : V a l u e   i : t y p e = " M e a s u r e G r i d V i e w S t a t e I D i a g r a m L i n k E n d p o i n t " / > < / a : K e y V a l u e O f D i a g r a m O b j e c t K e y a n y T y p e z b w N T n L X > < a : K e y V a l u e O f D i a g r a m O b j e c t K e y a n y T y p e z b w N T n L X > < a : K e y > < K e y > L i n k s \ & l t ; C o l u m n s \ S o m m e   d e   C o u t _ j o u r & g t ; - & l t ; M e a s u r e s \ C o u t _ j o u r & g t ; < / K e y > < / a : K e y > < a : V a l u e   i : t y p e = " M e a s u r e G r i d V i e w S t a t e I D i a g r a m L i n k " / > < / a : K e y V a l u e O f D i a g r a m O b j e c t K e y a n y T y p e z b w N T n L X > < a : K e y V a l u e O f D i a g r a m O b j e c t K e y a n y T y p e z b w N T n L X > < a : K e y > < K e y > L i n k s \ & l t ; C o l u m n s \ S o m m e   d e   C o u t _ j o u r & g t ; - & l t ; M e a s u r e s \ C o u t _ j o u r & g t ; \ C O L U M N < / K e y > < / a : K e y > < a : V a l u e   i : t y p e = " M e a s u r e G r i d V i e w S t a t e I D i a g r a m L i n k E n d p o i n t " / > < / a : K e y V a l u e O f D i a g r a m O b j e c t K e y a n y T y p e z b w N T n L X > < a : K e y V a l u e O f D i a g r a m O b j e c t K e y a n y T y p e z b w N T n L X > < a : K e y > < K e y > L i n k s \ & l t ; C o l u m n s \ S o m m e   d e   C o u t _ j o u r & g t ; - & l t ; M e a s u r e s \ C o u t _ j o u r & g t ; \ M E A S U R E < / K e y > < / a : K e y > < a : V a l u e   i : t y p e = " M e a s u r e G r i d V i e w S t a t e I D i a g r a m L i n k E n d p o i n t " / > < / a : K e y V a l u e O f D i a g r a m O b j e c t K e y a n y T y p e z b w N T n L X > < a : K e y V a l u e O f D i a g r a m O b j e c t K e y a n y T y p e z b w N T n L X > < a : K e y > < K e y > L i n k s \ & l t ; C o l u m n s \ S o m m e   d e   C o n s o _ k W h E P & g t ; - & l t ; M e a s u r e s \ C o n s o _ k W h E P & g t ; < / K e y > < / a : K e y > < a : V a l u e   i : t y p e = " M e a s u r e G r i d V i e w S t a t e I D i a g r a m L i n k " / > < / a : K e y V a l u e O f D i a g r a m O b j e c t K e y a n y T y p e z b w N T n L X > < a : K e y V a l u e O f D i a g r a m O b j e c t K e y a n y T y p e z b w N T n L X > < a : K e y > < K e y > L i n k s \ & l t ; C o l u m n s \ S o m m e   d e   C o n s o _ k W h E P & g t ; - & l t ; M e a s u r e s \ C o n s o _ k W h E P & g t ; \ C O L U M N < / K e y > < / a : K e y > < a : V a l u e   i : t y p e = " M e a s u r e G r i d V i e w S t a t e I D i a g r a m L i n k E n d p o i n t " / > < / a : K e y V a l u e O f D i a g r a m O b j e c t K e y a n y T y p e z b w N T n L X > < a : K e y V a l u e O f D i a g r a m O b j e c t K e y a n y T y p e z b w N T n L X > < a : K e y > < K e y > L i n k s \ & l t ; C o l u m n s \ S o m m e   d e   C o n s o _ k W h E P & g t ; - & l t ; M e a s u r e s \ C o n s o _ k W h E P & g t ; \ M E A S U R E < / K e y > < / a : K e y > < a : V a l u e   i : t y p e = " M e a s u r e G r i d V i e w S t a t e I D i a g r a m L i n k E n d p o i n t " / > < / a : K e y V a l u e O f D i a g r a m O b j e c t K e y a n y T y p e z b w N T n L X > < a : K e y V a l u e O f D i a g r a m O b j e c t K e y a n y T y p e z b w N T n L X > < a : K e y > < K e y > L i n k s \ & l t ; C o l u m n s \ S o m m e   d e   D e m a n d e _ j o u r & g t ; - & l t ; M e a s u r e s \ D e m a n d e _ j o u r & g t ; < / K e y > < / a : K e y > < a : V a l u e   i : t y p e = " M e a s u r e G r i d V i e w S t a t e I D i a g r a m L i n k " / > < / a : K e y V a l u e O f D i a g r a m O b j e c t K e y a n y T y p e z b w N T n L X > < a : K e y V a l u e O f D i a g r a m O b j e c t K e y a n y T y p e z b w N T n L X > < a : K e y > < K e y > L i n k s \ & l t ; C o l u m n s \ S o m m e   d e   D e m a n d e _ j o u r & g t ; - & l t ; M e a s u r e s \ D e m a n d e _ j o u r & g t ; \ C O L U M N < / K e y > < / a : K e y > < a : V a l u e   i : t y p e = " M e a s u r e G r i d V i e w S t a t e I D i a g r a m L i n k E n d p o i n t " / > < / a : K e y V a l u e O f D i a g r a m O b j e c t K e y a n y T y p e z b w N T n L X > < a : K e y V a l u e O f D i a g r a m O b j e c t K e y a n y T y p e z b w N T n L X > < a : K e y > < K e y > L i n k s \ & l t ; C o l u m n s \ S o m m e   d e   D e m a n d e _ j o u r & g t ; - & l t ; M e a s u r e s \ D e m a n d e _ j o u r & g t ; \ M E A S U R E < / K e y > < / a : K e y > < a : V a l u e   i : t y p e = " M e a s u r e G r i d V i e w S t a t e I D i a g r a m L i n k E n d p o i n t " / > < / a : K e y V a l u e O f D i a g r a m O b j e c t K e y a n y T y p e z b w N T n L X > < a : K e y V a l u e O f D i a g r a m O b j e c t K e y a n y T y p e z b w N T n L X > < a : K e y > < K e y > L i n k s \ & l t ; C o l u m n s \ M o y e n n e   d e   C o n s o _ k W h _ P C I & g t ; - & l t ; M e a s u r e s \ C o n s o _ k W h _ P C I & g t ; < / K e y > < / a : K e y > < a : V a l u e   i : t y p e = " M e a s u r e G r i d V i e w S t a t e I D i a g r a m L i n k " / > < / a : K e y V a l u e O f D i a g r a m O b j e c t K e y a n y T y p e z b w N T n L X > < a : K e y V a l u e O f D i a g r a m O b j e c t K e y a n y T y p e z b w N T n L X > < a : K e y > < K e y > L i n k s \ & l t ; C o l u m n s \ M o y e n n e   d e   C o n s o _ k W h _ P C I & g t ; - & l t ; M e a s u r e s \ C o n s o _ k W h _ P C I & g t ; \ C O L U M N < / K e y > < / a : K e y > < a : V a l u e   i : t y p e = " M e a s u r e G r i d V i e w S t a t e I D i a g r a m L i n k E n d p o i n t " / > < / a : K e y V a l u e O f D i a g r a m O b j e c t K e y a n y T y p e z b w N T n L X > < a : K e y V a l u e O f D i a g r a m O b j e c t K e y a n y T y p e z b w N T n L X > < a : K e y > < K e y > L i n k s \ & l t ; C o l u m n s \ M o y e n n e   d e   C o n s o _ k W h _ P C I & g t ; - & l t ; M e a s u r e s \ C o n s o _ k W h _ P C I & g t ; \ M E A S U R E < / K e y > < / a : K e y > < a : V a l u e   i : t y p e = " M e a s u r e G r i d V i e w S t a t e I D i a g r a m L i n k E n d p o i n t " / > < / a : K e y V a l u e O f D i a g r a m O b j e c t K e y a n y T y p e z b w N T n L X > < a : K e y V a l u e O f D i a g r a m O b j e c t K e y a n y T y p e z b w N T n L X > < a : K e y > < K e y > L i n k s \ & l t ; C o l u m n s \ M o y e n n e   d e   C o n s o _ k W h _ D E E T & g t ; - & l t ; M e a s u r e s \ C o n s o _ k W h _ D E E T & g t ; < / K e y > < / a : K e y > < a : V a l u e   i : t y p e = " M e a s u r e G r i d V i e w S t a t e I D i a g r a m L i n k " / > < / a : K e y V a l u e O f D i a g r a m O b j e c t K e y a n y T y p e z b w N T n L X > < a : K e y V a l u e O f D i a g r a m O b j e c t K e y a n y T y p e z b w N T n L X > < a : K e y > < K e y > L i n k s \ & l t ; C o l u m n s \ M o y e n n e   d e   C o n s o _ k W h _ D E E T & g t ; - & l t ; M e a s u r e s \ C o n s o _ k W h _ D E E T & g t ; \ C O L U M N < / K e y > < / a : K e y > < a : V a l u e   i : t y p e = " M e a s u r e G r i d V i e w S t a t e I D i a g r a m L i n k E n d p o i n t " / > < / a : K e y V a l u e O f D i a g r a m O b j e c t K e y a n y T y p e z b w N T n L X > < a : K e y V a l u e O f D i a g r a m O b j e c t K e y a n y T y p e z b w N T n L X > < a : K e y > < K e y > L i n k s \ & l t ; C o l u m n s \ M o y e n n e   d e   C o n s o _ k W h _ D E E T & g t ; - & l t ; M e a s u r e s \ C o n s o _ k W h _ D E E T & g t ; \ M E A S U R E < / K e y > < / a : K e y > < a : V a l u e   i : t y p e = " M e a s u r e G r i d V i e w S t a t e I D i a g r a m L i n k E n d p o i n t " / > < / a : K e y V a l u e O f D i a g r a m O b j e c t K e y a n y T y p e z b w N T n L X > < a : K e y V a l u e O f D i a g r a m O b j e c t K e y a n y T y p e z b w N T n L X > < a : K e y > < K e y > L i n k s \ & l t ; C o l u m n s \ S o m m e   d e   C o u t _ u n i t a i r e & g t ; - & l t ; M e a s u r e s \ C o u t _ u n i t a i r e & g t ; < / K e y > < / a : K e y > < a : V a l u e   i : t y p e = " M e a s u r e G r i d V i e w S t a t e I D i a g r a m L i n k " / > < / a : K e y V a l u e O f D i a g r a m O b j e c t K e y a n y T y p e z b w N T n L X > < a : K e y V a l u e O f D i a g r a m O b j e c t K e y a n y T y p e z b w N T n L X > < a : K e y > < K e y > L i n k s \ & l t ; C o l u m n s \ S o m m e   d e   C o u t _ u n i t a i r e & g t ; - & l t ; M e a s u r e s \ C o u t _ u n i t a i r e & g t ; \ C O L U M N < / K e y > < / a : K e y > < a : V a l u e   i : t y p e = " M e a s u r e G r i d V i e w S t a t e I D i a g r a m L i n k E n d p o i n t " / > < / a : K e y V a l u e O f D i a g r a m O b j e c t K e y a n y T y p e z b w N T n L X > < a : K e y V a l u e O f D i a g r a m O b j e c t K e y a n y T y p e z b w N T n L X > < a : K e y > < K e y > L i n k s \ & l t ; C o l u m n s \ S o m m e   d e   C o u t _ u n i t a i r e & g t ; - & l t ; M e a s u r e s \ C o u t _ u n i t a i r e & g t ; \ M E A S U R E < / K e y > < / a : K e y > < a : V a l u e   i : t y p e = " M e a s u r e G r i d V i e w S t a t e I D i a g r a m L i n k E n d p o i n t " / > < / a : K e y V a l u e O f D i a g r a m O b j e c t K e y a n y T y p e z b w N T n L X > < a : K e y V a l u e O f D i a g r a m O b j e c t K e y a n y T y p e z b w N T n L X > < a : K e y > < K e y > L i n k s \ & l t ; C o l u m n s \ S o m m e   d e   D J U _ q u o t _ c h a u f f a g i s t e & g t ; - & l t ; M e a s u r e s \ D J U _ q u o t _ c h a u f f a g i s t e & g t ; < / K e y > < / a : K e y > < a : V a l u e   i : t y p e = " M e a s u r e G r i d V i e w S t a t e I D i a g r a m L i n k " / > < / a : K e y V a l u e O f D i a g r a m O b j e c t K e y a n y T y p e z b w N T n L X > < a : K e y V a l u e O f D i a g r a m O b j e c t K e y a n y T y p e z b w N T n L X > < a : K e y > < K e y > L i n k s \ & l t ; C o l u m n s \ S o m m e   d e   D J U _ q u o t _ c h a u f f a g i s t e & g t ; - & l t ; M e a s u r e s \ D J U _ q u o t _ c h a u f f a g i s t e & g t ; \ C O L U M N < / K e y > < / a : K e y > < a : V a l u e   i : t y p e = " M e a s u r e G r i d V i e w S t a t e I D i a g r a m L i n k E n d p o i n t " / > < / a : K e y V a l u e O f D i a g r a m O b j e c t K e y a n y T y p e z b w N T n L X > < a : K e y V a l u e O f D i a g r a m O b j e c t K e y a n y T y p e z b w N T n L X > < a : K e y > < K e y > L i n k s \ & l t ; C o l u m n s \ S o m m e   d e   D J U _ q u o t _ c h a u f f a g i s t e & g t ; - & l t ; M e a s u r e s \ D J U _ q u o t _ c h a u f f a g i s t e & g t ; \ M E A S U R E < / K e y > < / a : K e y > < a : V a l u e   i : t y p e = " M e a s u r e G r i d V i e w S t a t e I D i a g r a m L i n k E n d p o i n t " / > < / a : K e y V a l u e O f D i a g r a m O b j e c t K e y a n y T y p e z b w N T n L X > < a : K e y V a l u e O f D i a g r a m O b j e c t K e y a n y T y p e z b w N T n L X > < a : K e y > < K e y > L i n k s \ & l t ; C o l u m n s \ M o y e n n e   d e   C o u t _ u n i t a i r e & g t ; - & l t ; M e a s u r e s \ C o u t _ u n i t a i r e & g t ; < / K e y > < / a : K e y > < a : V a l u e   i : t y p e = " M e a s u r e G r i d V i e w S t a t e I D i a g r a m L i n k " / > < / a : K e y V a l u e O f D i a g r a m O b j e c t K e y a n y T y p e z b w N T n L X > < a : K e y V a l u e O f D i a g r a m O b j e c t K e y a n y T y p e z b w N T n L X > < a : K e y > < K e y > L i n k s \ & l t ; C o l u m n s \ M o y e n n e   d e   C o u t _ u n i t a i r e & g t ; - & l t ; M e a s u r e s \ C o u t _ u n i t a i r e & g t ; \ C O L U M N < / K e y > < / a : K e y > < a : V a l u e   i : t y p e = " M e a s u r e G r i d V i e w S t a t e I D i a g r a m L i n k E n d p o i n t " / > < / a : K e y V a l u e O f D i a g r a m O b j e c t K e y a n y T y p e z b w N T n L X > < a : K e y V a l u e O f D i a g r a m O b j e c t K e y a n y T y p e z b w N T n L X > < a : K e y > < K e y > L i n k s \ & l t ; C o l u m n s \ M o y e n n e   d e   C o u t _ u n i t a i r e & g t ; - & l t ; M e a s u r e s \ C o u t _ u n i t a i r e & g t ; \ M E A S U R E < / K e y > < / a : K e y > < a : V a l u e   i : t y p e = " M e a s u r e G r i d V i e w S t a t e I D i a g r a m L i n k E n d p o i n t " / > < / a : K e y V a l u e O f D i a g r a m O b j e c t K e y a n y T y p e z b w N T n L X > < a : K e y V a l u e O f D i a g r a m O b j e c t K e y a n y T y p e z b w N T n L X > < a : K e y > < K e y > L i n k s \ & l t ; C o l u m n s \ T o t a l   d i s t i n c t   d e   C o u t _ u n i t a i r e & g t ; - & l t ; M e a s u r e s \ C o u t _ u n i t a i r e & g t ; < / K e y > < / a : K e y > < a : V a l u e   i : t y p e = " M e a s u r e G r i d V i e w S t a t e I D i a g r a m L i n k " / > < / a : K e y V a l u e O f D i a g r a m O b j e c t K e y a n y T y p e z b w N T n L X > < a : K e y V a l u e O f D i a g r a m O b j e c t K e y a n y T y p e z b w N T n L X > < a : K e y > < K e y > L i n k s \ & l t ; C o l u m n s \ T o t a l   d i s t i n c t   d e   C o u t _ u n i t a i r e & g t ; - & l t ; M e a s u r e s \ C o u t _ u n i t a i r e & g t ; \ C O L U M N < / K e y > < / a : K e y > < a : V a l u e   i : t y p e = " M e a s u r e G r i d V i e w S t a t e I D i a g r a m L i n k E n d p o i n t " / > < / a : K e y V a l u e O f D i a g r a m O b j e c t K e y a n y T y p e z b w N T n L X > < a : K e y V a l u e O f D i a g r a m O b j e c t K e y a n y T y p e z b w N T n L X > < a : K e y > < K e y > L i n k s \ & l t ; C o l u m n s \ T o t a l   d i s t i n c t   d e   C o u t _ u n i t a i r e & g t ; - & l t ; M e a s u r e s \ C o u t _ u n i t a i r e & g t ; \ M E A S U R E 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S h o w H i d d e n " > < C u s t o m C o n t e n t > < ! [ C D A T A [ T r u e ] ] > < / C u s t o m C o n t e n t > < / G e m i n i > 
</file>

<file path=customXml/item30.xml><?xml version="1.0" encoding="utf-8"?>
<p:properties xmlns:p="http://schemas.microsoft.com/office/2006/metadata/properties" xmlns:xsi="http://www.w3.org/2001/XMLSchema-instance" xmlns:pc="http://schemas.microsoft.com/office/infopath/2007/PartnerControls">
  <documentManagement>
    <_activity xmlns="50efc2f2-ed42-4ad2-8b88-4bd24066a633" xsi:nil="true"/>
  </documentManagement>
</p:properties>
</file>

<file path=customXml/item31.xml>��< ? x m l   v e r s i o n = " 1 . 0 "   e n c o d i n g = " U T F - 1 6 " ? > < G e m i n i   x m l n s = " h t t p : / / g e m i n i / p i v o t c u s t o m i z a t i o n / d 5 d 9 7 7 9 d - 3 a 9 e - 4 b c e - 8 7 c f - 1 7 f 7 2 4 1 3 a 1 6 3 " > < C u s t o m C o n t e n t > < ! [ C D A T A [ < ? x m l   v e r s i o n = " 1 . 0 "   e n c o d i n g = " u t f - 1 6 " ? > < S e t t i n g s > < C a l c u l a t e d F i e l d s > < i t e m > < M e a s u r e N a m e > C o n s o _ D J U < / M e a s u r e N a m e > < D i s p l a y N a m e > C o n s o _ D J U < / D i s p l a y N a m e > < V i s i b l e > F a l s e < / V i s i b l e > < / i t e m > < i t e m > < M e a s u r e N a m e > C o u t   U n i t a i r e   M o y e n < / M e a s u r e N a m e > < D i s p l a y N a m e > C o u t   U n i t a i r e   M o y e n < / D i s p l a y N a m e > < V i s i b l e > F a l s e < / V i s i b l e > < / i t e m > < / C a l c u l a t e d F i e l d s > < S A H o s t H a s h > 0 < / S A H o s t H a s h > < G e m i n i F i e l d L i s t V i s i b l e > T r u e < / G e m i n i F i e l d L i s t V i s i b l e > < / S e t t i n g s > ] ] > < / C u s t o m C o n t e n t > < / G e m i n i > 
</file>

<file path=customXml/item32.xml>��< ? x m l   v e r s i o n = " 1 . 0 "   e n c o d i n g = " U T F - 1 6 " ? > < G e m i n i   x m l n s = " h t t p : / / g e m i n i / p i v o t c u s t o m i z a t i o n / 1 4 9 0 0 a 2 3 - 5 1 3 b - 4 c 7 c - 8 d 5 c - 8 3 2 6 7 f 7 8 b 9 b 7 " > < 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b 9 7 a b 9 4 8 - 8 a 6 f - 4 7 4 0 - 9 2 6 d - 1 d e 6 2 2 1 b 6 8 4 9 " > < 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S h o w I m p l i c i t M e a s u r e s " > < C u s t o m C o n t e n t > < ! [ C D A T A [ F a l s e ] ] > < / 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9.xml>��< ? x m l   v e r s i o n = " 1 . 0 "   e n c o d i n g = " U T F - 1 6 " ? > < G e m i n i   x m l n s = " h t t p : / / g e m i n i / p i v o t c u s t o m i z a t i o n / T a b l e O r d e r " > < C u s t o m C o n t e n t > < ! [ C D A T A [ T a b _ c o n c a t _ f 1 4 8 b 1 5 1 - 7 8 6 5 - 4 9 f 6 - 8 1 9 0 - 9 3 b 9 2 3 6 3 f b a 8 , T a b l e a u 1 6 ] ] > < / C u s t o m C o n t e n t > < / G e m i n i > 
</file>

<file path=customXml/itemProps1.xml><?xml version="1.0" encoding="utf-8"?>
<ds:datastoreItem xmlns:ds="http://schemas.openxmlformats.org/officeDocument/2006/customXml" ds:itemID="{464849C8-ABC8-48FB-8CB5-5FDE3EFD7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fc2f2-ed42-4ad2-8b88-4bd24066a633"/>
    <ds:schemaRef ds:uri="e11cf51e-129a-4273-89ec-3acd2dfe0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7CD7B087-2352-4A76-A398-C7479E17B6EB}">
  <ds:schemaRefs/>
</ds:datastoreItem>
</file>

<file path=customXml/itemProps11.xml><?xml version="1.0" encoding="utf-8"?>
<ds:datastoreItem xmlns:ds="http://schemas.openxmlformats.org/officeDocument/2006/customXml" ds:itemID="{A83F72F6-08FF-4A05-9C9F-CE8C3AAE81BF}">
  <ds:schemaRefs/>
</ds:datastoreItem>
</file>

<file path=customXml/itemProps12.xml><?xml version="1.0" encoding="utf-8"?>
<ds:datastoreItem xmlns:ds="http://schemas.openxmlformats.org/officeDocument/2006/customXml" ds:itemID="{DF08F664-A114-4F43-945F-7ADED29F91E6}">
  <ds:schemaRefs/>
</ds:datastoreItem>
</file>

<file path=customXml/itemProps13.xml><?xml version="1.0" encoding="utf-8"?>
<ds:datastoreItem xmlns:ds="http://schemas.openxmlformats.org/officeDocument/2006/customXml" ds:itemID="{13925E5C-D7E6-4EE1-981E-D9A2128C7EEB}">
  <ds:schemaRefs/>
</ds:datastoreItem>
</file>

<file path=customXml/itemProps14.xml><?xml version="1.0" encoding="utf-8"?>
<ds:datastoreItem xmlns:ds="http://schemas.openxmlformats.org/officeDocument/2006/customXml" ds:itemID="{7CA49CE6-2095-471B-BA72-80F49E81A636}">
  <ds:schemaRefs/>
</ds:datastoreItem>
</file>

<file path=customXml/itemProps15.xml><?xml version="1.0" encoding="utf-8"?>
<ds:datastoreItem xmlns:ds="http://schemas.openxmlformats.org/officeDocument/2006/customXml" ds:itemID="{447A512A-FAF7-4E3D-9481-7693E312A22C}">
  <ds:schemaRefs/>
</ds:datastoreItem>
</file>

<file path=customXml/itemProps16.xml><?xml version="1.0" encoding="utf-8"?>
<ds:datastoreItem xmlns:ds="http://schemas.openxmlformats.org/officeDocument/2006/customXml" ds:itemID="{080753CA-70AD-419B-A15F-ACE44678F922}">
  <ds:schemaRefs/>
</ds:datastoreItem>
</file>

<file path=customXml/itemProps17.xml><?xml version="1.0" encoding="utf-8"?>
<ds:datastoreItem xmlns:ds="http://schemas.openxmlformats.org/officeDocument/2006/customXml" ds:itemID="{D96D3EF3-F310-4AA6-8F72-FE6E5737FD4A}">
  <ds:schemaRefs/>
</ds:datastoreItem>
</file>

<file path=customXml/itemProps18.xml><?xml version="1.0" encoding="utf-8"?>
<ds:datastoreItem xmlns:ds="http://schemas.openxmlformats.org/officeDocument/2006/customXml" ds:itemID="{835C89D1-5DCF-440F-AB4E-25F04128108B}">
  <ds:schemaRefs/>
</ds:datastoreItem>
</file>

<file path=customXml/itemProps19.xml><?xml version="1.0" encoding="utf-8"?>
<ds:datastoreItem xmlns:ds="http://schemas.openxmlformats.org/officeDocument/2006/customXml" ds:itemID="{23CF6FDB-4858-4D6F-A883-A58BEF1D1844}">
  <ds:schemaRefs/>
</ds:datastoreItem>
</file>

<file path=customXml/itemProps2.xml><?xml version="1.0" encoding="utf-8"?>
<ds:datastoreItem xmlns:ds="http://schemas.openxmlformats.org/officeDocument/2006/customXml" ds:itemID="{ABB55527-A372-44D1-AD81-A8FB86C19E87}">
  <ds:schemaRefs/>
</ds:datastoreItem>
</file>

<file path=customXml/itemProps20.xml><?xml version="1.0" encoding="utf-8"?>
<ds:datastoreItem xmlns:ds="http://schemas.openxmlformats.org/officeDocument/2006/customXml" ds:itemID="{EEE6DC05-0DDA-4007-81E3-491D34936D82}">
  <ds:schemaRefs/>
</ds:datastoreItem>
</file>

<file path=customXml/itemProps21.xml><?xml version="1.0" encoding="utf-8"?>
<ds:datastoreItem xmlns:ds="http://schemas.openxmlformats.org/officeDocument/2006/customXml" ds:itemID="{7BB8E977-518D-455B-BA9F-CF73FE6B5EF9}">
  <ds:schemaRefs/>
</ds:datastoreItem>
</file>

<file path=customXml/itemProps22.xml><?xml version="1.0" encoding="utf-8"?>
<ds:datastoreItem xmlns:ds="http://schemas.openxmlformats.org/officeDocument/2006/customXml" ds:itemID="{E9262E07-2253-4373-A3FC-ED93C3E02E12}">
  <ds:schemaRefs/>
</ds:datastoreItem>
</file>

<file path=customXml/itemProps23.xml><?xml version="1.0" encoding="utf-8"?>
<ds:datastoreItem xmlns:ds="http://schemas.openxmlformats.org/officeDocument/2006/customXml" ds:itemID="{E1A7254F-700E-4DF5-AFA4-4CDD29B6ABF2}">
  <ds:schemaRefs/>
</ds:datastoreItem>
</file>

<file path=customXml/itemProps24.xml><?xml version="1.0" encoding="utf-8"?>
<ds:datastoreItem xmlns:ds="http://schemas.openxmlformats.org/officeDocument/2006/customXml" ds:itemID="{FF31D990-98E9-4B96-A826-D7C4CDB114F1}">
  <ds:schemaRefs>
    <ds:schemaRef ds:uri="http://schemas.microsoft.com/DataMashup"/>
  </ds:schemaRefs>
</ds:datastoreItem>
</file>

<file path=customXml/itemProps25.xml><?xml version="1.0" encoding="utf-8"?>
<ds:datastoreItem xmlns:ds="http://schemas.openxmlformats.org/officeDocument/2006/customXml" ds:itemID="{0DFA1F70-50A8-498A-9656-17681D667E2E}">
  <ds:schemaRefs/>
</ds:datastoreItem>
</file>

<file path=customXml/itemProps26.xml><?xml version="1.0" encoding="utf-8"?>
<ds:datastoreItem xmlns:ds="http://schemas.openxmlformats.org/officeDocument/2006/customXml" ds:itemID="{5A8368B7-08FE-435F-86A0-4DD676C6459C}">
  <ds:schemaRefs/>
</ds:datastoreItem>
</file>

<file path=customXml/itemProps27.xml><?xml version="1.0" encoding="utf-8"?>
<ds:datastoreItem xmlns:ds="http://schemas.openxmlformats.org/officeDocument/2006/customXml" ds:itemID="{4085668E-2412-4CBE-AC5E-CAC3F22FF4B7}">
  <ds:schemaRefs/>
</ds:datastoreItem>
</file>

<file path=customXml/itemProps28.xml><?xml version="1.0" encoding="utf-8"?>
<ds:datastoreItem xmlns:ds="http://schemas.openxmlformats.org/officeDocument/2006/customXml" ds:itemID="{75626B0D-3E06-417E-BDE2-A47B2C361CC6}">
  <ds:schemaRefs/>
</ds:datastoreItem>
</file>

<file path=customXml/itemProps29.xml><?xml version="1.0" encoding="utf-8"?>
<ds:datastoreItem xmlns:ds="http://schemas.openxmlformats.org/officeDocument/2006/customXml" ds:itemID="{3503F178-5B92-4699-B89B-2DA1369E1405}">
  <ds:schemaRefs/>
</ds:datastoreItem>
</file>

<file path=customXml/itemProps3.xml><?xml version="1.0" encoding="utf-8"?>
<ds:datastoreItem xmlns:ds="http://schemas.openxmlformats.org/officeDocument/2006/customXml" ds:itemID="{D5A5D7DD-55CD-47E4-AAD5-1420F723317C}">
  <ds:schemaRefs/>
</ds:datastoreItem>
</file>

<file path=customXml/itemProps30.xml><?xml version="1.0" encoding="utf-8"?>
<ds:datastoreItem xmlns:ds="http://schemas.openxmlformats.org/officeDocument/2006/customXml" ds:itemID="{96CCAA3B-10F4-42E1-A538-E06CD77D91D2}">
  <ds:schemaRefs>
    <ds:schemaRef ds:uri="50efc2f2-ed42-4ad2-8b88-4bd24066a633"/>
    <ds:schemaRef ds:uri="http://schemas.microsoft.com/office/2006/documentManagement/types"/>
    <ds:schemaRef ds:uri="http://purl.org/dc/dcmitype/"/>
    <ds:schemaRef ds:uri="http://www.w3.org/XML/1998/namespace"/>
    <ds:schemaRef ds:uri="http://schemas.openxmlformats.org/package/2006/metadata/core-properties"/>
    <ds:schemaRef ds:uri="http://purl.org/dc/terms/"/>
    <ds:schemaRef ds:uri="http://schemas.microsoft.com/office/infopath/2007/PartnerControls"/>
    <ds:schemaRef ds:uri="e11cf51e-129a-4273-89ec-3acd2dfe0f03"/>
    <ds:schemaRef ds:uri="http://schemas.microsoft.com/office/2006/metadata/properties"/>
    <ds:schemaRef ds:uri="http://purl.org/dc/elements/1.1/"/>
  </ds:schemaRefs>
</ds:datastoreItem>
</file>

<file path=customXml/itemProps31.xml><?xml version="1.0" encoding="utf-8"?>
<ds:datastoreItem xmlns:ds="http://schemas.openxmlformats.org/officeDocument/2006/customXml" ds:itemID="{436E54A7-BEEF-43B4-BBB6-C330261C2EFB}">
  <ds:schemaRefs/>
</ds:datastoreItem>
</file>

<file path=customXml/itemProps32.xml><?xml version="1.0" encoding="utf-8"?>
<ds:datastoreItem xmlns:ds="http://schemas.openxmlformats.org/officeDocument/2006/customXml" ds:itemID="{0BBAA600-23EA-474E-9242-3BA7BBCE698B}">
  <ds:schemaRefs/>
</ds:datastoreItem>
</file>

<file path=customXml/itemProps4.xml><?xml version="1.0" encoding="utf-8"?>
<ds:datastoreItem xmlns:ds="http://schemas.openxmlformats.org/officeDocument/2006/customXml" ds:itemID="{90FAD6ED-0367-42B3-8A63-7CCE85309E1F}">
  <ds:schemaRefs/>
</ds:datastoreItem>
</file>

<file path=customXml/itemProps5.xml><?xml version="1.0" encoding="utf-8"?>
<ds:datastoreItem xmlns:ds="http://schemas.openxmlformats.org/officeDocument/2006/customXml" ds:itemID="{DF73463E-88F3-4FE7-A617-2EE831707550}">
  <ds:schemaRefs/>
</ds:datastoreItem>
</file>

<file path=customXml/itemProps6.xml><?xml version="1.0" encoding="utf-8"?>
<ds:datastoreItem xmlns:ds="http://schemas.openxmlformats.org/officeDocument/2006/customXml" ds:itemID="{2C445B7A-4EDA-4B7F-9990-7134D61BCB3F}">
  <ds:schemaRefs>
    <ds:schemaRef ds:uri="http://schemas.microsoft.com/sharepoint/v3/contenttype/forms"/>
  </ds:schemaRefs>
</ds:datastoreItem>
</file>

<file path=customXml/itemProps7.xml><?xml version="1.0" encoding="utf-8"?>
<ds:datastoreItem xmlns:ds="http://schemas.openxmlformats.org/officeDocument/2006/customXml" ds:itemID="{86D2AFDA-EA96-4279-B445-965A4CC86B0F}">
  <ds:schemaRefs/>
</ds:datastoreItem>
</file>

<file path=customXml/itemProps8.xml><?xml version="1.0" encoding="utf-8"?>
<ds:datastoreItem xmlns:ds="http://schemas.openxmlformats.org/officeDocument/2006/customXml" ds:itemID="{E35732E4-22C2-4BC5-8969-A1967821DDF3}">
  <ds:schemaRefs/>
</ds:datastoreItem>
</file>

<file path=customXml/itemProps9.xml><?xml version="1.0" encoding="utf-8"?>
<ds:datastoreItem xmlns:ds="http://schemas.openxmlformats.org/officeDocument/2006/customXml" ds:itemID="{4FD35AB9-E110-4BF4-B962-C34CF59A15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35</vt:i4>
      </vt:variant>
    </vt:vector>
  </HeadingPairs>
  <TitlesOfParts>
    <vt:vector size="70" baseType="lpstr">
      <vt:lpstr>Calculs_CABS</vt:lpstr>
      <vt:lpstr>CABS_CVC</vt:lpstr>
      <vt:lpstr>Liste_CABS</vt:lpstr>
      <vt:lpstr>Surface DEET</vt:lpstr>
      <vt:lpstr>DJU</vt:lpstr>
      <vt:lpstr>Site</vt:lpstr>
      <vt:lpstr>Synthèse</vt:lpstr>
      <vt:lpstr>Calcul_Bilan_Energie</vt:lpstr>
      <vt:lpstr>Choix DEET</vt:lpstr>
      <vt:lpstr>Suivi DEET</vt:lpstr>
      <vt:lpstr>CALCUL DEET</vt:lpstr>
      <vt:lpstr>Estimation_ECS</vt:lpstr>
      <vt:lpstr>Déclaration OPERAT</vt:lpstr>
      <vt:lpstr>Suivi Mensuel</vt:lpstr>
      <vt:lpstr>CalculSuiviMensuel</vt:lpstr>
      <vt:lpstr>Rigueur Climat.</vt:lpstr>
      <vt:lpstr>Suivi Compteur</vt:lpstr>
      <vt:lpstr>Coût Energie</vt:lpstr>
      <vt:lpstr>Suivi Production</vt:lpstr>
      <vt:lpstr>Suivi Sous_compteur</vt:lpstr>
      <vt:lpstr>Controle_des_données</vt:lpstr>
      <vt:lpstr>Liste</vt:lpstr>
      <vt:lpstr>TCD_Conso</vt:lpstr>
      <vt:lpstr>Aide CME</vt:lpstr>
      <vt:lpstr>Compteur_1</vt:lpstr>
      <vt:lpstr>Ouverture</vt:lpstr>
      <vt:lpstr>Compteur_2</vt:lpstr>
      <vt:lpstr>Compteur_3</vt:lpstr>
      <vt:lpstr>Compteur_4</vt:lpstr>
      <vt:lpstr>Compteur_5</vt:lpstr>
      <vt:lpstr>Compteur_6</vt:lpstr>
      <vt:lpstr>Compteur_7</vt:lpstr>
      <vt:lpstr>Compteur_8</vt:lpstr>
      <vt:lpstr>ConversionCuveQuantité</vt:lpstr>
      <vt:lpstr>Notes_Versions</vt:lpstr>
      <vt:lpstr>Bureau_services_Publics</vt:lpstr>
      <vt:lpstr>Centre_Hospitalier</vt:lpstr>
      <vt:lpstr>Chaleur</vt:lpstr>
      <vt:lpstr>Coeff_chauff</vt:lpstr>
      <vt:lpstr>Coeff_refroid</vt:lpstr>
      <vt:lpstr>Cogénération</vt:lpstr>
      <vt:lpstr>Collecteurs_solaires</vt:lpstr>
      <vt:lpstr>Combustibles</vt:lpstr>
      <vt:lpstr>Consommation</vt:lpstr>
      <vt:lpstr>Cpt_Consommation</vt:lpstr>
      <vt:lpstr>Cpt_Index</vt:lpstr>
      <vt:lpstr>Eau</vt:lpstr>
      <vt:lpstr>Electricité</vt:lpstr>
      <vt:lpstr>Enseignement</vt:lpstr>
      <vt:lpstr>Etablissement_Balneo</vt:lpstr>
      <vt:lpstr>Etablissements_Médico_sociaux</vt:lpstr>
      <vt:lpstr>Liste_Type_compteur</vt:lpstr>
      <vt:lpstr>Logistique</vt:lpstr>
      <vt:lpstr>Photovolaïque</vt:lpstr>
      <vt:lpstr>Process</vt:lpstr>
      <vt:lpstr>Production</vt:lpstr>
      <vt:lpstr>Salles_serveurs</vt:lpstr>
      <vt:lpstr>Sous_comptage</vt:lpstr>
      <vt:lpstr>Sous_comptage_Chaleur</vt:lpstr>
      <vt:lpstr>Sous_comptage_eau</vt:lpstr>
      <vt:lpstr>Sous_comptage_elec</vt:lpstr>
      <vt:lpstr>Str_TypeDonneesCpt1</vt:lpstr>
      <vt:lpstr>Str_TypeDonneesCpt2</vt:lpstr>
      <vt:lpstr>Str_TypeDonneesCpt3</vt:lpstr>
      <vt:lpstr>Str_TypeDonneesCpt4</vt:lpstr>
      <vt:lpstr>Str_TypeDonneesCpt5</vt:lpstr>
      <vt:lpstr>Str_TypeDonneesCpt6</vt:lpstr>
      <vt:lpstr>Str_TypeDonneesCpt7</vt:lpstr>
      <vt:lpstr>Str_TypeDonneesCpt8</vt:lpstr>
      <vt:lpstr>Site!Zone_d_impression</vt:lpstr>
    </vt:vector>
  </TitlesOfParts>
  <Manager/>
  <Company>Fondation St Jean de Dieu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 Rouault</dc:creator>
  <cp:keywords/>
  <dc:description/>
  <cp:lastModifiedBy>FAVERAIS Laurent - EXT</cp:lastModifiedBy>
  <cp:revision/>
  <dcterms:created xsi:type="dcterms:W3CDTF">2023-03-24T10:58:55Z</dcterms:created>
  <dcterms:modified xsi:type="dcterms:W3CDTF">2026-04-01T07:40:16Z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0x010100BB6669FF9A6C2E45B6E34480CBECE584</vt:lpwstr>
  </property>
</Properties>
</file>